
<file path=[Content_Types].xml><?xml version="1.0" encoding="utf-8"?>
<Types xmlns="http://schemas.openxmlformats.org/package/2006/content-types">
  <Default Extension="vml" ContentType="application/vnd.openxmlformats-officedocument.vmlDrawing"/>
  <Default Extension="jpeg" ContentType="image/jpeg"/>
  <Default Extension="JPG" ContentType="image/.jp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17860" windowHeight="12580"/>
  </bookViews>
  <sheets>
    <sheet name="STOCK" sheetId="1" r:id="rId1"/>
    <sheet name="VENTAS" sheetId="3" r:id="rId2"/>
    <sheet name="FOTOS" sheetId="12" r:id="rId3"/>
    <sheet name="Sheet1" sheetId="13" r:id="rId4"/>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C05C05881E274DF5803BEC4F6C227727" descr="YILHM0025_2"/>
        <xdr:cNvPicPr>
          <a:picLocks noChangeAspect="1"/>
        </xdr:cNvPicPr>
      </xdr:nvPicPr>
      <xdr:blipFill>
        <a:blip r:embed="rId1"/>
        <a:stretch>
          <a:fillRect/>
        </a:stretch>
      </xdr:blipFill>
      <xdr:spPr>
        <a:xfrm>
          <a:off x="984250" y="982961585"/>
          <a:ext cx="381000" cy="577850"/>
        </a:xfrm>
        <a:prstGeom prst="rect">
          <a:avLst/>
        </a:prstGeom>
      </xdr:spPr>
    </xdr:pic>
  </etc:cellImage>
  <etc:cellImage>
    <xdr:pic>
      <xdr:nvPicPr>
        <xdr:cNvPr id="74" name="ID_A226EDE5909E4F87B1E614E6A87D6A8A" descr="YILHM0030_2"/>
        <xdr:cNvPicPr>
          <a:picLocks noChangeAspect="1"/>
        </xdr:cNvPicPr>
      </xdr:nvPicPr>
      <xdr:blipFill>
        <a:blip r:embed="rId2"/>
        <a:srcRect t="8118" b="5974"/>
        <a:stretch>
          <a:fillRect/>
        </a:stretch>
      </xdr:blipFill>
      <xdr:spPr>
        <a:xfrm>
          <a:off x="986790" y="986094675"/>
          <a:ext cx="515620" cy="608965"/>
        </a:xfrm>
        <a:prstGeom prst="rect">
          <a:avLst/>
        </a:prstGeom>
      </xdr:spPr>
    </xdr:pic>
  </etc:cellImage>
  <etc:cellImage>
    <xdr:pic>
      <xdr:nvPicPr>
        <xdr:cNvPr id="73" name="ID_EED211429BA64BACA72B7F2FF9873304" descr="YILHM0031_1"/>
        <xdr:cNvPicPr>
          <a:picLocks noChangeAspect="1"/>
        </xdr:cNvPicPr>
      </xdr:nvPicPr>
      <xdr:blipFill>
        <a:blip r:embed="rId3"/>
        <a:srcRect t="12228"/>
        <a:stretch>
          <a:fillRect/>
        </a:stretch>
      </xdr:blipFill>
      <xdr:spPr>
        <a:xfrm>
          <a:off x="969010" y="986732850"/>
          <a:ext cx="471170" cy="591185"/>
        </a:xfrm>
        <a:prstGeom prst="rect">
          <a:avLst/>
        </a:prstGeom>
      </xdr:spPr>
    </xdr:pic>
  </etc:cellImage>
  <etc:cellImage>
    <xdr:pic>
      <xdr:nvPicPr>
        <xdr:cNvPr id="58" name="ID_D60116D6E0C0406A8C0F939D86334CF9" descr="IMG_1790"/>
        <xdr:cNvPicPr>
          <a:picLocks noChangeAspect="1"/>
        </xdr:cNvPicPr>
      </xdr:nvPicPr>
      <xdr:blipFill>
        <a:blip r:embed="rId4"/>
        <a:stretch>
          <a:fillRect/>
        </a:stretch>
      </xdr:blipFill>
      <xdr:spPr>
        <a:xfrm>
          <a:off x="987425" y="987381185"/>
          <a:ext cx="458470" cy="631190"/>
        </a:xfrm>
        <a:prstGeom prst="rect">
          <a:avLst/>
        </a:prstGeom>
      </xdr:spPr>
    </xdr:pic>
  </etc:cellImage>
  <etc:cellImage>
    <xdr:pic>
      <xdr:nvPicPr>
        <xdr:cNvPr id="59" name="ID_611E317D4601404D973F1AA71F19BB1B" descr="IMG_1790"/>
        <xdr:cNvPicPr>
          <a:picLocks noChangeAspect="1"/>
        </xdr:cNvPicPr>
      </xdr:nvPicPr>
      <xdr:blipFill>
        <a:blip r:embed="rId4"/>
        <a:stretch>
          <a:fillRect/>
        </a:stretch>
      </xdr:blipFill>
      <xdr:spPr>
        <a:xfrm>
          <a:off x="1031875" y="988002215"/>
          <a:ext cx="458470" cy="631190"/>
        </a:xfrm>
        <a:prstGeom prst="rect">
          <a:avLst/>
        </a:prstGeom>
      </xdr:spPr>
    </xdr:pic>
  </etc:cellImage>
  <etc:cellImage>
    <xdr:pic>
      <xdr:nvPicPr>
        <xdr:cNvPr id="60" name="ID_2F46D2B8CA1649B9AE80B0FC68C14A3A" descr="YILHM0034_1"/>
        <xdr:cNvPicPr>
          <a:picLocks noChangeAspect="1"/>
        </xdr:cNvPicPr>
      </xdr:nvPicPr>
      <xdr:blipFill>
        <a:blip r:embed="rId5"/>
        <a:srcRect t="15720" b="13433"/>
        <a:stretch>
          <a:fillRect/>
        </a:stretch>
      </xdr:blipFill>
      <xdr:spPr>
        <a:xfrm>
          <a:off x="1012190" y="988656265"/>
          <a:ext cx="607695" cy="597535"/>
        </a:xfrm>
        <a:prstGeom prst="rect">
          <a:avLst/>
        </a:prstGeom>
      </xdr:spPr>
    </xdr:pic>
  </etc:cellImage>
  <etc:cellImage>
    <xdr:pic>
      <xdr:nvPicPr>
        <xdr:cNvPr id="71" name="ID_FBD24FC94EB94F35BE3094CDBAF42CDD" descr="YILHM0035_1"/>
        <xdr:cNvPicPr>
          <a:picLocks noChangeAspect="1"/>
        </xdr:cNvPicPr>
      </xdr:nvPicPr>
      <xdr:blipFill>
        <a:blip r:embed="rId6"/>
        <a:srcRect t="12504" b="14577"/>
        <a:stretch>
          <a:fillRect/>
        </a:stretch>
      </xdr:blipFill>
      <xdr:spPr>
        <a:xfrm>
          <a:off x="960755" y="989286820"/>
          <a:ext cx="523875" cy="575310"/>
        </a:xfrm>
        <a:prstGeom prst="rect">
          <a:avLst/>
        </a:prstGeom>
      </xdr:spPr>
    </xdr:pic>
  </etc:cellImage>
  <etc:cellImage>
    <xdr:pic>
      <xdr:nvPicPr>
        <xdr:cNvPr id="72" name="ID_07AD7DA15D69462BADBED3B2588A0DA3" descr="IMG_2377"/>
        <xdr:cNvPicPr>
          <a:picLocks noChangeAspect="1"/>
        </xdr:cNvPicPr>
      </xdr:nvPicPr>
      <xdr:blipFill>
        <a:blip r:embed="rId7"/>
        <a:srcRect t="14439" b="13493"/>
        <a:stretch>
          <a:fillRect/>
        </a:stretch>
      </xdr:blipFill>
      <xdr:spPr>
        <a:xfrm>
          <a:off x="988060" y="989936425"/>
          <a:ext cx="555625" cy="567055"/>
        </a:xfrm>
        <a:prstGeom prst="rect">
          <a:avLst/>
        </a:prstGeom>
      </xdr:spPr>
    </xdr:pic>
  </etc:cellImage>
  <etc:cellImage>
    <xdr:pic>
      <xdr:nvPicPr>
        <xdr:cNvPr id="76" name="ID_6C1C0962176A4D4BB45C4944FB24CA50" descr="YILHM0026_1"/>
        <xdr:cNvPicPr>
          <a:picLocks noChangeAspect="1"/>
        </xdr:cNvPicPr>
      </xdr:nvPicPr>
      <xdr:blipFill>
        <a:blip r:embed="rId8"/>
        <a:stretch>
          <a:fillRect/>
        </a:stretch>
      </xdr:blipFill>
      <xdr:spPr>
        <a:xfrm>
          <a:off x="1013460" y="983569915"/>
          <a:ext cx="396240" cy="609600"/>
        </a:xfrm>
        <a:prstGeom prst="rect">
          <a:avLst/>
        </a:prstGeom>
      </xdr:spPr>
    </xdr:pic>
  </etc:cellImage>
  <etc:cellImage>
    <xdr:pic>
      <xdr:nvPicPr>
        <xdr:cNvPr id="56" name="ID_08DEA944CCB84E22963C11C45A954510" descr="IMG_1840"/>
        <xdr:cNvPicPr>
          <a:picLocks noChangeAspect="1"/>
        </xdr:cNvPicPr>
      </xdr:nvPicPr>
      <xdr:blipFill>
        <a:blip r:embed="rId9"/>
        <a:stretch>
          <a:fillRect/>
        </a:stretch>
      </xdr:blipFill>
      <xdr:spPr>
        <a:xfrm>
          <a:off x="968375" y="981654120"/>
          <a:ext cx="406400" cy="608330"/>
        </a:xfrm>
        <a:prstGeom prst="rect">
          <a:avLst/>
        </a:prstGeom>
      </xdr:spPr>
    </xdr:pic>
  </etc:cellImage>
  <etc:cellImage>
    <xdr:pic>
      <xdr:nvPicPr>
        <xdr:cNvPr id="54" name="ID_236FDEE0D44C44AE9993C59484124512" descr="IMG_1875 copy"/>
        <xdr:cNvPicPr>
          <a:picLocks noChangeAspect="1"/>
        </xdr:cNvPicPr>
      </xdr:nvPicPr>
      <xdr:blipFill>
        <a:blip r:embed="rId10"/>
        <a:stretch>
          <a:fillRect/>
        </a:stretch>
      </xdr:blipFill>
      <xdr:spPr>
        <a:xfrm>
          <a:off x="948055" y="978494995"/>
          <a:ext cx="316865" cy="612140"/>
        </a:xfrm>
        <a:prstGeom prst="rect">
          <a:avLst/>
        </a:prstGeom>
      </xdr:spPr>
    </xdr:pic>
  </etc:cellImage>
  <etc:cellImage>
    <xdr:pic>
      <xdr:nvPicPr>
        <xdr:cNvPr id="53" name="ID_061452DA8F694CDB87AE347AEBFE0C0A" descr="YILHM0017_1"/>
        <xdr:cNvPicPr>
          <a:picLocks noChangeAspect="1"/>
        </xdr:cNvPicPr>
      </xdr:nvPicPr>
      <xdr:blipFill>
        <a:blip r:embed="rId11"/>
        <a:stretch>
          <a:fillRect/>
        </a:stretch>
      </xdr:blipFill>
      <xdr:spPr>
        <a:xfrm>
          <a:off x="975360" y="977848565"/>
          <a:ext cx="396240" cy="582930"/>
        </a:xfrm>
        <a:prstGeom prst="rect">
          <a:avLst/>
        </a:prstGeom>
      </xdr:spPr>
    </xdr:pic>
  </etc:cellImage>
  <etc:cellImage>
    <xdr:pic>
      <xdr:nvPicPr>
        <xdr:cNvPr id="2" name="ID_C8E00973D2C44AA99B70C7D6EAFA12E9" descr="YILHM0015_1"/>
        <xdr:cNvPicPr>
          <a:picLocks noChangeAspect="1"/>
        </xdr:cNvPicPr>
      </xdr:nvPicPr>
      <xdr:blipFill>
        <a:blip r:embed="rId12"/>
        <a:stretch>
          <a:fillRect/>
        </a:stretch>
      </xdr:blipFill>
      <xdr:spPr>
        <a:xfrm>
          <a:off x="1043940" y="976581740"/>
          <a:ext cx="407670" cy="605790"/>
        </a:xfrm>
        <a:prstGeom prst="rect">
          <a:avLst/>
        </a:prstGeom>
      </xdr:spPr>
    </xdr:pic>
  </etc:cellImage>
  <etc:cellImage>
    <xdr:pic>
      <xdr:nvPicPr>
        <xdr:cNvPr id="3" name="ID_95BDB41B40814921ADDFD45140CB4D91" descr="YILHM0007_3"/>
        <xdr:cNvPicPr>
          <a:picLocks noChangeAspect="1"/>
        </xdr:cNvPicPr>
      </xdr:nvPicPr>
      <xdr:blipFill>
        <a:blip r:embed="rId13"/>
        <a:srcRect t="20739" b="15638"/>
        <a:stretch>
          <a:fillRect/>
        </a:stretch>
      </xdr:blipFill>
      <xdr:spPr>
        <a:xfrm>
          <a:off x="969645" y="974050630"/>
          <a:ext cx="655320" cy="593090"/>
        </a:xfrm>
        <a:prstGeom prst="rect">
          <a:avLst/>
        </a:prstGeom>
      </xdr:spPr>
    </xdr:pic>
  </etc:cellImage>
  <etc:cellImage>
    <xdr:pic>
      <xdr:nvPicPr>
        <xdr:cNvPr id="4" name="ID_155C3A022F474F2A990DD77E86CB57AD" descr="YILHM0006_1"/>
        <xdr:cNvPicPr>
          <a:picLocks noChangeAspect="1"/>
        </xdr:cNvPicPr>
      </xdr:nvPicPr>
      <xdr:blipFill>
        <a:blip r:embed="rId14"/>
        <a:srcRect t="16802" b="16303"/>
        <a:stretch>
          <a:fillRect/>
        </a:stretch>
      </xdr:blipFill>
      <xdr:spPr>
        <a:xfrm>
          <a:off x="959485" y="974720555"/>
          <a:ext cx="607695" cy="564515"/>
        </a:xfrm>
        <a:prstGeom prst="rect">
          <a:avLst/>
        </a:prstGeom>
      </xdr:spPr>
    </xdr:pic>
  </etc:cellImage>
  <etc:cellImage>
    <xdr:pic>
      <xdr:nvPicPr>
        <xdr:cNvPr id="5" name="ID_7FBA60068A874CDB82993402BC5DEF69" descr="YILHM0010_1"/>
        <xdr:cNvPicPr>
          <a:picLocks noChangeAspect="1"/>
        </xdr:cNvPicPr>
      </xdr:nvPicPr>
      <xdr:blipFill>
        <a:blip r:embed="rId15"/>
        <a:srcRect t="17183" b="15054"/>
        <a:stretch>
          <a:fillRect/>
        </a:stretch>
      </xdr:blipFill>
      <xdr:spPr>
        <a:xfrm>
          <a:off x="990600" y="975330155"/>
          <a:ext cx="657860" cy="582930"/>
        </a:xfrm>
        <a:prstGeom prst="rect">
          <a:avLst/>
        </a:prstGeom>
      </xdr:spPr>
    </xdr:pic>
  </etc:cellImage>
  <etc:cellImage>
    <xdr:pic>
      <xdr:nvPicPr>
        <xdr:cNvPr id="6" name="ID_77562D2FB091404BBDC136380EDDC670" descr="YILHM0007_3"/>
        <xdr:cNvPicPr>
          <a:picLocks noChangeAspect="1"/>
        </xdr:cNvPicPr>
      </xdr:nvPicPr>
      <xdr:blipFill>
        <a:blip r:embed="rId13"/>
        <a:srcRect t="20739" b="15638"/>
        <a:stretch>
          <a:fillRect/>
        </a:stretch>
      </xdr:blipFill>
      <xdr:spPr>
        <a:xfrm>
          <a:off x="960120" y="973405470"/>
          <a:ext cx="655320" cy="593090"/>
        </a:xfrm>
        <a:prstGeom prst="rect">
          <a:avLst/>
        </a:prstGeom>
      </xdr:spPr>
    </xdr:pic>
  </etc:cellImage>
  <etc:cellImage>
    <xdr:pic>
      <xdr:nvPicPr>
        <xdr:cNvPr id="47" name="ID_CEC879C0EFD145C5A9BB614C361D7625" descr="YILHM0006_1"/>
        <xdr:cNvPicPr>
          <a:picLocks noChangeAspect="1"/>
        </xdr:cNvPicPr>
      </xdr:nvPicPr>
      <xdr:blipFill>
        <a:blip r:embed="rId14"/>
        <a:srcRect t="16802" b="16303"/>
        <a:stretch>
          <a:fillRect/>
        </a:stretch>
      </xdr:blipFill>
      <xdr:spPr>
        <a:xfrm>
          <a:off x="981075" y="972784440"/>
          <a:ext cx="607695" cy="564515"/>
        </a:xfrm>
        <a:prstGeom prst="rect">
          <a:avLst/>
        </a:prstGeom>
      </xdr:spPr>
    </xdr:pic>
  </etc:cellImage>
  <etc:cellImage>
    <xdr:pic>
      <xdr:nvPicPr>
        <xdr:cNvPr id="7" name="ID_993DE42165354B1EA401FCCCF2F045B5" descr="YILHM0003_3"/>
        <xdr:cNvPicPr>
          <a:picLocks noChangeAspect="1"/>
        </xdr:cNvPicPr>
      </xdr:nvPicPr>
      <xdr:blipFill>
        <a:blip r:embed="rId16"/>
        <a:srcRect t="14949" b="19248"/>
        <a:stretch>
          <a:fillRect/>
        </a:stretch>
      </xdr:blipFill>
      <xdr:spPr>
        <a:xfrm>
          <a:off x="1020445" y="970901030"/>
          <a:ext cx="562610" cy="544195"/>
        </a:xfrm>
        <a:prstGeom prst="rect">
          <a:avLst/>
        </a:prstGeom>
      </xdr:spPr>
    </xdr:pic>
  </etc:cellImage>
  <etc:cellImage>
    <xdr:pic>
      <xdr:nvPicPr>
        <xdr:cNvPr id="8" name="ID_AC221203CCA54983BF820E257DAA06D8" descr="YILHM0002_2"/>
        <xdr:cNvPicPr>
          <a:picLocks noChangeAspect="1"/>
        </xdr:cNvPicPr>
      </xdr:nvPicPr>
      <xdr:blipFill>
        <a:blip r:embed="rId17"/>
        <a:srcRect t="22209" b="17130"/>
        <a:stretch>
          <a:fillRect/>
        </a:stretch>
      </xdr:blipFill>
      <xdr:spPr>
        <a:xfrm>
          <a:off x="995680" y="970253330"/>
          <a:ext cx="668655" cy="568960"/>
        </a:xfrm>
        <a:prstGeom prst="rect">
          <a:avLst/>
        </a:prstGeom>
      </xdr:spPr>
    </xdr:pic>
  </etc:cellImage>
  <etc:cellImage>
    <xdr:pic>
      <xdr:nvPicPr>
        <xdr:cNvPr id="9" name="ID_D1E073E4129E4171A9BB6D3B66D1B537" descr="YILHM0001_1"/>
        <xdr:cNvPicPr>
          <a:picLocks noChangeAspect="1"/>
        </xdr:cNvPicPr>
      </xdr:nvPicPr>
      <xdr:blipFill>
        <a:blip r:embed="rId18"/>
        <a:stretch>
          <a:fillRect/>
        </a:stretch>
      </xdr:blipFill>
      <xdr:spPr>
        <a:xfrm>
          <a:off x="986790" y="969612615"/>
          <a:ext cx="488315" cy="561340"/>
        </a:xfrm>
        <a:prstGeom prst="rect">
          <a:avLst/>
        </a:prstGeom>
      </xdr:spPr>
    </xdr:pic>
  </etc:cellImage>
  <etc:cellImage>
    <xdr:pic>
      <xdr:nvPicPr>
        <xdr:cNvPr id="10" name="ID_211C81173A9244828AAC5353B2385B31" descr="YILHM0004_1"/>
        <xdr:cNvPicPr>
          <a:picLocks noChangeAspect="1"/>
        </xdr:cNvPicPr>
      </xdr:nvPicPr>
      <xdr:blipFill>
        <a:blip r:embed="rId19"/>
        <a:stretch>
          <a:fillRect/>
        </a:stretch>
      </xdr:blipFill>
      <xdr:spPr>
        <a:xfrm>
          <a:off x="994410" y="972149440"/>
          <a:ext cx="465455" cy="577850"/>
        </a:xfrm>
        <a:prstGeom prst="rect">
          <a:avLst/>
        </a:prstGeom>
      </xdr:spPr>
    </xdr:pic>
  </etc:cellImage>
  <etc:cellImage>
    <xdr:pic>
      <xdr:nvPicPr>
        <xdr:cNvPr id="11" name="ID_0FF41747A0794EE98C5DCDF1FA378C04" descr="YILHM0004_1"/>
        <xdr:cNvPicPr>
          <a:picLocks noChangeAspect="1"/>
        </xdr:cNvPicPr>
      </xdr:nvPicPr>
      <xdr:blipFill>
        <a:blip r:embed="rId19"/>
        <a:stretch>
          <a:fillRect/>
        </a:stretch>
      </xdr:blipFill>
      <xdr:spPr>
        <a:xfrm>
          <a:off x="985520" y="971527140"/>
          <a:ext cx="465455" cy="577850"/>
        </a:xfrm>
        <a:prstGeom prst="rect">
          <a:avLst/>
        </a:prstGeom>
      </xdr:spPr>
    </xdr:pic>
  </etc:cellImage>
  <etc:cellImage>
    <xdr:pic>
      <xdr:nvPicPr>
        <xdr:cNvPr id="61" name="ID_21BE528AF4714D5CB2946E28AE2B61F6" descr="YILHM0107_1"/>
        <xdr:cNvPicPr>
          <a:picLocks noChangeAspect="1"/>
        </xdr:cNvPicPr>
      </xdr:nvPicPr>
      <xdr:blipFill>
        <a:blip r:embed="rId20"/>
        <a:stretch>
          <a:fillRect/>
        </a:stretch>
      </xdr:blipFill>
      <xdr:spPr>
        <a:xfrm>
          <a:off x="983615" y="1035621500"/>
          <a:ext cx="436880" cy="641350"/>
        </a:xfrm>
        <a:prstGeom prst="rect">
          <a:avLst/>
        </a:prstGeom>
      </xdr:spPr>
    </xdr:pic>
  </etc:cellImage>
  <etc:cellImage>
    <xdr:pic>
      <xdr:nvPicPr>
        <xdr:cNvPr id="62" name="ID_0A7224B17DBC46D78E3CFBA92FF16148" descr="IMG_2187"/>
        <xdr:cNvPicPr>
          <a:picLocks noChangeAspect="1"/>
        </xdr:cNvPicPr>
      </xdr:nvPicPr>
      <xdr:blipFill>
        <a:blip r:embed="rId21"/>
        <a:stretch>
          <a:fillRect/>
        </a:stretch>
      </xdr:blipFill>
      <xdr:spPr>
        <a:xfrm>
          <a:off x="959485" y="1036278725"/>
          <a:ext cx="417195" cy="604520"/>
        </a:xfrm>
        <a:prstGeom prst="rect">
          <a:avLst/>
        </a:prstGeom>
      </xdr:spPr>
    </xdr:pic>
  </etc:cellImage>
  <etc:cellImage>
    <xdr:pic>
      <xdr:nvPicPr>
        <xdr:cNvPr id="63" name="ID_10BC08E7CE7C4BF4BAFC2397BD828897" descr="IMG_2237"/>
        <xdr:cNvPicPr>
          <a:picLocks noChangeAspect="1"/>
        </xdr:cNvPicPr>
      </xdr:nvPicPr>
      <xdr:blipFill>
        <a:blip r:embed="rId22"/>
        <a:srcRect t="7807" b="9885"/>
        <a:stretch>
          <a:fillRect/>
        </a:stretch>
      </xdr:blipFill>
      <xdr:spPr>
        <a:xfrm>
          <a:off x="991870" y="1036939760"/>
          <a:ext cx="455930" cy="547370"/>
        </a:xfrm>
        <a:prstGeom prst="rect">
          <a:avLst/>
        </a:prstGeom>
      </xdr:spPr>
    </xdr:pic>
  </etc:cellImage>
  <etc:cellImage>
    <xdr:pic>
      <xdr:nvPicPr>
        <xdr:cNvPr id="64" name="ID_10D057D68DAE4E4B8C0E6236A387883F" descr="IMG_2193 2"/>
        <xdr:cNvPicPr>
          <a:picLocks noChangeAspect="1"/>
        </xdr:cNvPicPr>
      </xdr:nvPicPr>
      <xdr:blipFill>
        <a:blip r:embed="rId23"/>
        <a:stretch>
          <a:fillRect/>
        </a:stretch>
      </xdr:blipFill>
      <xdr:spPr>
        <a:xfrm>
          <a:off x="975995" y="1037562060"/>
          <a:ext cx="387985" cy="570230"/>
        </a:xfrm>
        <a:prstGeom prst="rect">
          <a:avLst/>
        </a:prstGeom>
      </xdr:spPr>
    </xdr:pic>
  </etc:cellImage>
  <etc:cellImage>
    <xdr:pic>
      <xdr:nvPicPr>
        <xdr:cNvPr id="70" name="ID_BE20E88A6FB349A6927548A6F0EDC81B" descr="YILHM0118_1"/>
        <xdr:cNvPicPr>
          <a:picLocks noChangeAspect="1"/>
        </xdr:cNvPicPr>
      </xdr:nvPicPr>
      <xdr:blipFill>
        <a:blip r:embed="rId24"/>
        <a:stretch>
          <a:fillRect/>
        </a:stretch>
      </xdr:blipFill>
      <xdr:spPr>
        <a:xfrm>
          <a:off x="944880" y="1043241500"/>
          <a:ext cx="390525" cy="604520"/>
        </a:xfrm>
        <a:prstGeom prst="rect">
          <a:avLst/>
        </a:prstGeom>
      </xdr:spPr>
    </xdr:pic>
  </etc:cellImage>
  <etc:cellImage>
    <xdr:pic>
      <xdr:nvPicPr>
        <xdr:cNvPr id="69" name="ID_252A756DF14448CB950ADF167E6B2F36" descr="YILHM0118_1"/>
        <xdr:cNvPicPr>
          <a:picLocks noChangeAspect="1"/>
        </xdr:cNvPicPr>
      </xdr:nvPicPr>
      <xdr:blipFill>
        <a:blip r:embed="rId24"/>
        <a:stretch>
          <a:fillRect/>
        </a:stretch>
      </xdr:blipFill>
      <xdr:spPr>
        <a:xfrm>
          <a:off x="967740" y="1042630630"/>
          <a:ext cx="390525" cy="604520"/>
        </a:xfrm>
        <a:prstGeom prst="rect">
          <a:avLst/>
        </a:prstGeom>
      </xdr:spPr>
    </xdr:pic>
  </etc:cellImage>
  <etc:cellImage>
    <xdr:pic>
      <xdr:nvPicPr>
        <xdr:cNvPr id="68" name="ID_F0D76E3F1A9C42489C4E2DA0176D3388" descr="YILHM0117_1"/>
        <xdr:cNvPicPr>
          <a:picLocks noChangeAspect="1"/>
        </xdr:cNvPicPr>
      </xdr:nvPicPr>
      <xdr:blipFill>
        <a:blip r:embed="rId25"/>
        <a:stretch>
          <a:fillRect/>
        </a:stretch>
      </xdr:blipFill>
      <xdr:spPr>
        <a:xfrm>
          <a:off x="975360" y="1041982930"/>
          <a:ext cx="435610" cy="643890"/>
        </a:xfrm>
        <a:prstGeom prst="rect">
          <a:avLst/>
        </a:prstGeom>
      </xdr:spPr>
    </xdr:pic>
  </etc:cellImage>
  <etc:cellImage>
    <xdr:pic>
      <xdr:nvPicPr>
        <xdr:cNvPr id="67" name="ID_E78F5D080EDD475DAA7CB176C965852E" descr="YILHM0116_1"/>
        <xdr:cNvPicPr>
          <a:picLocks noChangeAspect="1"/>
        </xdr:cNvPicPr>
      </xdr:nvPicPr>
      <xdr:blipFill>
        <a:blip r:embed="rId26"/>
        <a:stretch>
          <a:fillRect/>
        </a:stretch>
      </xdr:blipFill>
      <xdr:spPr>
        <a:xfrm>
          <a:off x="962660" y="1041348565"/>
          <a:ext cx="401955" cy="596265"/>
        </a:xfrm>
        <a:prstGeom prst="rect">
          <a:avLst/>
        </a:prstGeom>
      </xdr:spPr>
    </xdr:pic>
  </etc:cellImage>
  <etc:cellImage>
    <xdr:pic>
      <xdr:nvPicPr>
        <xdr:cNvPr id="66" name="ID_2D0D706DB7AE40C6B6E6EC219AB5C027" descr="YILHM0114_1"/>
        <xdr:cNvPicPr>
          <a:picLocks noChangeAspect="1"/>
        </xdr:cNvPicPr>
      </xdr:nvPicPr>
      <xdr:blipFill>
        <a:blip r:embed="rId27"/>
        <a:stretch>
          <a:fillRect/>
        </a:stretch>
      </xdr:blipFill>
      <xdr:spPr>
        <a:xfrm>
          <a:off x="958850" y="1040088725"/>
          <a:ext cx="440055" cy="610870"/>
        </a:xfrm>
        <a:prstGeom prst="rect">
          <a:avLst/>
        </a:prstGeom>
      </xdr:spPr>
    </xdr:pic>
  </etc:cellImage>
  <etc:cellImage>
    <xdr:pic>
      <xdr:nvPicPr>
        <xdr:cNvPr id="65" name="ID_27B5E98B571C49E7944C572ACCBD5B70" descr="YILHM0115_1"/>
        <xdr:cNvPicPr>
          <a:picLocks noChangeAspect="1"/>
        </xdr:cNvPicPr>
      </xdr:nvPicPr>
      <xdr:blipFill>
        <a:blip r:embed="rId28"/>
        <a:stretch>
          <a:fillRect/>
        </a:stretch>
      </xdr:blipFill>
      <xdr:spPr>
        <a:xfrm>
          <a:off x="988695" y="1040720550"/>
          <a:ext cx="412750" cy="599440"/>
        </a:xfrm>
        <a:prstGeom prst="rect">
          <a:avLst/>
        </a:prstGeom>
      </xdr:spPr>
    </xdr:pic>
  </etc:cellImage>
  <etc:cellImage>
    <xdr:pic>
      <xdr:nvPicPr>
        <xdr:cNvPr id="78" name="ID_E147D2FEB55342439B78D68CD73568BA" descr="IMG_2366"/>
        <xdr:cNvPicPr>
          <a:picLocks noChangeAspect="1"/>
        </xdr:cNvPicPr>
      </xdr:nvPicPr>
      <xdr:blipFill>
        <a:blip r:embed="rId29"/>
        <a:stretch>
          <a:fillRect/>
        </a:stretch>
      </xdr:blipFill>
      <xdr:spPr>
        <a:xfrm>
          <a:off x="971550" y="975961345"/>
          <a:ext cx="398145" cy="589915"/>
        </a:xfrm>
        <a:prstGeom prst="rect">
          <a:avLst/>
        </a:prstGeom>
      </xdr:spPr>
    </xdr:pic>
  </etc:cellImage>
  <etc:cellImage>
    <xdr:pic>
      <xdr:nvPicPr>
        <xdr:cNvPr id="79" name="ID_55313014813345A0B08CAA51D07E216F" descr="IMG_2259"/>
        <xdr:cNvPicPr>
          <a:picLocks noChangeAspect="1"/>
        </xdr:cNvPicPr>
      </xdr:nvPicPr>
      <xdr:blipFill>
        <a:blip r:embed="rId30"/>
        <a:srcRect t="25818" b="27351"/>
        <a:stretch>
          <a:fillRect/>
        </a:stretch>
      </xdr:blipFill>
      <xdr:spPr>
        <a:xfrm>
          <a:off x="977265" y="1045233495"/>
          <a:ext cx="729615" cy="483870"/>
        </a:xfrm>
        <a:prstGeom prst="rect">
          <a:avLst/>
        </a:prstGeom>
      </xdr:spPr>
    </xdr:pic>
  </etc:cellImage>
  <etc:cellImage>
    <xdr:pic>
      <xdr:nvPicPr>
        <xdr:cNvPr id="80" name="ID_3D450F2A6B7C47C59B1BC9781F1455B8" descr="YILHM0145_1"/>
        <xdr:cNvPicPr>
          <a:picLocks noChangeAspect="1"/>
        </xdr:cNvPicPr>
      </xdr:nvPicPr>
      <xdr:blipFill>
        <a:blip r:embed="rId31"/>
        <a:stretch>
          <a:fillRect/>
        </a:stretch>
      </xdr:blipFill>
      <xdr:spPr>
        <a:xfrm>
          <a:off x="1005205" y="1047720790"/>
          <a:ext cx="394970" cy="583565"/>
        </a:xfrm>
        <a:prstGeom prst="rect">
          <a:avLst/>
        </a:prstGeom>
      </xdr:spPr>
    </xdr:pic>
  </etc:cellImage>
  <etc:cellImage>
    <xdr:pic>
      <xdr:nvPicPr>
        <xdr:cNvPr id="81" name="ID_FEA31DA4C4624707BACE85D4A3AE66F3" descr="YILHM0146_1"/>
        <xdr:cNvPicPr>
          <a:picLocks noChangeAspect="1"/>
        </xdr:cNvPicPr>
      </xdr:nvPicPr>
      <xdr:blipFill>
        <a:blip r:embed="rId32"/>
        <a:stretch>
          <a:fillRect/>
        </a:stretch>
      </xdr:blipFill>
      <xdr:spPr>
        <a:xfrm>
          <a:off x="1008380" y="1048327215"/>
          <a:ext cx="393065" cy="595630"/>
        </a:xfrm>
        <a:prstGeom prst="rect">
          <a:avLst/>
        </a:prstGeom>
      </xdr:spPr>
    </xdr:pic>
  </etc:cellImage>
  <etc:cellImage>
    <xdr:pic>
      <xdr:nvPicPr>
        <xdr:cNvPr id="82" name="ID_22CAB55638B04FF8A0B296359D1A0FC6" descr="YILHM0147_1"/>
        <xdr:cNvPicPr>
          <a:picLocks noChangeAspect="1"/>
        </xdr:cNvPicPr>
      </xdr:nvPicPr>
      <xdr:blipFill>
        <a:blip r:embed="rId33"/>
        <a:stretch>
          <a:fillRect/>
        </a:stretch>
      </xdr:blipFill>
      <xdr:spPr>
        <a:xfrm>
          <a:off x="1019810" y="1048993330"/>
          <a:ext cx="375920" cy="565785"/>
        </a:xfrm>
        <a:prstGeom prst="rect">
          <a:avLst/>
        </a:prstGeom>
      </xdr:spPr>
    </xdr:pic>
  </etc:cellImage>
  <etc:cellImage>
    <xdr:pic>
      <xdr:nvPicPr>
        <xdr:cNvPr id="84" name="ID_889E5EDE8DBF42C6AEB0EA24F37D82AF" descr="YILHM0061_5"/>
        <xdr:cNvPicPr>
          <a:picLocks noChangeAspect="1"/>
        </xdr:cNvPicPr>
      </xdr:nvPicPr>
      <xdr:blipFill>
        <a:blip r:embed="rId34"/>
        <a:srcRect t="10692" b="10692"/>
        <a:stretch>
          <a:fillRect/>
        </a:stretch>
      </xdr:blipFill>
      <xdr:spPr>
        <a:xfrm>
          <a:off x="974725" y="1004550950"/>
          <a:ext cx="526415" cy="573405"/>
        </a:xfrm>
        <a:prstGeom prst="rect">
          <a:avLst/>
        </a:prstGeom>
      </xdr:spPr>
    </xdr:pic>
  </etc:cellImage>
  <etc:cellImage>
    <xdr:pic>
      <xdr:nvPicPr>
        <xdr:cNvPr id="83" name="ID_677C6FEC13954461A125BE698441BF2E" descr="YILHM0060_1"/>
        <xdr:cNvPicPr>
          <a:picLocks noChangeAspect="1"/>
        </xdr:cNvPicPr>
      </xdr:nvPicPr>
      <xdr:blipFill>
        <a:blip r:embed="rId35"/>
        <a:stretch>
          <a:fillRect/>
        </a:stretch>
      </xdr:blipFill>
      <xdr:spPr>
        <a:xfrm>
          <a:off x="1003300" y="1003878485"/>
          <a:ext cx="406400" cy="605155"/>
        </a:xfrm>
        <a:prstGeom prst="rect">
          <a:avLst/>
        </a:prstGeom>
      </xdr:spPr>
    </xdr:pic>
  </etc:cellImage>
  <etc:cellImage>
    <xdr:pic>
      <xdr:nvPicPr>
        <xdr:cNvPr id="12" name="ID_C124F5B9512D4E3CA04E0645BE99C60D" descr="YILHM0062_1"/>
        <xdr:cNvPicPr>
          <a:picLocks noChangeAspect="1"/>
        </xdr:cNvPicPr>
      </xdr:nvPicPr>
      <xdr:blipFill>
        <a:blip r:embed="rId36"/>
        <a:srcRect t="14095" b="11738"/>
        <a:stretch>
          <a:fillRect/>
        </a:stretch>
      </xdr:blipFill>
      <xdr:spPr>
        <a:xfrm>
          <a:off x="1030605" y="1005167535"/>
          <a:ext cx="527685" cy="581660"/>
        </a:xfrm>
        <a:prstGeom prst="rect">
          <a:avLst/>
        </a:prstGeom>
      </xdr:spPr>
    </xdr:pic>
  </etc:cellImage>
  <etc:cellImage>
    <xdr:pic>
      <xdr:nvPicPr>
        <xdr:cNvPr id="87" name="ID_315F63E0D5474F3D9FF9A5DDC0C4A126" descr="YILHM0059_2"/>
        <xdr:cNvPicPr>
          <a:picLocks noChangeAspect="1"/>
        </xdr:cNvPicPr>
      </xdr:nvPicPr>
      <xdr:blipFill>
        <a:blip r:embed="rId37"/>
        <a:stretch>
          <a:fillRect/>
        </a:stretch>
      </xdr:blipFill>
      <xdr:spPr>
        <a:xfrm>
          <a:off x="986790" y="1003243485"/>
          <a:ext cx="450850" cy="620395"/>
        </a:xfrm>
        <a:prstGeom prst="rect">
          <a:avLst/>
        </a:prstGeom>
      </xdr:spPr>
    </xdr:pic>
  </etc:cellImage>
  <etc:cellImage>
    <xdr:pic>
      <xdr:nvPicPr>
        <xdr:cNvPr id="86" name="ID_894A73110135420E8DEE306F1483BDB8" descr="YILHM0063_1"/>
        <xdr:cNvPicPr>
          <a:picLocks noChangeAspect="1"/>
        </xdr:cNvPicPr>
      </xdr:nvPicPr>
      <xdr:blipFill>
        <a:blip r:embed="rId38"/>
        <a:srcRect t="7723" b="12071"/>
        <a:stretch>
          <a:fillRect/>
        </a:stretch>
      </xdr:blipFill>
      <xdr:spPr>
        <a:xfrm>
          <a:off x="985520" y="1005824125"/>
          <a:ext cx="440690" cy="532130"/>
        </a:xfrm>
        <a:prstGeom prst="rect">
          <a:avLst/>
        </a:prstGeom>
      </xdr:spPr>
    </xdr:pic>
  </etc:cellImage>
  <etc:cellImage>
    <xdr:pic>
      <xdr:nvPicPr>
        <xdr:cNvPr id="88" name="ID_F6391F3813FA4E8FA4EC1E07ADF257DE" descr="YILHM0057_2"/>
        <xdr:cNvPicPr>
          <a:picLocks noChangeAspect="1"/>
        </xdr:cNvPicPr>
      </xdr:nvPicPr>
      <xdr:blipFill>
        <a:blip r:embed="rId39"/>
        <a:srcRect t="9312" b="9312"/>
        <a:stretch>
          <a:fillRect/>
        </a:stretch>
      </xdr:blipFill>
      <xdr:spPr>
        <a:xfrm>
          <a:off x="988060" y="1002000155"/>
          <a:ext cx="423545" cy="506730"/>
        </a:xfrm>
        <a:prstGeom prst="rect">
          <a:avLst/>
        </a:prstGeom>
      </xdr:spPr>
    </xdr:pic>
  </etc:cellImage>
  <etc:cellImage>
    <xdr:pic>
      <xdr:nvPicPr>
        <xdr:cNvPr id="89" name="ID_EFB0578B518248C1B857153ADB5E7172" descr="YILHM0073_1"/>
        <xdr:cNvPicPr>
          <a:picLocks noChangeAspect="1"/>
        </xdr:cNvPicPr>
      </xdr:nvPicPr>
      <xdr:blipFill>
        <a:blip r:embed="rId40"/>
        <a:stretch>
          <a:fillRect/>
        </a:stretch>
      </xdr:blipFill>
      <xdr:spPr>
        <a:xfrm>
          <a:off x="982345" y="1012174760"/>
          <a:ext cx="324485" cy="492125"/>
        </a:xfrm>
        <a:prstGeom prst="rect">
          <a:avLst/>
        </a:prstGeom>
      </xdr:spPr>
    </xdr:pic>
  </etc:cellImage>
  <etc:cellImage>
    <xdr:pic>
      <xdr:nvPicPr>
        <xdr:cNvPr id="91" name="ID_97E71C483F3C4CBC88BA1DD756B0EB14" descr="YILHM0075_1"/>
        <xdr:cNvPicPr>
          <a:picLocks noChangeAspect="1"/>
        </xdr:cNvPicPr>
      </xdr:nvPicPr>
      <xdr:blipFill>
        <a:blip r:embed="rId41"/>
        <a:stretch>
          <a:fillRect/>
        </a:stretch>
      </xdr:blipFill>
      <xdr:spPr>
        <a:xfrm>
          <a:off x="1010920" y="1013431425"/>
          <a:ext cx="426085" cy="558800"/>
        </a:xfrm>
        <a:prstGeom prst="rect">
          <a:avLst/>
        </a:prstGeom>
      </xdr:spPr>
    </xdr:pic>
  </etc:cellImage>
  <etc:cellImage>
    <xdr:pic>
      <xdr:nvPicPr>
        <xdr:cNvPr id="13" name="ID_08EB29356B4D4141A7357EF1ABF5545E" descr="YILHM0074_1"/>
        <xdr:cNvPicPr>
          <a:picLocks noChangeAspect="1"/>
        </xdr:cNvPicPr>
      </xdr:nvPicPr>
      <xdr:blipFill>
        <a:blip r:embed="rId42"/>
        <a:stretch>
          <a:fillRect/>
        </a:stretch>
      </xdr:blipFill>
      <xdr:spPr>
        <a:xfrm>
          <a:off x="1090295" y="1012784995"/>
          <a:ext cx="403225" cy="589280"/>
        </a:xfrm>
        <a:prstGeom prst="rect">
          <a:avLst/>
        </a:prstGeom>
      </xdr:spPr>
    </xdr:pic>
  </etc:cellImage>
  <etc:cellImage>
    <xdr:pic>
      <xdr:nvPicPr>
        <xdr:cNvPr id="92" name="ID_6FB794C641B84A03B4564E8FDD724AD0" descr="YILHM0076_1"/>
        <xdr:cNvPicPr>
          <a:picLocks noChangeAspect="1"/>
        </xdr:cNvPicPr>
      </xdr:nvPicPr>
      <xdr:blipFill>
        <a:blip r:embed="rId43"/>
        <a:srcRect t="12003" b="10099"/>
        <a:stretch>
          <a:fillRect/>
        </a:stretch>
      </xdr:blipFill>
      <xdr:spPr>
        <a:xfrm>
          <a:off x="987425" y="1014044835"/>
          <a:ext cx="502920" cy="589280"/>
        </a:xfrm>
        <a:prstGeom prst="rect">
          <a:avLst/>
        </a:prstGeom>
      </xdr:spPr>
    </xdr:pic>
  </etc:cellImage>
  <etc:cellImage>
    <xdr:pic>
      <xdr:nvPicPr>
        <xdr:cNvPr id="15" name="ID_A91DFB2CBB434112A64908E008E8E85E" descr="IMG_2398"/>
        <xdr:cNvPicPr>
          <a:picLocks noChangeAspect="1"/>
        </xdr:cNvPicPr>
      </xdr:nvPicPr>
      <xdr:blipFill>
        <a:blip r:embed="rId44"/>
        <a:stretch>
          <a:fillRect/>
        </a:stretch>
      </xdr:blipFill>
      <xdr:spPr>
        <a:xfrm>
          <a:off x="1007110" y="981673805"/>
          <a:ext cx="376555" cy="565150"/>
        </a:xfrm>
        <a:prstGeom prst="rect">
          <a:avLst/>
        </a:prstGeom>
      </xdr:spPr>
    </xdr:pic>
  </etc:cellImage>
  <etc:cellImage>
    <xdr:pic>
      <xdr:nvPicPr>
        <xdr:cNvPr id="94" name="ID_331F02D25F0A44B3BA958E8D17162AD4" descr="IMG_2357"/>
        <xdr:cNvPicPr>
          <a:picLocks noChangeAspect="1"/>
        </xdr:cNvPicPr>
      </xdr:nvPicPr>
      <xdr:blipFill>
        <a:blip r:embed="rId45"/>
        <a:stretch>
          <a:fillRect/>
        </a:stretch>
      </xdr:blipFill>
      <xdr:spPr>
        <a:xfrm>
          <a:off x="987425" y="976615395"/>
          <a:ext cx="378460" cy="556260"/>
        </a:xfrm>
        <a:prstGeom prst="rect">
          <a:avLst/>
        </a:prstGeom>
      </xdr:spPr>
    </xdr:pic>
  </etc:cellImage>
</etc:cellImages>
</file>

<file path=xl/comments1.xml><?xml version="1.0" encoding="utf-8"?>
<comments xmlns="http://schemas.openxmlformats.org/spreadsheetml/2006/main">
  <authors>
    <author>Microsoft Office User</author>
  </authors>
  <commentList>
    <comment ref="C752" authorId="0">
      <text>
        <r>
          <rPr>
            <b/>
            <sz val="10"/>
            <color rgb="FF000000"/>
            <rFont val="Tahoma"/>
            <charset val="134"/>
          </rPr>
          <t>Microsoft Office User:</t>
        </r>
        <r>
          <rPr>
            <sz val="10"/>
            <color rgb="FF000000"/>
            <rFont val="Tahoma"/>
            <charset val="134"/>
          </rPr>
          <t xml:space="preserve">
por cobrar</t>
        </r>
      </text>
    </comment>
  </commentList>
</comments>
</file>

<file path=xl/sharedStrings.xml><?xml version="1.0" encoding="utf-8"?>
<sst xmlns="http://schemas.openxmlformats.org/spreadsheetml/2006/main" count="14894" uniqueCount="3752">
  <si>
    <t>Code</t>
  </si>
  <si>
    <t>Foto</t>
  </si>
  <si>
    <t>Type</t>
  </si>
  <si>
    <t>Category</t>
  </si>
  <si>
    <t>Nombre del artículo</t>
  </si>
  <si>
    <t>Talla</t>
  </si>
  <si>
    <t>Brand</t>
  </si>
  <si>
    <t>Precio</t>
  </si>
  <si>
    <t>Pricing 1</t>
  </si>
  <si>
    <t>Entradas</t>
  </si>
  <si>
    <t>Salidas</t>
  </si>
  <si>
    <t>Stock Actual</t>
  </si>
  <si>
    <t>Comisión 10%</t>
  </si>
  <si>
    <t>Costo Unitario (MXN)</t>
  </si>
  <si>
    <t>USD -&gt; MXN</t>
  </si>
  <si>
    <t>Costo Unitario (USD)</t>
  </si>
  <si>
    <t>Peso (g)</t>
  </si>
  <si>
    <t>Precio Envío Kilogramo (USD)</t>
  </si>
  <si>
    <t>Costo Envío (USD)</t>
  </si>
  <si>
    <t>Costo total</t>
  </si>
  <si>
    <t>Precio Venta Ideal (x1.5)</t>
  </si>
  <si>
    <t>Precio Final</t>
  </si>
  <si>
    <t>Ganancia Unitaria</t>
  </si>
  <si>
    <t>Ganancia x Cant Ventas</t>
  </si>
  <si>
    <t>Detalles de la Compra</t>
  </si>
  <si>
    <t>Comisión Bazar 25%</t>
  </si>
  <si>
    <t>Gastos totales</t>
  </si>
  <si>
    <t>Valor Stock Actual</t>
  </si>
  <si>
    <t>Precio Promocion</t>
  </si>
  <si>
    <t>UB0001</t>
  </si>
  <si>
    <t>PRODUCT</t>
  </si>
  <si>
    <t>trajes-de-bano /ofertas</t>
  </si>
  <si>
    <t xml:space="preserve">Pareo falda </t>
  </si>
  <si>
    <t>Talla Única Marca SHEIN</t>
  </si>
  <si>
    <t>SHEIN</t>
  </si>
  <si>
    <t>UB0002</t>
  </si>
  <si>
    <t>Trajes de baño</t>
  </si>
  <si>
    <t>Bikini Floral</t>
  </si>
  <si>
    <t>Talla XS</t>
  </si>
  <si>
    <t>UB0003</t>
  </si>
  <si>
    <t>Talla XL</t>
  </si>
  <si>
    <t>UB0004</t>
  </si>
  <si>
    <t>Vestidos</t>
  </si>
  <si>
    <t>Vestido camisero elegante</t>
  </si>
  <si>
    <t>Talla L</t>
  </si>
  <si>
    <t>UB0005</t>
  </si>
  <si>
    <t>Vestido Camisero Elegante</t>
  </si>
  <si>
    <t>Talla M</t>
  </si>
  <si>
    <t>V0003</t>
  </si>
  <si>
    <t>PA0001</t>
  </si>
  <si>
    <t>Pareo Pantalón</t>
  </si>
  <si>
    <t>Inventario Enero 2024</t>
  </si>
  <si>
    <t>PA0002</t>
  </si>
  <si>
    <t>Pareo pantalón</t>
  </si>
  <si>
    <t>PA0003</t>
  </si>
  <si>
    <t>Pareo pantalón en malla</t>
  </si>
  <si>
    <t>T0001</t>
  </si>
  <si>
    <t xml:space="preserve">Bañador con cremallera </t>
  </si>
  <si>
    <t>UB0006</t>
  </si>
  <si>
    <t>Bikini Mangas Fuccia</t>
  </si>
  <si>
    <t>Talla S</t>
  </si>
  <si>
    <t>UB0007</t>
  </si>
  <si>
    <t>UB0008</t>
  </si>
  <si>
    <t>Enguatada con protección UV</t>
  </si>
  <si>
    <t>UB0009</t>
  </si>
  <si>
    <t>Bañador Elegante con Lazo</t>
  </si>
  <si>
    <t>UB0010</t>
  </si>
  <si>
    <t>Bikini Elegante con Herrajes</t>
  </si>
  <si>
    <t>BI0004</t>
  </si>
  <si>
    <t>T0003</t>
  </si>
  <si>
    <t>Bañador de una pieza con degradado</t>
  </si>
  <si>
    <t>T0004</t>
  </si>
  <si>
    <t>Bañador con estampado floral</t>
  </si>
  <si>
    <t>UB0011</t>
  </si>
  <si>
    <t xml:space="preserve">Bañador floral </t>
  </si>
  <si>
    <t>UB0012</t>
  </si>
  <si>
    <t>Pareo pantalón de malla</t>
  </si>
  <si>
    <t>UB0013</t>
  </si>
  <si>
    <t>Bikini con cordón lateral</t>
  </si>
  <si>
    <t>UB0014</t>
  </si>
  <si>
    <t>trajes-de-bano /Curvy</t>
  </si>
  <si>
    <t>Talla XL Marca SHEIN</t>
  </si>
  <si>
    <t>UB0015</t>
  </si>
  <si>
    <t>Enguatada solera sin parte de abajo</t>
  </si>
  <si>
    <t>UB0016</t>
  </si>
  <si>
    <t>Bikini elegante con herrajes color humo</t>
  </si>
  <si>
    <t>Talla S Marca SHEIN</t>
  </si>
  <si>
    <t>UB0017</t>
  </si>
  <si>
    <t>UB0018</t>
  </si>
  <si>
    <t>Bañador con Cremallera</t>
  </si>
  <si>
    <t>Talla 2XL</t>
  </si>
  <si>
    <t>T0008</t>
  </si>
  <si>
    <t>Bañador una pieza de malla en contraste</t>
  </si>
  <si>
    <t>BI0008</t>
  </si>
  <si>
    <t>Sets de Bikini Casual</t>
  </si>
  <si>
    <t>T0009</t>
  </si>
  <si>
    <t xml:space="preserve">Bañador estampado de planta </t>
  </si>
  <si>
    <t>T0010</t>
  </si>
  <si>
    <t>Bañador estampado de planta</t>
  </si>
  <si>
    <t>T0011</t>
  </si>
  <si>
    <t>UB0019</t>
  </si>
  <si>
    <t>trajes-de-bano</t>
  </si>
  <si>
    <t>T0012</t>
  </si>
  <si>
    <t xml:space="preserve">Bañador con tira cruzada </t>
  </si>
  <si>
    <t>UB0020</t>
  </si>
  <si>
    <t>UB0021</t>
  </si>
  <si>
    <t>Bikini elegante con herrajes color negro</t>
  </si>
  <si>
    <t>T0013</t>
  </si>
  <si>
    <t>Bañador color combinado</t>
  </si>
  <si>
    <t>T0014</t>
  </si>
  <si>
    <t>Bañador de zíper en color combinado</t>
  </si>
  <si>
    <t>UB0022</t>
  </si>
  <si>
    <t>UB0023</t>
  </si>
  <si>
    <t>Bikini Mangas Negro</t>
  </si>
  <si>
    <t>BI0012</t>
  </si>
  <si>
    <t>T0017</t>
  </si>
  <si>
    <t>T0018</t>
  </si>
  <si>
    <t>Bañador en contraste con cremallera</t>
  </si>
  <si>
    <t>T0019</t>
  </si>
  <si>
    <t>Bañador color combinado con cremallera_S</t>
  </si>
  <si>
    <t>UB0024</t>
  </si>
  <si>
    <t>Bañador una pieza tropical</t>
  </si>
  <si>
    <t>TN0001</t>
  </si>
  <si>
    <t>Traje de baño niñas</t>
  </si>
  <si>
    <t>Bikini chicas estampado tropical</t>
  </si>
  <si>
    <t>Talla 11_Años</t>
  </si>
  <si>
    <t>TN0002</t>
  </si>
  <si>
    <t>Bañador chicas con estampado de letra con cremallera</t>
  </si>
  <si>
    <t>Talla 10_11Años</t>
  </si>
  <si>
    <t>UB0025</t>
  </si>
  <si>
    <t>Trajes de baño niñas /ofertas</t>
  </si>
  <si>
    <t>Bibiki niñita Pez</t>
  </si>
  <si>
    <t>Talla 4_Años</t>
  </si>
  <si>
    <t>UB0026</t>
  </si>
  <si>
    <t>Trajes de baño niñas</t>
  </si>
  <si>
    <t>Traje de baño Mariposa</t>
  </si>
  <si>
    <t>Talla 14_Años</t>
  </si>
  <si>
    <t>TN0005</t>
  </si>
  <si>
    <t>Bañador con estampado de girasol con cover up</t>
  </si>
  <si>
    <t>Talla 10_Años</t>
  </si>
  <si>
    <t>UB0027</t>
  </si>
  <si>
    <t>Bikini niñitas Sandía</t>
  </si>
  <si>
    <t>UB0028</t>
  </si>
  <si>
    <t>Talla 6_Años</t>
  </si>
  <si>
    <t>UB0029</t>
  </si>
  <si>
    <t>Traje de baño niñitas Pastel con diadema</t>
  </si>
  <si>
    <t>Talla 4_Años Marca SHEIN</t>
  </si>
  <si>
    <t>UB0030</t>
  </si>
  <si>
    <t>Bikini niñitas unicornio con Diadema</t>
  </si>
  <si>
    <t>Talla 7_Años Marca SHEIN</t>
  </si>
  <si>
    <t>UB0031</t>
  </si>
  <si>
    <t>Partes-de-abajo</t>
  </si>
  <si>
    <t>Jean Boyfriend con rotos</t>
  </si>
  <si>
    <t>UB0032</t>
  </si>
  <si>
    <t>Jeans</t>
  </si>
  <si>
    <t>Jeans de pierna recta desgarro</t>
  </si>
  <si>
    <t>UB0033</t>
  </si>
  <si>
    <t>P0004</t>
  </si>
  <si>
    <t>UB0034</t>
  </si>
  <si>
    <t>UB0035</t>
  </si>
  <si>
    <t>Bikini niñita Arcoíris</t>
  </si>
  <si>
    <t>UB0036</t>
  </si>
  <si>
    <t>Bañador una pieza con adorno de mariposas</t>
  </si>
  <si>
    <t>UB0037</t>
  </si>
  <si>
    <t>Traje de baño niñitas malla protectora</t>
  </si>
  <si>
    <t>V0004</t>
  </si>
  <si>
    <t>Vestido de manga farol con cordón delantero</t>
  </si>
  <si>
    <t>Yenma 19 Mayo</t>
  </si>
  <si>
    <t>UB0038</t>
  </si>
  <si>
    <t>Vestido con estampado floral con abertura alta</t>
  </si>
  <si>
    <t>V0006</t>
  </si>
  <si>
    <t>Vestido floral de cuello cuadrado</t>
  </si>
  <si>
    <t>B0001</t>
  </si>
  <si>
    <t>Tops</t>
  </si>
  <si>
    <t>Camiseta unicolor de malla</t>
  </si>
  <si>
    <t>UB0039</t>
  </si>
  <si>
    <t xml:space="preserve">Vestido cruzado con abertura con nudo delantero </t>
  </si>
  <si>
    <t>UB0040</t>
  </si>
  <si>
    <t>Vestido cruzado con abertura con nudo delantero</t>
  </si>
  <si>
    <t>UB0041</t>
  </si>
  <si>
    <t>Top de manga farol con abertura en espalda</t>
  </si>
  <si>
    <t>UB0042</t>
  </si>
  <si>
    <t>B0004</t>
  </si>
  <si>
    <t>Top de manga farol con abertura en espald</t>
  </si>
  <si>
    <t>UB0043</t>
  </si>
  <si>
    <t>Blusa espalda cruzada color rosa</t>
  </si>
  <si>
    <t>Talla XS Marca SHEIN</t>
  </si>
  <si>
    <t>UB0044</t>
  </si>
  <si>
    <t xml:space="preserve"> Top de espalda cruzada</t>
  </si>
  <si>
    <t>Talla M Color Rosa_Pálido</t>
  </si>
  <si>
    <t>P0005</t>
  </si>
  <si>
    <t>Pantalones de pierna ancha de talle alto con abertura</t>
  </si>
  <si>
    <t>UB0045</t>
  </si>
  <si>
    <t>UB0046</t>
  </si>
  <si>
    <t>UB0047</t>
  </si>
  <si>
    <t>Partes-de-abajo /ofertas</t>
  </si>
  <si>
    <t>Falda de trabajo entallada</t>
  </si>
  <si>
    <t>UB0048</t>
  </si>
  <si>
    <t>Partes-de-abajo /ofertas /curvy</t>
  </si>
  <si>
    <t>V0009</t>
  </si>
  <si>
    <t>Vestido ajustado de tirantes</t>
  </si>
  <si>
    <t>UB0049</t>
  </si>
  <si>
    <t>Vestidos /Curvy /ofertas</t>
  </si>
  <si>
    <t>Vestido moca ajustado</t>
  </si>
  <si>
    <t>Talla L Marca SHEIN</t>
  </si>
  <si>
    <t>UB0050</t>
  </si>
  <si>
    <t>Vestido de satén ajustado de tirantes fruncido</t>
  </si>
  <si>
    <t>UB0055</t>
  </si>
  <si>
    <t>Maxi vestido de bajo floral</t>
  </si>
  <si>
    <t>UB0056</t>
  </si>
  <si>
    <t>Talla M Marca SHEIN</t>
  </si>
  <si>
    <t>UB0057</t>
  </si>
  <si>
    <t>Vestidos /Curvy</t>
  </si>
  <si>
    <t>Maxi vestido con bajo floral</t>
  </si>
  <si>
    <t>UB0058</t>
  </si>
  <si>
    <t>Vestidos /ofertas</t>
  </si>
  <si>
    <t>Vestido de solapa y abertura</t>
  </si>
  <si>
    <t>UB0059</t>
  </si>
  <si>
    <t>UB0060</t>
  </si>
  <si>
    <t>Camisetaen contraste tejido canalé</t>
  </si>
  <si>
    <t>UB0061</t>
  </si>
  <si>
    <t>Vestido slip abertura de espalda abierta de cuello desbocado</t>
  </si>
  <si>
    <t>UB0062</t>
  </si>
  <si>
    <t>Vestido ajustado de tirantes con abertura</t>
  </si>
  <si>
    <t>UB0063</t>
  </si>
  <si>
    <t>UB0064</t>
  </si>
  <si>
    <t xml:space="preserve"> Pantalón ancho con cinturón</t>
  </si>
  <si>
    <t>Talla S Color Negro</t>
  </si>
  <si>
    <t>UB0065</t>
  </si>
  <si>
    <t>Pantalón pierna ancha con cinturón</t>
  </si>
  <si>
    <t>V0020</t>
  </si>
  <si>
    <t>Vestido Esmeralda Fruncido</t>
  </si>
  <si>
    <t>B0008</t>
  </si>
  <si>
    <t>Top estampado de cuello con cordón</t>
  </si>
  <si>
    <t>UB0066</t>
  </si>
  <si>
    <t>Top de cuello con cordón de lunares</t>
  </si>
  <si>
    <t>B0010</t>
  </si>
  <si>
    <t>UB0067</t>
  </si>
  <si>
    <t>Vestido tank tejido de canalé con cinturón</t>
  </si>
  <si>
    <t>UB0068</t>
  </si>
  <si>
    <t>UB0069</t>
  </si>
  <si>
    <t>Vestido de cuello cuadrado de espalda abierta</t>
  </si>
  <si>
    <t>V0025</t>
  </si>
  <si>
    <t>UB0070</t>
  </si>
  <si>
    <t>Blusa de manga mariposa escote V</t>
  </si>
  <si>
    <t>UB0071</t>
  </si>
  <si>
    <t>Tops /Curvy</t>
  </si>
  <si>
    <t>Top de mangas anchas y lentejuelas amarillo</t>
  </si>
  <si>
    <t>UB0072</t>
  </si>
  <si>
    <t>Vestido con abertura con botón floral de margarita</t>
  </si>
  <si>
    <t>UB0073</t>
  </si>
  <si>
    <t>Vestido flor y botones</t>
  </si>
  <si>
    <t>UB0074</t>
  </si>
  <si>
    <t>UB0075</t>
  </si>
  <si>
    <t>Blusa espalda cruzada blanca</t>
  </si>
  <si>
    <t>UB0076</t>
  </si>
  <si>
    <t>Top de espalda cruzada</t>
  </si>
  <si>
    <t>Talla M Color Blanco</t>
  </si>
  <si>
    <t>UB0077</t>
  </si>
  <si>
    <t>Top unicolor de hombros con almohadilla</t>
  </si>
  <si>
    <t>UB0078</t>
  </si>
  <si>
    <t>Blusas Botón Floral Casual</t>
  </si>
  <si>
    <t>UB0079</t>
  </si>
  <si>
    <t>UB0080</t>
  </si>
  <si>
    <t>V0029</t>
  </si>
  <si>
    <t>Vestido de  lunares de cintura con cordó</t>
  </si>
  <si>
    <t>UB0081</t>
  </si>
  <si>
    <t>Vestido Malla en contraste Lunares Elegante</t>
  </si>
  <si>
    <t>UB0082</t>
  </si>
  <si>
    <t>UB0083</t>
  </si>
  <si>
    <t>Vestido playera oversize</t>
  </si>
  <si>
    <t>UB0084</t>
  </si>
  <si>
    <t>Vestido camiseta bajo con abertura</t>
  </si>
  <si>
    <t>UB0085</t>
  </si>
  <si>
    <t>V0035</t>
  </si>
  <si>
    <t>UB0086</t>
  </si>
  <si>
    <t>Falda larga viniletto</t>
  </si>
  <si>
    <t>recibido yenma correos 8mayo</t>
  </si>
  <si>
    <t>UB0087</t>
  </si>
  <si>
    <t>Top de cuello V media manga</t>
  </si>
  <si>
    <t>Talla XXL</t>
  </si>
  <si>
    <t>UB0088</t>
  </si>
  <si>
    <t>Conjuntos /ofertas</t>
  </si>
  <si>
    <t>Conjunto cuadros</t>
  </si>
  <si>
    <t>UB0089</t>
  </si>
  <si>
    <t>Vestido lápiz de manga con malla fina</t>
  </si>
  <si>
    <t>C0002</t>
  </si>
  <si>
    <t>Conjuntos</t>
  </si>
  <si>
    <t>Conjunto de cuello profundo con girante delantero con falda</t>
  </si>
  <si>
    <t>C0003</t>
  </si>
  <si>
    <t>UB0090</t>
  </si>
  <si>
    <t xml:space="preserve"> Conjunto elegante acanalado </t>
  </si>
  <si>
    <t>UB0091</t>
  </si>
  <si>
    <t>Tops /ofertas</t>
  </si>
  <si>
    <t>Blusa elegante con diseño geométrico</t>
  </si>
  <si>
    <t>UB0092</t>
  </si>
  <si>
    <t>Conjunto falda y blusa</t>
  </si>
  <si>
    <t>UB0093</t>
  </si>
  <si>
    <t>Monos /ofertas</t>
  </si>
  <si>
    <t>Jumpsuit palazzo con lazo delantero</t>
  </si>
  <si>
    <t>UB0094</t>
  </si>
  <si>
    <t>Monos</t>
  </si>
  <si>
    <t>Jumpsuit palazzo de tie dye</t>
  </si>
  <si>
    <t>eUB0094Ω</t>
  </si>
  <si>
    <t>UB0096</t>
  </si>
  <si>
    <t>Conjunto short, camisa y top</t>
  </si>
  <si>
    <t>UB0097</t>
  </si>
  <si>
    <t>UB0098</t>
  </si>
  <si>
    <t>Conjunto de top y pantalón</t>
  </si>
  <si>
    <t>UB0099</t>
  </si>
  <si>
    <t>Vestido ajustado de titrantes finos</t>
  </si>
  <si>
    <t>UB0100</t>
  </si>
  <si>
    <t>UB0101</t>
  </si>
  <si>
    <t>Vestido línea A elegante</t>
  </si>
  <si>
    <t>UB0102</t>
  </si>
  <si>
    <t>UB0103</t>
  </si>
  <si>
    <t>Conjunto Top y Falda con textura</t>
  </si>
  <si>
    <t>UB0104</t>
  </si>
  <si>
    <t>Conjuntot Top corto &amp; Pantalones</t>
  </si>
  <si>
    <t>P0013</t>
  </si>
  <si>
    <t>Falda en mezclilla de talle alto con abertura</t>
  </si>
  <si>
    <t>UB0105</t>
  </si>
  <si>
    <t>Conjunto top corto y pantalones</t>
  </si>
  <si>
    <t>V0041</t>
  </si>
  <si>
    <t>Vestido Tie-Dye Bohemio</t>
  </si>
  <si>
    <t>UB0106</t>
  </si>
  <si>
    <t>Vestido camisero con cinturón</t>
  </si>
  <si>
    <t>V0043</t>
  </si>
  <si>
    <t>Vestido tubo con abertura de muslo con abertura</t>
  </si>
  <si>
    <t>UB0107</t>
  </si>
  <si>
    <t>Vestido ajustado con abertura</t>
  </si>
  <si>
    <t>UB0108</t>
  </si>
  <si>
    <t>Vestido floral con cinturón</t>
  </si>
  <si>
    <t>V0046</t>
  </si>
  <si>
    <t xml:space="preserve">Vestido cruzado de lunares </t>
  </si>
  <si>
    <t>V0047</t>
  </si>
  <si>
    <t>UB0109</t>
  </si>
  <si>
    <t>Vestido healter dama de honor</t>
  </si>
  <si>
    <t xml:space="preserve">Talla XS </t>
  </si>
  <si>
    <t>UB0110</t>
  </si>
  <si>
    <t>UB0111</t>
  </si>
  <si>
    <t>UB0112</t>
  </si>
  <si>
    <t xml:space="preserve"> Body de encaje</t>
  </si>
  <si>
    <t>UB0113</t>
  </si>
  <si>
    <t>Vestido ajustado</t>
  </si>
  <si>
    <t>V0052</t>
  </si>
  <si>
    <t>SHEIN Belle Vestido de dama de honor de hombros descubiertos fruncido cruzado de satén</t>
  </si>
  <si>
    <t>UB0114</t>
  </si>
  <si>
    <t>Vestido bajo cruzado de tie dye</t>
  </si>
  <si>
    <t>UB0115</t>
  </si>
  <si>
    <t>Accesorios</t>
  </si>
  <si>
    <t>Pañuelo con estampado de paisley</t>
  </si>
  <si>
    <t>Talla única Marca SHEIN</t>
  </si>
  <si>
    <t>UB0116</t>
  </si>
  <si>
    <t>Vestido de espalda cruzada</t>
  </si>
  <si>
    <t>V0055</t>
  </si>
  <si>
    <t>EMERY ROSE Vestido maxi floral con estampado de pañuelo de manga farol bajo con fruncido</t>
  </si>
  <si>
    <t>UB0117</t>
  </si>
  <si>
    <t>Vestido elegante de espalda corrida</t>
  </si>
  <si>
    <t>UB0118</t>
  </si>
  <si>
    <t xml:space="preserve">Pantalón tejido de rayas </t>
  </si>
  <si>
    <t>UB0119</t>
  </si>
  <si>
    <t xml:space="preserve">Pantalones tejido de rayas </t>
  </si>
  <si>
    <t>UB0120</t>
  </si>
  <si>
    <t>Vestido satinado elegante</t>
  </si>
  <si>
    <t>UB0121</t>
  </si>
  <si>
    <t>Vestido manga larga con cinturón</t>
  </si>
  <si>
    <t>V0059</t>
  </si>
  <si>
    <t>Vestido de un hombro con nudo</t>
  </si>
  <si>
    <t>VN0001</t>
  </si>
  <si>
    <t>Vestido Niñas</t>
  </si>
  <si>
    <t>SHEIN Vestido niña ceremonia de tirantes bajo con malla con lazo grande_98CM</t>
  </si>
  <si>
    <t>V0060</t>
  </si>
  <si>
    <t>SHEIN VCAY Vestido ajustado con estampado de corazón de confeti de hombros descubiertos ribete fruncido_S</t>
  </si>
  <si>
    <t>V0061</t>
  </si>
  <si>
    <t>SHEIN Belle Vestido de dama de honor de hombros descubiertos fruncido cruzado_S</t>
  </si>
  <si>
    <t>V0062</t>
  </si>
  <si>
    <t>SHEIN Felegant Vestido ajustado con estampado de leopardo_M</t>
  </si>
  <si>
    <t>V0063</t>
  </si>
  <si>
    <t>Elegant Vestido ajustado con estampado de leopardo</t>
  </si>
  <si>
    <t>UB0122</t>
  </si>
  <si>
    <t xml:space="preserve">Vestido corto de puntos </t>
  </si>
  <si>
    <t>A0002</t>
  </si>
  <si>
    <t>Cinturón con hebilla_Unitalla</t>
  </si>
  <si>
    <t>Talla única</t>
  </si>
  <si>
    <t>A0004</t>
  </si>
  <si>
    <t>Bolsa cartera con manija_Negro</t>
  </si>
  <si>
    <t>Talla Chico</t>
  </si>
  <si>
    <t>A0005</t>
  </si>
  <si>
    <t>Bolsa cartera con solapa con lagartija_Caqui</t>
  </si>
  <si>
    <t>UB0123</t>
  </si>
  <si>
    <t>Belleza</t>
  </si>
  <si>
    <t>Brocha para maquillaje</t>
  </si>
  <si>
    <t>Talla Única</t>
  </si>
  <si>
    <t>A0006</t>
  </si>
  <si>
    <t>Bolsa cartera de cocodrilo_Naranja Quemada</t>
  </si>
  <si>
    <t>UB0124</t>
  </si>
  <si>
    <t>Cinturones Casual</t>
  </si>
  <si>
    <t>V0065</t>
  </si>
  <si>
    <t>EMERY ROSE Vestido Volante rígido Floral Sencillo_L</t>
  </si>
  <si>
    <t>UB0125</t>
  </si>
  <si>
    <t xml:space="preserve">Vestido Volante rígido Floral </t>
  </si>
  <si>
    <t>UB0126</t>
  </si>
  <si>
    <t>Vestido Floreado corte de sirena</t>
  </si>
  <si>
    <t>UB0127</t>
  </si>
  <si>
    <t>Vestido Bohemio</t>
  </si>
  <si>
    <t>UB0128</t>
  </si>
  <si>
    <t xml:space="preserve">Bañador una pieza de color combinado </t>
  </si>
  <si>
    <t>UB0129</t>
  </si>
  <si>
    <t>UB0130</t>
  </si>
  <si>
    <t>UB0131</t>
  </si>
  <si>
    <t>UB0132</t>
  </si>
  <si>
    <t>UB0133</t>
  </si>
  <si>
    <t>BI0016</t>
  </si>
  <si>
    <t>Bañador bikini tropical con estampado de hoja de talle alto_L</t>
  </si>
  <si>
    <t>BI0017</t>
  </si>
  <si>
    <t>Bañador bikini tropical con estampado de hoja de talle alto_M</t>
  </si>
  <si>
    <t>UB0134</t>
  </si>
  <si>
    <t>Bikini tropical con estampado de hoja</t>
  </si>
  <si>
    <t>T0026</t>
  </si>
  <si>
    <t>Bañador una pieza tropical_XL</t>
  </si>
  <si>
    <t>T0027</t>
  </si>
  <si>
    <t>Bañador una pieza tropical_M</t>
  </si>
  <si>
    <t>T0028</t>
  </si>
  <si>
    <t>Bañador una pieza tropical_L</t>
  </si>
  <si>
    <t>UB0135</t>
  </si>
  <si>
    <t xml:space="preserve">Mono Bohemiocon cinturón </t>
  </si>
  <si>
    <t>UB0136</t>
  </si>
  <si>
    <t xml:space="preserve">Mono Bohemio con cinturón </t>
  </si>
  <si>
    <t>V0069</t>
  </si>
  <si>
    <t>Vestido con cordón de espalda cruzada</t>
  </si>
  <si>
    <t>UB0137</t>
  </si>
  <si>
    <t>V0071</t>
  </si>
  <si>
    <t xml:space="preserve">Vestido con cordón de espalda abierta </t>
  </si>
  <si>
    <t>UB0138</t>
  </si>
  <si>
    <t xml:space="preserve">Camisa amplia multicolor </t>
  </si>
  <si>
    <t>UB0139</t>
  </si>
  <si>
    <t>Bañador bikini floral</t>
  </si>
  <si>
    <t>T0029</t>
  </si>
  <si>
    <t>UB0140</t>
  </si>
  <si>
    <t>Blusa de cuello cisne</t>
  </si>
  <si>
    <t>UB0141</t>
  </si>
  <si>
    <t xml:space="preserve">Top corto de cuello cuadrado </t>
  </si>
  <si>
    <t>Talla XXS</t>
  </si>
  <si>
    <t>UB0142</t>
  </si>
  <si>
    <t>Vestido Amanecer</t>
  </si>
  <si>
    <t>UB0143</t>
  </si>
  <si>
    <t xml:space="preserve">Skort asimétrico floral </t>
  </si>
  <si>
    <t>T0030</t>
  </si>
  <si>
    <t>UB0144</t>
  </si>
  <si>
    <t>T0032</t>
  </si>
  <si>
    <t>UB0145</t>
  </si>
  <si>
    <t>Bañador bikini de manga raglán con cordón floral</t>
  </si>
  <si>
    <t>UB0146</t>
  </si>
  <si>
    <t>UB0147</t>
  </si>
  <si>
    <t>Bikini de manga y short floreado</t>
  </si>
  <si>
    <t>UB0148</t>
  </si>
  <si>
    <t>Bolso pequeño guateado con perla artificial</t>
  </si>
  <si>
    <t>BI0020</t>
  </si>
  <si>
    <t>Bañador bikini con estampado tropical_M</t>
  </si>
  <si>
    <t>BI0021</t>
  </si>
  <si>
    <t>Bañador bikini con estampado tropical con nudo de talle alto_M</t>
  </si>
  <si>
    <t>UB0149</t>
  </si>
  <si>
    <t>Vestido cruzado de lunares</t>
  </si>
  <si>
    <t>UB0150</t>
  </si>
  <si>
    <t>Vestido escote de corazón</t>
  </si>
  <si>
    <t>UB0151</t>
  </si>
  <si>
    <t>UB0152</t>
  </si>
  <si>
    <t>Vestidos /ofertas /curvy</t>
  </si>
  <si>
    <t>Vestido plisado</t>
  </si>
  <si>
    <t>Talla 3XL</t>
  </si>
  <si>
    <t>UB0153</t>
  </si>
  <si>
    <t>V0078</t>
  </si>
  <si>
    <t>SHEIN Vestido de hombros descubiertos con botón falso de cintura fruncido de manga farol_S</t>
  </si>
  <si>
    <t>BI0022</t>
  </si>
  <si>
    <t>Bañador bikini push up de cuadros girante_M</t>
  </si>
  <si>
    <t>UB0154</t>
  </si>
  <si>
    <t>Vestido asimétrico</t>
  </si>
  <si>
    <t>UB0155</t>
  </si>
  <si>
    <t xml:space="preserve">Bolsa cuadrada mini geométrico </t>
  </si>
  <si>
    <t>UB0156</t>
  </si>
  <si>
    <t>Bikini estampado cebra</t>
  </si>
  <si>
    <t>UB0157</t>
  </si>
  <si>
    <t>Trajes de baño /ofertas</t>
  </si>
  <si>
    <t>UB0158</t>
  </si>
  <si>
    <t>Bolsa cartera con manija</t>
  </si>
  <si>
    <t>UB0159</t>
  </si>
  <si>
    <t>bolsos /accesorios</t>
  </si>
  <si>
    <t>Bolsa bandolera</t>
  </si>
  <si>
    <t>Talla Chico Marca SHEIN</t>
  </si>
  <si>
    <t>A0011</t>
  </si>
  <si>
    <t>Bolso cartera con solapa transparente</t>
  </si>
  <si>
    <t>UB0160</t>
  </si>
  <si>
    <t>Bañador de talle alto con vuelos</t>
  </si>
  <si>
    <t>BI0026</t>
  </si>
  <si>
    <t>Bañador bikini con nudo delantero bajo fruncido tropical_S</t>
  </si>
  <si>
    <t>UB0161</t>
  </si>
  <si>
    <t>Bikini estampado de cebra</t>
  </si>
  <si>
    <t>V0080</t>
  </si>
  <si>
    <t>UB0162</t>
  </si>
  <si>
    <t>SB0001</t>
  </si>
  <si>
    <t>3 piezas Bañador bikini push up con estampado tropical con falda de playa</t>
  </si>
  <si>
    <t>UB0163</t>
  </si>
  <si>
    <t xml:space="preserve">Bikini push up tropical </t>
  </si>
  <si>
    <t>UB0164</t>
  </si>
  <si>
    <t>Hombres /Curvy</t>
  </si>
  <si>
    <t>Capucha de dos tonos</t>
  </si>
  <si>
    <t>SB0003</t>
  </si>
  <si>
    <t>3 piezas Bañador bikini triángulo halter con estampado geométrico con pantalones cover up</t>
  </si>
  <si>
    <t>UB0165</t>
  </si>
  <si>
    <t>Set 3 piezas bikini</t>
  </si>
  <si>
    <t>UB0166</t>
  </si>
  <si>
    <t>Estuche para gafas transparente</t>
  </si>
  <si>
    <t>UB0167</t>
  </si>
  <si>
    <t>Calzado</t>
  </si>
  <si>
    <t xml:space="preserve">Zapatillas con cordón </t>
  </si>
  <si>
    <t>Talla 36</t>
  </si>
  <si>
    <t>UB0168</t>
  </si>
  <si>
    <t>Calcetines unicolor</t>
  </si>
  <si>
    <t>UB0169</t>
  </si>
  <si>
    <t xml:space="preserve"> Mocasines con puntada</t>
  </si>
  <si>
    <t>UB0170</t>
  </si>
  <si>
    <t>belleza /ofertas</t>
  </si>
  <si>
    <t xml:space="preserve">Almohadilla de maquillaje </t>
  </si>
  <si>
    <t>Talla Unitalla</t>
  </si>
  <si>
    <t>UB0171</t>
  </si>
  <si>
    <t>belleza</t>
  </si>
  <si>
    <t>Alisador</t>
  </si>
  <si>
    <t>Talla Unitalla Marca SHEIN</t>
  </si>
  <si>
    <t>UB0172</t>
  </si>
  <si>
    <t xml:space="preserve">Esponja de maquillaje </t>
  </si>
  <si>
    <t>UB0173</t>
  </si>
  <si>
    <t>Rizador de pelo de color al azar 10 piezas</t>
  </si>
  <si>
    <t>UB0174</t>
  </si>
  <si>
    <t>Vestido corrugado de vuelos</t>
  </si>
  <si>
    <t>UB0175</t>
  </si>
  <si>
    <t xml:space="preserve">Gafas minimalista de moda </t>
  </si>
  <si>
    <t>CA0003</t>
  </si>
  <si>
    <t>Sandalias de tiras con diseño de diamante de imitación con tacón grueso Plateado_MX24</t>
  </si>
  <si>
    <t>Talla 38</t>
  </si>
  <si>
    <t>P0017</t>
  </si>
  <si>
    <t>SHEIN Felegant Shorts PU de cintura con volante con cordón Negro_5</t>
  </si>
  <si>
    <t>UB0176</t>
  </si>
  <si>
    <t xml:space="preserve">Body de un hombro manga farol </t>
  </si>
  <si>
    <t>L0001</t>
  </si>
  <si>
    <t>Lencería</t>
  </si>
  <si>
    <t>Cubierta de pezón de metal vinculado</t>
  </si>
  <si>
    <t>Talla C</t>
  </si>
  <si>
    <t>UB0177</t>
  </si>
  <si>
    <t xml:space="preserve">Shorts bajo de doblez de cintura </t>
  </si>
  <si>
    <t>CA0004</t>
  </si>
  <si>
    <t>Botines con tacón con cordón</t>
  </si>
  <si>
    <t>P0019</t>
  </si>
  <si>
    <t>Falda con abertura alta_XS</t>
  </si>
  <si>
    <t>UB0178</t>
  </si>
  <si>
    <t>Calzado /ofertas</t>
  </si>
  <si>
    <t>Sandalias plateadas con pedrería</t>
  </si>
  <si>
    <t>UB0179</t>
  </si>
  <si>
    <t>Vestido Azul Rey de tela faja</t>
  </si>
  <si>
    <t>UB0180</t>
  </si>
  <si>
    <t>Shorts de cintura con cordón</t>
  </si>
  <si>
    <t>UB0181</t>
  </si>
  <si>
    <t>Vestido de muslo con abertura .</t>
  </si>
  <si>
    <t>V0083</t>
  </si>
  <si>
    <t>Vestido de espalda abierta de manga farol_S</t>
  </si>
  <si>
    <t>V0084</t>
  </si>
  <si>
    <t>Vestido de espalda abierta de manga farol_XS</t>
  </si>
  <si>
    <t>V0085</t>
  </si>
  <si>
    <t>Vestido de manga farol de cuello cuadrado_L</t>
  </si>
  <si>
    <t>V0086</t>
  </si>
  <si>
    <t>Vestido de manga farol de cuello cuadrado_M</t>
  </si>
  <si>
    <t>V0087</t>
  </si>
  <si>
    <t>Vestido de manga farol de cuello cuadrado_S</t>
  </si>
  <si>
    <t>V0088</t>
  </si>
  <si>
    <t>Vestido de manga farol de cuello cuadrado_XS</t>
  </si>
  <si>
    <t>B0057</t>
  </si>
  <si>
    <t>Top de hombros descubiertos unicolor ribete con fruncido_S</t>
  </si>
  <si>
    <t>B0023</t>
  </si>
  <si>
    <t>SHEIN SXY Camiseta corta unicolor con abertura_XS</t>
  </si>
  <si>
    <t>B0024</t>
  </si>
  <si>
    <t>Camiseta corta unicolor con abertura</t>
  </si>
  <si>
    <t>B0025</t>
  </si>
  <si>
    <t>SHEIN SXY Camiseta corta unicolor con abertura</t>
  </si>
  <si>
    <t>UB0182</t>
  </si>
  <si>
    <t>Top cruzado blanco</t>
  </si>
  <si>
    <t>Talla XS Color Blanco Marca SHEIN</t>
  </si>
  <si>
    <t>UB0183</t>
  </si>
  <si>
    <t>UB0184</t>
  </si>
  <si>
    <t>Top corto manga farol</t>
  </si>
  <si>
    <t>B0029</t>
  </si>
  <si>
    <t>SHEIN SXY Top corto con nudo con abertura de manga farol_S</t>
  </si>
  <si>
    <t>B0030</t>
  </si>
  <si>
    <t>SHEIN SXY Top corto con nudo con abertura de manga farol_M</t>
  </si>
  <si>
    <t>UB0185</t>
  </si>
  <si>
    <t>Top cruzado naranja</t>
  </si>
  <si>
    <t>UB0186</t>
  </si>
  <si>
    <t>UB0187</t>
  </si>
  <si>
    <t>UB0188</t>
  </si>
  <si>
    <t>Top corsetero asimétrico</t>
  </si>
  <si>
    <t>UB0189</t>
  </si>
  <si>
    <t>UB0190</t>
  </si>
  <si>
    <t>UB0191</t>
  </si>
  <si>
    <t>Vestido floral de mangas farol</t>
  </si>
  <si>
    <t>UB0192</t>
  </si>
  <si>
    <t>UB0193</t>
  </si>
  <si>
    <t>V0092</t>
  </si>
  <si>
    <t>SHEIN Vestido con estampado floral pecho con fruncido con nudo delantero bajo con fruncido_L</t>
  </si>
  <si>
    <t>UB0194</t>
  </si>
  <si>
    <t>Camiseta corta de cuadros</t>
  </si>
  <si>
    <t>V0093</t>
  </si>
  <si>
    <t>SHEIN Vestido fruncido de cuello con cordón de manga con volante de lunares_XS</t>
  </si>
  <si>
    <t>V0094</t>
  </si>
  <si>
    <t>SHEIN Vestido fruncido de cuello con cordón de manga con volante de lunares_M</t>
  </si>
  <si>
    <t>UB0195</t>
  </si>
  <si>
    <t>Camiseta corta de manga farol</t>
  </si>
  <si>
    <t>UB0196</t>
  </si>
  <si>
    <t>UB0197</t>
  </si>
  <si>
    <t xml:space="preserve">Cinturón trenzado </t>
  </si>
  <si>
    <t>UB0198</t>
  </si>
  <si>
    <t xml:space="preserve">Vestido pecho con fruncido </t>
  </si>
  <si>
    <t>V0096</t>
  </si>
  <si>
    <t>Vestido pecho con fruncido cruzado cintura con estampado floral_S</t>
  </si>
  <si>
    <t>V0097</t>
  </si>
  <si>
    <t>Vestido pecho con fruncido cruzado cintura con estampado floral_M</t>
  </si>
  <si>
    <t>V0098</t>
  </si>
  <si>
    <t>Vestido pecho con fruncido cruzado cintura con estampado floral_L</t>
  </si>
  <si>
    <t>UB0199</t>
  </si>
  <si>
    <t>Vestido vaporoso</t>
  </si>
  <si>
    <t>UB0200</t>
  </si>
  <si>
    <t>Vestido ajustado de malla en contraste</t>
  </si>
  <si>
    <t>UB0201</t>
  </si>
  <si>
    <t>Vestido floral con abertura trasera</t>
  </si>
  <si>
    <t>V0102</t>
  </si>
  <si>
    <t>UB0202</t>
  </si>
  <si>
    <t>UB0203</t>
  </si>
  <si>
    <t>Vestido floral escote corazón</t>
  </si>
  <si>
    <t>UB0204</t>
  </si>
  <si>
    <t>V0106</t>
  </si>
  <si>
    <t>SHEIN Vestido con estampado floral con nudo delantero de manga farol_L</t>
  </si>
  <si>
    <t>UB0205</t>
  </si>
  <si>
    <t>Vestido con estampado floral</t>
  </si>
  <si>
    <t>UB0206</t>
  </si>
  <si>
    <t>V0109</t>
  </si>
  <si>
    <t>Vestido floral de manga farol escote corazón con cordón lateral_S</t>
  </si>
  <si>
    <t>UB0207</t>
  </si>
  <si>
    <t>Vestido con estampado jungla</t>
  </si>
  <si>
    <t>UB0208</t>
  </si>
  <si>
    <t>UB0209</t>
  </si>
  <si>
    <t>Vestidos /Curvy /oferta</t>
  </si>
  <si>
    <t>V0113</t>
  </si>
  <si>
    <t>Vestido floral de manga farol de espalda abierta con cordón bajo con fruncido_XS</t>
  </si>
  <si>
    <t>V0114</t>
  </si>
  <si>
    <t>Vestido floral de manga farol de espalda abierta con cordón bajo con fruncido_S</t>
  </si>
  <si>
    <t>V0115</t>
  </si>
  <si>
    <t>Vestido floral de manga farol de espalda abierta con cordón bajo con fruncido_M</t>
  </si>
  <si>
    <t>V0116</t>
  </si>
  <si>
    <t>Vestido floral de manga farol de espalda abierta con cordón bajo con fruncido_L</t>
  </si>
  <si>
    <t>V0117</t>
  </si>
  <si>
    <t>SHEIN Vestido lencero floral de muslo con abertura_XS</t>
  </si>
  <si>
    <t>V0118</t>
  </si>
  <si>
    <t>SHEIN Vestido lencero floral de muslo con abertura_S</t>
  </si>
  <si>
    <t>UB0210</t>
  </si>
  <si>
    <t>Top Cruzado negro</t>
  </si>
  <si>
    <t>UB0211</t>
  </si>
  <si>
    <t>UB0212</t>
  </si>
  <si>
    <t>B0043</t>
  </si>
  <si>
    <t>SHEIN SXY Camiseta con abertura de malla_M</t>
  </si>
  <si>
    <t>B0044</t>
  </si>
  <si>
    <t>SHEIN SXY Camiseta con abertura de malla_S</t>
  </si>
  <si>
    <t>B0045</t>
  </si>
  <si>
    <t>SHEIN SXY Camiseta con abertura de malla_XS</t>
  </si>
  <si>
    <t>UB0213</t>
  </si>
  <si>
    <t>Top Cruzado azul</t>
  </si>
  <si>
    <t>UB0214</t>
  </si>
  <si>
    <t>V0119</t>
  </si>
  <si>
    <t>SHEIN Frenchy Vestido de leopardo &amp; piel de tigre con estampado de manga mariposa sin cinturón_S</t>
  </si>
  <si>
    <t>UB0215</t>
  </si>
  <si>
    <t>Blusa corta de manga farol</t>
  </si>
  <si>
    <t>UB0216</t>
  </si>
  <si>
    <t>Tops /Curvy /ofertas</t>
  </si>
  <si>
    <t>V0120</t>
  </si>
  <si>
    <t>Vestido de espalda abierta de manga farol_L</t>
  </si>
  <si>
    <t>V0121</t>
  </si>
  <si>
    <t>Vestido de espalda abierta de manga farol_M</t>
  </si>
  <si>
    <t>B0050</t>
  </si>
  <si>
    <t>Top de cuello cruzado con nudo lateral</t>
  </si>
  <si>
    <t>UB0217</t>
  </si>
  <si>
    <t>Vestido ajustado con diseño de cadena</t>
  </si>
  <si>
    <t>UB0218</t>
  </si>
  <si>
    <t>Falda ajustada animal print</t>
  </si>
  <si>
    <t>UB0219</t>
  </si>
  <si>
    <t>Vestido con estampado de cereza</t>
  </si>
  <si>
    <t>UB0220</t>
  </si>
  <si>
    <t>Vestido slip de rayas de cebra</t>
  </si>
  <si>
    <t>UB0221</t>
  </si>
  <si>
    <t>Vestido slip cebra</t>
  </si>
  <si>
    <t>UB0222</t>
  </si>
  <si>
    <t xml:space="preserve"> Vestido ajustado con estampado de dragón</t>
  </si>
  <si>
    <t>UB0223</t>
  </si>
  <si>
    <t xml:space="preserve"> Vestido slip dragón</t>
  </si>
  <si>
    <t>UB0224</t>
  </si>
  <si>
    <t>Vestido corto de punto</t>
  </si>
  <si>
    <t>H&amp;M</t>
  </si>
  <si>
    <t>UB0225</t>
  </si>
  <si>
    <t>Tops /hm /ofertas</t>
  </si>
  <si>
    <t>Body tong H&amp;M</t>
  </si>
  <si>
    <t>UB0226</t>
  </si>
  <si>
    <t>Top bandeau</t>
  </si>
  <si>
    <t>UB0227</t>
  </si>
  <si>
    <t>Partes-de-abajo /hm /ofertas</t>
  </si>
  <si>
    <t>Pantalón elegante de tela brillosa H&amp;M</t>
  </si>
  <si>
    <t>UB0228</t>
  </si>
  <si>
    <t>Vestidos /hm /ofertas</t>
  </si>
  <si>
    <t>Vestido con cordón de ajuste H&amp;M</t>
  </si>
  <si>
    <t xml:space="preserve">Talla M </t>
  </si>
  <si>
    <t>UB0229</t>
  </si>
  <si>
    <t>UB0230</t>
  </si>
  <si>
    <t>Vestido bodycon</t>
  </si>
  <si>
    <t>Talla XS Marca H&amp;M</t>
  </si>
  <si>
    <t>UB0231</t>
  </si>
  <si>
    <t>Top acanalado sin mangas</t>
  </si>
  <si>
    <t>B0054</t>
  </si>
  <si>
    <t>UB0232</t>
  </si>
  <si>
    <t>UB234</t>
  </si>
  <si>
    <t>Accesorios /hm</t>
  </si>
  <si>
    <t>gafas azules con cadena H&amp;M</t>
  </si>
  <si>
    <t>B0056</t>
  </si>
  <si>
    <t>V0132</t>
  </si>
  <si>
    <t>Vestido acanalado de un hombro</t>
  </si>
  <si>
    <t>UB0233</t>
  </si>
  <si>
    <t>Vestido de un hombro</t>
  </si>
  <si>
    <t>Talla S Color Blanco Marca H&amp;M</t>
  </si>
  <si>
    <t>UB0234</t>
  </si>
  <si>
    <t>Vestidos /hm</t>
  </si>
  <si>
    <t>Vestido corto azul real</t>
  </si>
  <si>
    <t>UB0235</t>
  </si>
  <si>
    <t>UB0236</t>
  </si>
  <si>
    <t>Sostén Push-up</t>
  </si>
  <si>
    <t>Talla 34B</t>
  </si>
  <si>
    <t>UB0237</t>
  </si>
  <si>
    <t>UB0238</t>
  </si>
  <si>
    <t>Hombres</t>
  </si>
  <si>
    <t>Pants ajustados</t>
  </si>
  <si>
    <t>UB0239</t>
  </si>
  <si>
    <t>Short denim</t>
  </si>
  <si>
    <t>Talla 32 Marca H&amp;M</t>
  </si>
  <si>
    <t>UB0240</t>
  </si>
  <si>
    <t>Hombres /hm</t>
  </si>
  <si>
    <t>Jean slim fit</t>
  </si>
  <si>
    <t>Talla 30X32</t>
  </si>
  <si>
    <t>UB0241</t>
  </si>
  <si>
    <t>Sandalias trenzadas</t>
  </si>
  <si>
    <t>Talla 41</t>
  </si>
  <si>
    <t>UB0242</t>
  </si>
  <si>
    <t>Sandalias Rojas</t>
  </si>
  <si>
    <t>UB0243</t>
  </si>
  <si>
    <t>Sandalias Trenzadas</t>
  </si>
  <si>
    <t>Talla 40</t>
  </si>
  <si>
    <t>UB0244</t>
  </si>
  <si>
    <t>UB0245</t>
  </si>
  <si>
    <t>Calzado /hm /ofertas</t>
  </si>
  <si>
    <t>Sandalias anudadas</t>
  </si>
  <si>
    <t>Talla 39</t>
  </si>
  <si>
    <t>UB0246</t>
  </si>
  <si>
    <t>Talla 37</t>
  </si>
  <si>
    <t>UB0247</t>
  </si>
  <si>
    <t>Talla 35</t>
  </si>
  <si>
    <t>UB0248</t>
  </si>
  <si>
    <t>Alpargatas a cuadros</t>
  </si>
  <si>
    <t>UB0249</t>
  </si>
  <si>
    <t xml:space="preserve">Sandalias atadas </t>
  </si>
  <si>
    <t>CA0015</t>
  </si>
  <si>
    <t>Sandalias prácticas</t>
  </si>
  <si>
    <t>UB0250</t>
  </si>
  <si>
    <t>B00058</t>
  </si>
  <si>
    <t>Top berry en tela de algodón</t>
  </si>
  <si>
    <t>Talla S Marca H&amp;M</t>
  </si>
  <si>
    <t>UB0251</t>
  </si>
  <si>
    <t>Tops /hm</t>
  </si>
  <si>
    <t>UB0252</t>
  </si>
  <si>
    <t>Top Amarillo en tela de algodón</t>
  </si>
  <si>
    <t>UB0253</t>
  </si>
  <si>
    <t>UB0254</t>
  </si>
  <si>
    <t>Top Negro en tela de algodón</t>
  </si>
  <si>
    <t>UB0255</t>
  </si>
  <si>
    <t>Top Manga Corta Negro</t>
  </si>
  <si>
    <t>UB0256</t>
  </si>
  <si>
    <t>Gorra de Malla</t>
  </si>
  <si>
    <t>UB0257</t>
  </si>
  <si>
    <t>Visera rosa</t>
  </si>
  <si>
    <t>UB0258</t>
  </si>
  <si>
    <t>Bermuda denim</t>
  </si>
  <si>
    <t>P0024</t>
  </si>
  <si>
    <t>UB0259</t>
  </si>
  <si>
    <t>Bañador atado a los lados</t>
  </si>
  <si>
    <t>UB0260</t>
  </si>
  <si>
    <t>Bañador floreado</t>
  </si>
  <si>
    <t>UB0261</t>
  </si>
  <si>
    <t>Bañador  animal print</t>
  </si>
  <si>
    <t>UB0262</t>
  </si>
  <si>
    <t>Partes-de-abajo /Precios Bajos</t>
  </si>
  <si>
    <t>Short de cordón lateral</t>
  </si>
  <si>
    <t>UB0263</t>
  </si>
  <si>
    <t>Vestido slip satinado</t>
  </si>
  <si>
    <t>UB0264</t>
  </si>
  <si>
    <t xml:space="preserve"> Bañador espalda descubierta</t>
  </si>
  <si>
    <t>UB0265</t>
  </si>
  <si>
    <t>Bañador a rayas con lazo</t>
  </si>
  <si>
    <t>UB0266</t>
  </si>
  <si>
    <t>Bañador estampado en contraste</t>
  </si>
  <si>
    <t>UB0267</t>
  </si>
  <si>
    <t>Vestido slip de espalda corrida</t>
  </si>
  <si>
    <t>UB0268</t>
  </si>
  <si>
    <t>Tops /Precios Bajos</t>
  </si>
  <si>
    <t>Top de cuello asimétrico</t>
  </si>
  <si>
    <t>UB0269</t>
  </si>
  <si>
    <t>Blusa verde menta vuelos</t>
  </si>
  <si>
    <t xml:space="preserve">Talla XL </t>
  </si>
  <si>
    <t>BU0270</t>
  </si>
  <si>
    <t>Tops /precios bajos</t>
  </si>
  <si>
    <t>Blusa atada bohemia</t>
  </si>
  <si>
    <t>BU0271</t>
  </si>
  <si>
    <t>Blusa estampada amplia</t>
  </si>
  <si>
    <t>BU0272</t>
  </si>
  <si>
    <t xml:space="preserve">Bikini Rosa Viejo Satinado </t>
  </si>
  <si>
    <t>BU0273</t>
  </si>
  <si>
    <t>Trajes de baño /Curvy /precios bajos</t>
  </si>
  <si>
    <t>Bikini cintura alta</t>
  </si>
  <si>
    <t>BU0274</t>
  </si>
  <si>
    <t>Set de bikini malva</t>
  </si>
  <si>
    <t>BU0275</t>
  </si>
  <si>
    <t>Vestido estampado malva</t>
  </si>
  <si>
    <t>BU0276</t>
  </si>
  <si>
    <t xml:space="preserve">Belleza </t>
  </si>
  <si>
    <t>Rubor rosa</t>
  </si>
  <si>
    <t>BU0277</t>
  </si>
  <si>
    <t>Vestido pasión</t>
  </si>
  <si>
    <t>BU0278</t>
  </si>
  <si>
    <t>Blusa naranja electra</t>
  </si>
  <si>
    <t>BU0279</t>
  </si>
  <si>
    <t>Pareo corazón</t>
  </si>
  <si>
    <t>BU0280</t>
  </si>
  <si>
    <t>Top de malla sexy</t>
  </si>
  <si>
    <t>BU0281</t>
  </si>
  <si>
    <t>Top escote corazón</t>
  </si>
  <si>
    <t>BU0282</t>
  </si>
  <si>
    <t>BU0283</t>
  </si>
  <si>
    <t>Falda rosa brillante</t>
  </si>
  <si>
    <t>BU0284</t>
  </si>
  <si>
    <t>Kimono Maxi elegante</t>
  </si>
  <si>
    <t>BU0285</t>
  </si>
  <si>
    <t>Vestido esmeralda</t>
  </si>
  <si>
    <t>A0018</t>
  </si>
  <si>
    <t>Cinturón ancho casual</t>
  </si>
  <si>
    <t>BU0286</t>
  </si>
  <si>
    <t>Accesorios /ofertas</t>
  </si>
  <si>
    <t>Gafas anchas de moda</t>
  </si>
  <si>
    <t>BU0287</t>
  </si>
  <si>
    <t>Vestido Ajustado brillo</t>
  </si>
  <si>
    <t>BU0288</t>
  </si>
  <si>
    <t>Vestido venturina</t>
  </si>
  <si>
    <t>BU0289</t>
  </si>
  <si>
    <t>Bikini Rosa canalé</t>
  </si>
  <si>
    <t>BU0290</t>
  </si>
  <si>
    <t>Bikini rosa canalé</t>
  </si>
  <si>
    <t>BU0291</t>
  </si>
  <si>
    <t>Vestido puerina</t>
  </si>
  <si>
    <t>BU0292</t>
  </si>
  <si>
    <t>Bikini push up</t>
  </si>
  <si>
    <t>BU0293</t>
  </si>
  <si>
    <t>Sandalias tacón grueso BAZAR</t>
  </si>
  <si>
    <t>UB0295</t>
  </si>
  <si>
    <t>Calzado hombre dos tonos</t>
  </si>
  <si>
    <t>UB0296</t>
  </si>
  <si>
    <t>Sandalias animal print de tacón</t>
  </si>
  <si>
    <t>UB0297</t>
  </si>
  <si>
    <t>Brasier de encaje_Negro Unitalla</t>
  </si>
  <si>
    <t>BU0298</t>
  </si>
  <si>
    <t>Lencería /ofertas</t>
  </si>
  <si>
    <t>Brasier de encaje blanco</t>
  </si>
  <si>
    <t>Talla unitalla</t>
  </si>
  <si>
    <t>BU0299</t>
  </si>
  <si>
    <t>Bragas sin costuras</t>
  </si>
  <si>
    <t>BU0300</t>
  </si>
  <si>
    <t>Base para maquillaje</t>
  </si>
  <si>
    <t>Color Nude</t>
  </si>
  <si>
    <t>BU0301</t>
  </si>
  <si>
    <t>Falda ajustada (hacer foto)</t>
  </si>
  <si>
    <t>BU0302</t>
  </si>
  <si>
    <t>BU0303</t>
  </si>
  <si>
    <t>Top Cuello encaje y mangas abombadas</t>
  </si>
  <si>
    <t>Recibido Freddy 12Mayo (2u)</t>
  </si>
  <si>
    <t>BU0304</t>
  </si>
  <si>
    <t>Top Cisne Blanco</t>
  </si>
  <si>
    <t>Recibido Freddy 12Mayo</t>
  </si>
  <si>
    <t>BU0305</t>
  </si>
  <si>
    <t>T0047</t>
  </si>
  <si>
    <t>Bañador con adorno de malla</t>
  </si>
  <si>
    <t>BU0306</t>
  </si>
  <si>
    <t>BU0307</t>
  </si>
  <si>
    <t>BU0308</t>
  </si>
  <si>
    <t>Maxi Vestido Fruncido</t>
  </si>
  <si>
    <t>BU0309</t>
  </si>
  <si>
    <t>BU0310</t>
  </si>
  <si>
    <t>BU0311</t>
  </si>
  <si>
    <t>BU0312</t>
  </si>
  <si>
    <t>BU0313</t>
  </si>
  <si>
    <t xml:space="preserve"> Top Cuello V Verde</t>
  </si>
  <si>
    <t>T0052</t>
  </si>
  <si>
    <t>Bañador Surf</t>
  </si>
  <si>
    <t>ENCARGOS/Recibido Freddy 12Mayo</t>
  </si>
  <si>
    <t>BU0314</t>
  </si>
  <si>
    <t>Bañador de pierna alta</t>
  </si>
  <si>
    <t>B0084</t>
  </si>
  <si>
    <t>Camiseta con figura</t>
  </si>
  <si>
    <t>BU0315</t>
  </si>
  <si>
    <t>Camiseta con Dibujo</t>
  </si>
  <si>
    <t>BU0316</t>
  </si>
  <si>
    <t xml:space="preserve">Vestido de lunares </t>
  </si>
  <si>
    <t>Talla M Color Marrón Marca SHEIN</t>
  </si>
  <si>
    <t>BU0317</t>
  </si>
  <si>
    <t>Vestido de lunares</t>
  </si>
  <si>
    <t>Talla L Color Marrón Marca SHEIN</t>
  </si>
  <si>
    <t>P0028</t>
  </si>
  <si>
    <t>Pantaloneta Roja</t>
  </si>
  <si>
    <t>BU0318</t>
  </si>
  <si>
    <t>Recibido Freddy 24Mayo</t>
  </si>
  <si>
    <t>P0030</t>
  </si>
  <si>
    <t>BU0319</t>
  </si>
  <si>
    <t>Falda de trabajo</t>
  </si>
  <si>
    <t>BU0320</t>
  </si>
  <si>
    <t>BU0321</t>
  </si>
  <si>
    <t>BU0322</t>
  </si>
  <si>
    <t>Partes-de-abajo /Curvy</t>
  </si>
  <si>
    <t>BU0323</t>
  </si>
  <si>
    <t>BU0324</t>
  </si>
  <si>
    <t>Bañador con zíper de pierna alta</t>
  </si>
  <si>
    <t>BU0325</t>
  </si>
  <si>
    <t>Vestido tropical</t>
  </si>
  <si>
    <t>BU0326</t>
  </si>
  <si>
    <t>Vestido Tropical</t>
  </si>
  <si>
    <t>V00117</t>
  </si>
  <si>
    <t>BU0327</t>
  </si>
  <si>
    <t>BU0328</t>
  </si>
  <si>
    <t xml:space="preserve"> Top Básico Business Crema</t>
  </si>
  <si>
    <t>BU0329</t>
  </si>
  <si>
    <t xml:space="preserve"> Top Básico Business </t>
  </si>
  <si>
    <t>Talla S Color Chantillí</t>
  </si>
  <si>
    <t>BU0330</t>
  </si>
  <si>
    <t xml:space="preserve"> Pantaloneta Verde</t>
  </si>
  <si>
    <t>BU0331</t>
  </si>
  <si>
    <t>P0037</t>
  </si>
  <si>
    <t>BU0332</t>
  </si>
  <si>
    <t>Niñas 3 piezas Bañador bikini de rayas combinadas con abertura con kimono</t>
  </si>
  <si>
    <t>Talla 140CM Color Multicolor</t>
  </si>
  <si>
    <t>T0057</t>
  </si>
  <si>
    <t>Bañador una pieza con mariposa aplique fruncido</t>
  </si>
  <si>
    <t>P0038</t>
  </si>
  <si>
    <t>Pantalón Business Básico</t>
  </si>
  <si>
    <t>BU0333</t>
  </si>
  <si>
    <t>Pantalón business básico</t>
  </si>
  <si>
    <t>BU0334</t>
  </si>
  <si>
    <t>BU0335</t>
  </si>
  <si>
    <t>partes-de-abajo</t>
  </si>
  <si>
    <t>BU0336</t>
  </si>
  <si>
    <t>Tops /precios-bajos</t>
  </si>
  <si>
    <t>BU0337</t>
  </si>
  <si>
    <t xml:space="preserve"> Top Básico Business</t>
  </si>
  <si>
    <t>Talla M Color Rosa Marca SHEIN</t>
  </si>
  <si>
    <t>BU0338</t>
  </si>
  <si>
    <t>Talla L Color Rosa Marca SHEIN</t>
  </si>
  <si>
    <t>BU0339</t>
  </si>
  <si>
    <t>Bañador Cisne Espalda descubierta</t>
  </si>
  <si>
    <t>BU0340</t>
  </si>
  <si>
    <t>Trajes de baño /Curvy</t>
  </si>
  <si>
    <t>Bañador despalda descubierta</t>
  </si>
  <si>
    <t>BU0341</t>
  </si>
  <si>
    <t>Bikini niña 3 piezas</t>
  </si>
  <si>
    <t>ENCARGOSRecibido Freddy 24Mayo</t>
  </si>
  <si>
    <t>B0091</t>
  </si>
  <si>
    <t xml:space="preserve"> Top Mangas Fruncidas</t>
  </si>
  <si>
    <t>BU0342</t>
  </si>
  <si>
    <t>B0093</t>
  </si>
  <si>
    <t>BU0343</t>
  </si>
  <si>
    <t>Vestido con abertura</t>
  </si>
  <si>
    <t>V00121</t>
  </si>
  <si>
    <t>BU0344</t>
  </si>
  <si>
    <t>Vestido con doble abertura</t>
  </si>
  <si>
    <t>BU0345</t>
  </si>
  <si>
    <t xml:space="preserve"> Top Básico Business Negro</t>
  </si>
  <si>
    <t>BU0346</t>
  </si>
  <si>
    <t>BU0347</t>
  </si>
  <si>
    <t>Talla XS Color Negro Marca SHEIN</t>
  </si>
  <si>
    <t>V00123</t>
  </si>
  <si>
    <t>Vestido Girasol</t>
  </si>
  <si>
    <t>Talla 1XL</t>
  </si>
  <si>
    <t>BU0348</t>
  </si>
  <si>
    <t>Top Acanalado</t>
  </si>
  <si>
    <t>BU0349</t>
  </si>
  <si>
    <t>BU0350</t>
  </si>
  <si>
    <t>Top cisne acanalado</t>
  </si>
  <si>
    <t>BU0351</t>
  </si>
  <si>
    <t>Vestido frenchy de puntos</t>
  </si>
  <si>
    <t>BU0352</t>
  </si>
  <si>
    <t>Talla M Color Negro Marca Frenchy</t>
  </si>
  <si>
    <t>BU0353</t>
  </si>
  <si>
    <t>Bañador una pieza con estampado de planta cremallera</t>
  </si>
  <si>
    <t>BU0354</t>
  </si>
  <si>
    <t>vestidos /Curvy /oferta</t>
  </si>
  <si>
    <t>Maxi Vestido con Bolsillo</t>
  </si>
  <si>
    <t>BU0355</t>
  </si>
  <si>
    <t>BU0356</t>
  </si>
  <si>
    <t>Vestidos /oferta</t>
  </si>
  <si>
    <t>BU0357</t>
  </si>
  <si>
    <t>Set de sujetador con tira ajustable 2 paquetes</t>
  </si>
  <si>
    <t>B0070</t>
  </si>
  <si>
    <t>Top Dreamer Negro</t>
  </si>
  <si>
    <t>BU0358</t>
  </si>
  <si>
    <t>BU0359</t>
  </si>
  <si>
    <t>BU0360</t>
  </si>
  <si>
    <t>Falda margarita de corte A</t>
  </si>
  <si>
    <t>P0043</t>
  </si>
  <si>
    <t>Falda Margarita</t>
  </si>
  <si>
    <t>BU0361</t>
  </si>
  <si>
    <t>BU0362</t>
  </si>
  <si>
    <t>Top Dreamer Blanco</t>
  </si>
  <si>
    <t>BU0363</t>
  </si>
  <si>
    <t>B0097</t>
  </si>
  <si>
    <t>BU0364</t>
  </si>
  <si>
    <t>Top cuello V Blanco</t>
  </si>
  <si>
    <t>BU0365</t>
  </si>
  <si>
    <t>Sujetador Básico</t>
  </si>
  <si>
    <t>BU0366</t>
  </si>
  <si>
    <t>Jenas Ajustados Oscuro</t>
  </si>
  <si>
    <t>BU0367</t>
  </si>
  <si>
    <t>BU0368</t>
  </si>
  <si>
    <t xml:space="preserve">Falda Fruncida </t>
  </si>
  <si>
    <t>BU0369</t>
  </si>
  <si>
    <t>Falda plisada</t>
  </si>
  <si>
    <t>BU0370</t>
  </si>
  <si>
    <t>Jeans Elastizados Pierna Ancha</t>
  </si>
  <si>
    <t>BU0371</t>
  </si>
  <si>
    <t>P0051</t>
  </si>
  <si>
    <t>BU0372</t>
  </si>
  <si>
    <t>Jeans Ajustados Claro</t>
  </si>
  <si>
    <t xml:space="preserve">Talla S </t>
  </si>
  <si>
    <t>BU0373</t>
  </si>
  <si>
    <t>P0054</t>
  </si>
  <si>
    <t>Pantaloneta Camel</t>
  </si>
  <si>
    <t>BU0374</t>
  </si>
  <si>
    <t>BU0375</t>
  </si>
  <si>
    <t>BU0376</t>
  </si>
  <si>
    <t>Vestido en punto Rosa</t>
  </si>
  <si>
    <t>BU0377</t>
  </si>
  <si>
    <t>BU0378</t>
  </si>
  <si>
    <t>vestidos /Curvy /ofertas</t>
  </si>
  <si>
    <t>BU0379</t>
  </si>
  <si>
    <t>Falda plisada con cadena</t>
  </si>
  <si>
    <t>BU0380</t>
  </si>
  <si>
    <t>Top de cuadros</t>
  </si>
  <si>
    <t>BU0382</t>
  </si>
  <si>
    <t>Top corto blanco</t>
  </si>
  <si>
    <t>BU0383</t>
  </si>
  <si>
    <t>Top cami carrera</t>
  </si>
  <si>
    <t>P0057</t>
  </si>
  <si>
    <t>Pantalones ajustados con cadena</t>
  </si>
  <si>
    <t>P0058</t>
  </si>
  <si>
    <t>B00063</t>
  </si>
  <si>
    <t>Blusa camisa colores</t>
  </si>
  <si>
    <t>B00064</t>
  </si>
  <si>
    <t>T0061</t>
  </si>
  <si>
    <t>Trusa Leopardo</t>
  </si>
  <si>
    <t>T0062</t>
  </si>
  <si>
    <t>Encargo</t>
  </si>
  <si>
    <t>Malla paredo set 2 piezas</t>
  </si>
  <si>
    <t>TN0015</t>
  </si>
  <si>
    <t>Traje de baño niña</t>
  </si>
  <si>
    <t>14 años</t>
  </si>
  <si>
    <t>V0142</t>
  </si>
  <si>
    <t>Vestido floreado a un hombro</t>
  </si>
  <si>
    <t>BU0384</t>
  </si>
  <si>
    <t>BU0385</t>
  </si>
  <si>
    <t>Vestido elegante ajustado corte sirena</t>
  </si>
  <si>
    <t>BU386</t>
  </si>
  <si>
    <t>Camisero blanco con pinzas</t>
  </si>
  <si>
    <t>Recibido Freddy 12 junio</t>
  </si>
  <si>
    <t>BU0387</t>
  </si>
  <si>
    <t>Cobertor de traje de baño</t>
  </si>
  <si>
    <t>BU0388</t>
  </si>
  <si>
    <t>Malla fina Pareo</t>
  </si>
  <si>
    <t>BU0389</t>
  </si>
  <si>
    <t>Bikini Short con cordón de ajuste</t>
  </si>
  <si>
    <t>BU0390</t>
  </si>
  <si>
    <t>BU391</t>
  </si>
  <si>
    <t>Jean con roto sencillo</t>
  </si>
  <si>
    <t>BU0392</t>
  </si>
  <si>
    <t>Bañador en contraste azul</t>
  </si>
  <si>
    <t>BU0393</t>
  </si>
  <si>
    <t>BU0394</t>
  </si>
  <si>
    <t>Sandalias crema</t>
  </si>
  <si>
    <t>BU0395</t>
  </si>
  <si>
    <t>BU0396</t>
  </si>
  <si>
    <t>BU0397</t>
  </si>
  <si>
    <t>Mono Oblicuo con bolsillo</t>
  </si>
  <si>
    <t>BU0398</t>
  </si>
  <si>
    <t>BU0399</t>
  </si>
  <si>
    <t>Jumpsuit Palazzo Oliva</t>
  </si>
  <si>
    <t>Talla XS Color Verde Marca SHEIN</t>
  </si>
  <si>
    <t>BU0400</t>
  </si>
  <si>
    <t>Jumpsuit culotte</t>
  </si>
  <si>
    <t>BU0401</t>
  </si>
  <si>
    <t>BU0402</t>
  </si>
  <si>
    <t>Bolso de mimbre</t>
  </si>
  <si>
    <t>BU0403</t>
  </si>
  <si>
    <t>Lencería /Curvy</t>
  </si>
  <si>
    <t xml:space="preserve">Set de lencería </t>
  </si>
  <si>
    <t>BU0404</t>
  </si>
  <si>
    <t>Set de lencería sexy y  cómodo</t>
  </si>
  <si>
    <t>BU0405</t>
  </si>
  <si>
    <t>BU0406</t>
  </si>
  <si>
    <t>Set de lencería de encaje</t>
  </si>
  <si>
    <t>BU0407</t>
  </si>
  <si>
    <t>BU0408</t>
  </si>
  <si>
    <t xml:space="preserve">Sandalias de tacón con tiras </t>
  </si>
  <si>
    <t>BU0409</t>
  </si>
  <si>
    <t>Blusa elegante de cuello negro</t>
  </si>
  <si>
    <t>BU0410</t>
  </si>
  <si>
    <t>Blusa elegante de cuello blanco</t>
  </si>
  <si>
    <t>BU0411</t>
  </si>
  <si>
    <t>Maxi vestido floreado con abertura</t>
  </si>
  <si>
    <t>BU0412</t>
  </si>
  <si>
    <t>Maxi Vestido espalda corrida</t>
  </si>
  <si>
    <t>BU0413</t>
  </si>
  <si>
    <t>Bolso grande de playa</t>
  </si>
  <si>
    <t>BU0414</t>
  </si>
  <si>
    <t>Vestido ajustado Mora</t>
  </si>
  <si>
    <t>BU0415</t>
  </si>
  <si>
    <t>Vestido rojo con aberturas H&amp;M</t>
  </si>
  <si>
    <t>BU0416</t>
  </si>
  <si>
    <t>Babydoll</t>
  </si>
  <si>
    <t>BU0417</t>
  </si>
  <si>
    <t>Top traslúcido de encaje</t>
  </si>
  <si>
    <t>BU0418</t>
  </si>
  <si>
    <t xml:space="preserve">Short de playa </t>
  </si>
  <si>
    <t>BU0419</t>
  </si>
  <si>
    <t>Playera de animados</t>
  </si>
  <si>
    <t>BU0420</t>
  </si>
  <si>
    <t>Camisa MTV</t>
  </si>
  <si>
    <t>BU0421</t>
  </si>
  <si>
    <t>Sandalias de tacón grueso</t>
  </si>
  <si>
    <t>BU0422</t>
  </si>
  <si>
    <t>Sandalias de tiras de tacón cuadrado</t>
  </si>
  <si>
    <t>BU0423</t>
  </si>
  <si>
    <t>Top negro tipo cami</t>
  </si>
  <si>
    <t>Talla Xs</t>
  </si>
  <si>
    <t>BU0424</t>
  </si>
  <si>
    <t>Pullover negro cuello redondo</t>
  </si>
  <si>
    <t>Viaje Agosto</t>
  </si>
  <si>
    <t>BU0425</t>
  </si>
  <si>
    <t>BU0426</t>
  </si>
  <si>
    <t>Pezoneras de silicona</t>
  </si>
  <si>
    <t>BU0427</t>
  </si>
  <si>
    <t>Short de mezclilla oscura con doblez</t>
  </si>
  <si>
    <t>BU0428</t>
  </si>
  <si>
    <t>Short de mezclilla con doblez (no elastiza)</t>
  </si>
  <si>
    <t>BU0429</t>
  </si>
  <si>
    <t>Short de mezclilla clara (no elastiza)</t>
  </si>
  <si>
    <t>Talla S Color Denim_claro Marca SHEIN</t>
  </si>
  <si>
    <t>BU0430</t>
  </si>
  <si>
    <t>Pullover Dazy cuello redondo Blanco</t>
  </si>
  <si>
    <t>BU0431</t>
  </si>
  <si>
    <t>BU0432</t>
  </si>
  <si>
    <t>Vestido camisero con estampado y cinturón </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</si>
  <si>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</si>
  <si>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</si>
  <si>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</si>
  <si>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</si>
  <si>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</si>
  <si>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</si>
  <si>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</si>
  <si>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</si>
  <si>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</si>
  <si>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</si>
  <si>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</si>
  <si>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</si>
  <si>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</si>
  <si>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</si>
  <si>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</si>
  <si>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Tops /nuevo</t>
  </si>
  <si>
    <t>Camisa negra con estampado floral </t>
  </si>
  <si>
    <t>BU0443</t>
  </si>
  <si>
    <t>Vestido ajustado con adorno de plumas</t>
  </si>
  <si>
    <t>BU0444</t>
  </si>
  <si>
    <t>BU0445</t>
  </si>
  <si>
    <t>BU0446</t>
  </si>
  <si>
    <t>Conjunto de top y falda cruzada</t>
  </si>
  <si>
    <t>BU0447</t>
  </si>
  <si>
    <t>Conjunto blanco top healter y falda cruzada</t>
  </si>
  <si>
    <t>BU0448</t>
  </si>
  <si>
    <t>Sujetador adhesivo de silicona</t>
  </si>
  <si>
    <t>BU0449</t>
  </si>
  <si>
    <t>Camisa Blanca</t>
  </si>
  <si>
    <t>BU0450</t>
  </si>
  <si>
    <t>BU0451</t>
  </si>
  <si>
    <t>BU0455</t>
  </si>
  <si>
    <t>Pantaloneta de zíper</t>
  </si>
  <si>
    <t>BU0456</t>
  </si>
  <si>
    <t>Pantaloneta roja</t>
  </si>
  <si>
    <t>BU0457</t>
  </si>
  <si>
    <t>BU0458</t>
  </si>
  <si>
    <t>Partes-de-abajo /nuevo</t>
  </si>
  <si>
    <t>Falda negra con flores y abertura</t>
  </si>
  <si>
    <t>BU0459</t>
  </si>
  <si>
    <t>BU0460</t>
  </si>
  <si>
    <t>Talla 2_años</t>
  </si>
  <si>
    <t>BU0461</t>
  </si>
  <si>
    <t>BU0462</t>
  </si>
  <si>
    <t>BU0463</t>
  </si>
  <si>
    <t>Cortina plateada encargo Day</t>
  </si>
  <si>
    <t>BU0464</t>
  </si>
  <si>
    <t>Cartel para cake Day</t>
  </si>
  <si>
    <t>BU0465</t>
  </si>
  <si>
    <t>Letrero de cumpleaños Day</t>
  </si>
  <si>
    <t>BU0466</t>
  </si>
  <si>
    <t>Calzado /nuevo</t>
  </si>
  <si>
    <t>Calzado tacón negro</t>
  </si>
  <si>
    <t>Talla 36 Marca SHEIN</t>
  </si>
  <si>
    <t>BU0467</t>
  </si>
  <si>
    <t>Diadema con tira decorativa Day</t>
  </si>
  <si>
    <t>BU0468</t>
  </si>
  <si>
    <t>Globo número Day</t>
  </si>
  <si>
    <t>BU0469</t>
  </si>
  <si>
    <t xml:space="preserve">Short elegante de pierna ancha con doblez </t>
  </si>
  <si>
    <t>BU0470</t>
  </si>
  <si>
    <t>Short beich de pierna ancha </t>
  </si>
  <si>
    <t>BU0471</t>
  </si>
  <si>
    <t>Accesorios /Cintos</t>
  </si>
  <si>
    <t>Cinturón de hebilla dorada</t>
  </si>
  <si>
    <t>Talla Unitalla Color Carmelita Marca SHEIN</t>
  </si>
  <si>
    <t>BU0472</t>
  </si>
  <si>
    <t>Cinturón negro con hebilla dorada</t>
  </si>
  <si>
    <t>BU0473</t>
  </si>
  <si>
    <t>BU0474</t>
  </si>
  <si>
    <t>Pantalón Corte Recto</t>
  </si>
  <si>
    <t>Talla L Color Carmelita Marca SHEIN</t>
  </si>
  <si>
    <t>BU0475</t>
  </si>
  <si>
    <t>Blusa amarilla Greter encargo</t>
  </si>
  <si>
    <t>BU0476</t>
  </si>
  <si>
    <t>Blusa Verde Greter  encargo</t>
  </si>
  <si>
    <t>BU0477</t>
  </si>
  <si>
    <t>Blusa roja Greter encargo</t>
  </si>
  <si>
    <t>BU0479</t>
  </si>
  <si>
    <t>Pantaloneta verde</t>
  </si>
  <si>
    <t>BU0480</t>
  </si>
  <si>
    <t>BU0481</t>
  </si>
  <si>
    <t>BU0482</t>
  </si>
  <si>
    <t>Maxi vestido playero rojo</t>
  </si>
  <si>
    <t>BU0483</t>
  </si>
  <si>
    <t>Maxi vestido de espalda cruzada</t>
  </si>
  <si>
    <t>Talla M Color Naranja_Quemada Marca SHEIN</t>
  </si>
  <si>
    <t>BU0484</t>
  </si>
  <si>
    <t>Maxi vestido playero naranja quemada</t>
  </si>
  <si>
    <t>BU0485</t>
  </si>
  <si>
    <t>BU0487</t>
  </si>
  <si>
    <t>Pantaloneta negra con abertura</t>
  </si>
  <si>
    <t>BU0489</t>
  </si>
  <si>
    <t>Top asimétrico blanco</t>
  </si>
  <si>
    <t>BU0490</t>
  </si>
  <si>
    <t xml:space="preserve">Top corto asimétrico </t>
  </si>
  <si>
    <t>BU0491</t>
  </si>
  <si>
    <t>Top blanco cuello V con encaje</t>
  </si>
  <si>
    <t>BU0492</t>
  </si>
  <si>
    <t>BU0493</t>
  </si>
  <si>
    <t>Top de cuello V con encaje</t>
  </si>
  <si>
    <t>Talla M Color Blanco Marca SHEIN</t>
  </si>
  <si>
    <t>BU0494</t>
  </si>
  <si>
    <t>Top negro de cuello V con encaje</t>
  </si>
  <si>
    <t>BU0495</t>
  </si>
  <si>
    <t>Top negro  cuello V con encaje</t>
  </si>
  <si>
    <t>BU0496</t>
  </si>
  <si>
    <t>Short beiche de pierna ancha </t>
  </si>
  <si>
    <t>BU0497</t>
  </si>
  <si>
    <t>Pantalón beige de pierna ancha</t>
  </si>
  <si>
    <t>BU0498</t>
  </si>
  <si>
    <t>Pantalón de corte recto</t>
  </si>
  <si>
    <t>BU0499</t>
  </si>
  <si>
    <t>BU0500</t>
  </si>
  <si>
    <t>Pantalón rosado fuccia</t>
  </si>
  <si>
    <t>BU0502</t>
  </si>
  <si>
    <t>BU05021</t>
  </si>
  <si>
    <t>Top negro corto asimétrico</t>
  </si>
  <si>
    <t>BU0503</t>
  </si>
  <si>
    <t xml:space="preserve">Jean skinny oscuro </t>
  </si>
  <si>
    <t xml:space="preserve">Talla 27-S </t>
  </si>
  <si>
    <t>F21</t>
  </si>
  <si>
    <t>BU0505</t>
  </si>
  <si>
    <t>Pantaloneta con cinturón</t>
  </si>
  <si>
    <t>BU0506</t>
  </si>
  <si>
    <t>Sandalias rosadas Forever21</t>
  </si>
  <si>
    <t>BU0507</t>
  </si>
  <si>
    <t>Sandalias negras de hebilla </t>
  </si>
  <si>
    <t>BU0508</t>
  </si>
  <si>
    <t>Jean ajustado Claro</t>
  </si>
  <si>
    <t>Talla S Marca F21</t>
  </si>
  <si>
    <t>BU0509</t>
  </si>
  <si>
    <t>Jean ajustado claro</t>
  </si>
  <si>
    <t>BU0510</t>
  </si>
  <si>
    <t>BU0511</t>
  </si>
  <si>
    <t>Sandalias blancas</t>
  </si>
  <si>
    <t>BU0512</t>
  </si>
  <si>
    <t>Short de mezclilla suave con cinturón</t>
  </si>
  <si>
    <t>BU0514</t>
  </si>
  <si>
    <t>Blusa de manga larga cruzada</t>
  </si>
  <si>
    <t>BU0515</t>
  </si>
  <si>
    <t>Blazer Crema</t>
  </si>
  <si>
    <t>BU0516</t>
  </si>
  <si>
    <t>Blazer con textura (hacer foto)</t>
  </si>
  <si>
    <t>Talla EG Marca H&amp;M</t>
  </si>
  <si>
    <t>BU0517</t>
  </si>
  <si>
    <t>Blazer Carmelita oscuro (hacer foto)</t>
  </si>
  <si>
    <t>BU0518</t>
  </si>
  <si>
    <t>Camisa rayas verde Extra Grande</t>
  </si>
  <si>
    <t>BU0519</t>
  </si>
  <si>
    <t>Camisa Azul Extra Grande</t>
  </si>
  <si>
    <t>BU0520</t>
  </si>
  <si>
    <t xml:space="preserve">Camisa Blanca </t>
  </si>
  <si>
    <t>BU0522</t>
  </si>
  <si>
    <t xml:space="preserve">Blusa de manga acampanada </t>
  </si>
  <si>
    <t>Talla M Color Negro Marca SHEIN</t>
  </si>
  <si>
    <t>BU0523</t>
  </si>
  <si>
    <t>Blusa de manga acampanada blanca</t>
  </si>
  <si>
    <t>BU0524</t>
  </si>
  <si>
    <t>Blusa de manga acampanada negra</t>
  </si>
  <si>
    <t>BU0525</t>
  </si>
  <si>
    <t>Blusa de manga acampanada</t>
  </si>
  <si>
    <t>BU0526</t>
  </si>
  <si>
    <t>Blusa Camisa de puño largo</t>
  </si>
  <si>
    <t>BU0527</t>
  </si>
  <si>
    <t>Blusa camisa de puño largo</t>
  </si>
  <si>
    <t>BU0528</t>
  </si>
  <si>
    <t>Camisa entallada dazy</t>
  </si>
  <si>
    <t>BU0529</t>
  </si>
  <si>
    <t>BU0530</t>
  </si>
  <si>
    <t>falta foto</t>
  </si>
  <si>
    <t>Body traslúcido floreado (hacer foto)</t>
  </si>
  <si>
    <t>Talla XS Color Verde Marca H&amp;M</t>
  </si>
  <si>
    <t>BU0531</t>
  </si>
  <si>
    <t>Cardigan Amarillo</t>
  </si>
  <si>
    <t>BU0532</t>
  </si>
  <si>
    <t>BU0533</t>
  </si>
  <si>
    <t xml:space="preserve">Pullover oversize estampado </t>
  </si>
  <si>
    <t>BU0534</t>
  </si>
  <si>
    <t>Sweater rosa con mangas abiertas</t>
  </si>
  <si>
    <t>BU0535</t>
  </si>
  <si>
    <t>Chaleco Tejido</t>
  </si>
  <si>
    <t>BU0536</t>
  </si>
  <si>
    <t>Chaleco de traje gris talla pequeña H&amp;M</t>
  </si>
  <si>
    <t>BU0537</t>
  </si>
  <si>
    <t>Sweater de Lana naranja quemada</t>
  </si>
  <si>
    <t>BU0538</t>
  </si>
  <si>
    <t>Tops /Curvy /hm</t>
  </si>
  <si>
    <t>Sweater de lana H&amp;M</t>
  </si>
  <si>
    <t>BU0539</t>
  </si>
  <si>
    <t>BU0540</t>
  </si>
  <si>
    <t>Vestido de flecos</t>
  </si>
  <si>
    <t>BU0541</t>
  </si>
  <si>
    <t>BU0542</t>
  </si>
  <si>
    <t>Falda plisada de cuadros</t>
  </si>
  <si>
    <t>BU0543</t>
  </si>
  <si>
    <t>BU0544</t>
  </si>
  <si>
    <t>Pajarita en forma de flor</t>
  </si>
  <si>
    <t>BU0545</t>
  </si>
  <si>
    <t>Corbatín de mujer</t>
  </si>
  <si>
    <t>BU0547</t>
  </si>
  <si>
    <t>Camisa blanca entallada H&amp;M</t>
  </si>
  <si>
    <t>BU0548</t>
  </si>
  <si>
    <t xml:space="preserve">Ajustador beige </t>
  </si>
  <si>
    <t>Talla 34 Marca F21</t>
  </si>
  <si>
    <t>BUI000</t>
  </si>
  <si>
    <t>Conjunto Skort &amp; top Floreado</t>
  </si>
  <si>
    <t>BU0550</t>
  </si>
  <si>
    <t>Medias pantys</t>
  </si>
  <si>
    <t>Talla Unitalla Marca H&amp;M</t>
  </si>
  <si>
    <t>BU0551</t>
  </si>
  <si>
    <t>Medias de mallas</t>
  </si>
  <si>
    <t>BU0552</t>
  </si>
  <si>
    <t>Partes-de-abajo /hm</t>
  </si>
  <si>
    <t>Leggings negros acanalados</t>
  </si>
  <si>
    <t>BU0553</t>
  </si>
  <si>
    <t>Playera negra de cuello cisne</t>
  </si>
  <si>
    <t>BU0554</t>
  </si>
  <si>
    <t> Vestido Rojo con eberturas</t>
  </si>
  <si>
    <t>BU0555</t>
  </si>
  <si>
    <t>BU0556</t>
  </si>
  <si>
    <t>Playera de cuello cisne</t>
  </si>
  <si>
    <t>BU0557</t>
  </si>
  <si>
    <t>Camiseta acanalada de bajo asimétrico blanco</t>
  </si>
  <si>
    <t>BU0558</t>
  </si>
  <si>
    <t>BU0559</t>
  </si>
  <si>
    <t>Camiseta acanalada de bajo asimétrico naranja</t>
  </si>
  <si>
    <t>BU0560</t>
  </si>
  <si>
    <t>Camiseta acanalada oblicua naranja</t>
  </si>
  <si>
    <t>BU0561</t>
  </si>
  <si>
    <t>Top bustier corsetero</t>
  </si>
  <si>
    <t>Compra 11 dic 2023</t>
  </si>
  <si>
    <t>BU0562</t>
  </si>
  <si>
    <t xml:space="preserve">Talla L </t>
  </si>
  <si>
    <t>BU0563</t>
  </si>
  <si>
    <t>Pantaloneta con abertura y bolsillos</t>
  </si>
  <si>
    <t>BU0564</t>
  </si>
  <si>
    <t>Pantaloneta con abertura</t>
  </si>
  <si>
    <t>BU0565</t>
  </si>
  <si>
    <t>Jean MOM con rotos</t>
  </si>
  <si>
    <t>Talla 27-M</t>
  </si>
  <si>
    <t>BU0566</t>
  </si>
  <si>
    <t>Talla 25_S Marca F21</t>
  </si>
  <si>
    <t>BU0568</t>
  </si>
  <si>
    <t>Vestido acanalado cruzado color crema</t>
  </si>
  <si>
    <t>BU0569</t>
  </si>
  <si>
    <t>BU0570</t>
  </si>
  <si>
    <t>Short de tela suave con cinturón</t>
  </si>
  <si>
    <t>BU0571</t>
  </si>
  <si>
    <t>Pantalón de traje</t>
  </si>
  <si>
    <t>Talla L Color Negro Marca H&amp;M</t>
  </si>
  <si>
    <t>BU0572</t>
  </si>
  <si>
    <t>Vestido espalda escotada</t>
  </si>
  <si>
    <t>BU0573</t>
  </si>
  <si>
    <t>BU0574</t>
  </si>
  <si>
    <t>Sandalias blancas cruzadas</t>
  </si>
  <si>
    <t>COMPRA F21</t>
  </si>
  <si>
    <t>BU0575</t>
  </si>
  <si>
    <t>BU0576</t>
  </si>
  <si>
    <t>BU0577</t>
  </si>
  <si>
    <t>Pantalón de viscosa y zíper</t>
  </si>
  <si>
    <t>BU0578</t>
  </si>
  <si>
    <t>Sandalias de velcro</t>
  </si>
  <si>
    <t>BU0579</t>
  </si>
  <si>
    <t>BU0580</t>
  </si>
  <si>
    <t>BU0581</t>
  </si>
  <si>
    <t>Sandalias negras acolchadas Marca F21</t>
  </si>
  <si>
    <t>Talla 37.5</t>
  </si>
  <si>
    <t>BU0582</t>
  </si>
  <si>
    <t>Sandalias negras acolchadas</t>
  </si>
  <si>
    <t>BU0583</t>
  </si>
  <si>
    <t>BU0584</t>
  </si>
  <si>
    <t>Mocasín con herrajes</t>
  </si>
  <si>
    <t>BU0585</t>
  </si>
  <si>
    <t>BU0586</t>
  </si>
  <si>
    <t>BU0587</t>
  </si>
  <si>
    <t>Sandalias minimalistas de plataforma</t>
  </si>
  <si>
    <t>BU0588</t>
  </si>
  <si>
    <t>Talla 40 Marca F21</t>
  </si>
  <si>
    <t>BU0589</t>
  </si>
  <si>
    <t>BU0590</t>
  </si>
  <si>
    <t>Vestido Orquídea de botones y tirantes de pétalos</t>
  </si>
  <si>
    <t>BU0591</t>
  </si>
  <si>
    <t>BU0592</t>
  </si>
  <si>
    <t>BU0593</t>
  </si>
  <si>
    <t>Pantalón alto de bajo elegante</t>
  </si>
  <si>
    <t>BU0594</t>
  </si>
  <si>
    <t>BU0595</t>
  </si>
  <si>
    <t>BU0596</t>
  </si>
  <si>
    <t>BU0597</t>
  </si>
  <si>
    <t xml:space="preserve">Pantalón cargo verde </t>
  </si>
  <si>
    <t>BU0600</t>
  </si>
  <si>
    <t>Bermuda negra denim</t>
  </si>
  <si>
    <t>Talla S-M</t>
  </si>
  <si>
    <t>BU0601</t>
  </si>
  <si>
    <t>Sandalias de tacón triangular</t>
  </si>
  <si>
    <t>Talla 37 Color Rosado Marca F21</t>
  </si>
  <si>
    <t>Compra 7/12/2023</t>
  </si>
  <si>
    <t>BU0602</t>
  </si>
  <si>
    <t>Camiseta Dazy Negro</t>
  </si>
  <si>
    <t>BU0603</t>
  </si>
  <si>
    <t>Vestido Dazy con abertura</t>
  </si>
  <si>
    <t>BU0604</t>
  </si>
  <si>
    <t>Camiseta Dazy Blanco</t>
  </si>
  <si>
    <t>BU0605</t>
  </si>
  <si>
    <t>Pantalón negro acampanado</t>
  </si>
  <si>
    <t>BU06061</t>
  </si>
  <si>
    <t>calzado</t>
  </si>
  <si>
    <t>Botas negras de zíper</t>
  </si>
  <si>
    <t>Talla 37 Marca SHEIN</t>
  </si>
  <si>
    <t>BU0607</t>
  </si>
  <si>
    <t>Sandalias de tacón fino</t>
  </si>
  <si>
    <t>BU0608</t>
  </si>
  <si>
    <t>Vestido Camisero flores</t>
  </si>
  <si>
    <t>BU0609</t>
  </si>
  <si>
    <t xml:space="preserve">Falda satinada negra línea A </t>
  </si>
  <si>
    <t>BU0610</t>
  </si>
  <si>
    <t>Pullover cuello redondo</t>
  </si>
  <si>
    <t>BU0611</t>
  </si>
  <si>
    <t>Blusa corta Blanca bordada Girasol</t>
  </si>
  <si>
    <t>BU0612</t>
  </si>
  <si>
    <t>Sandalias Albaricoque</t>
  </si>
  <si>
    <t>BU0613</t>
  </si>
  <si>
    <t>Zapato de Tacón Cuadrado</t>
  </si>
  <si>
    <t>BU0615</t>
  </si>
  <si>
    <t>Pullover Dazy cuello redondo Negro</t>
  </si>
  <si>
    <t>BU0616</t>
  </si>
  <si>
    <t>BU0617</t>
  </si>
  <si>
    <t>Chaleco blanco botones</t>
  </si>
  <si>
    <t>BU0618</t>
  </si>
  <si>
    <t>BU0619</t>
  </si>
  <si>
    <t>BU0621</t>
  </si>
  <si>
    <t>Vestido Frenchy Ajustado</t>
  </si>
  <si>
    <t>BU0622</t>
  </si>
  <si>
    <t>BU0623</t>
  </si>
  <si>
    <t>Pantalón acampanado Blanco</t>
  </si>
  <si>
    <t>BU0624</t>
  </si>
  <si>
    <t>BU0625</t>
  </si>
  <si>
    <t>Pantalón Negro Acampanado</t>
  </si>
  <si>
    <t>BU0626</t>
  </si>
  <si>
    <t>Top bustier corset de encaje</t>
  </si>
  <si>
    <t>Talla S_M</t>
  </si>
  <si>
    <t>BU0630</t>
  </si>
  <si>
    <t>BU0632</t>
  </si>
  <si>
    <t>Chaleco de traje</t>
  </si>
  <si>
    <t>BU0633</t>
  </si>
  <si>
    <t>BU0634</t>
  </si>
  <si>
    <t>Saya de Mezclilla a la Cintura</t>
  </si>
  <si>
    <t>BU0635</t>
  </si>
  <si>
    <t>BU0636</t>
  </si>
  <si>
    <t>Zapato de punta fina y Tacón Cuadrado</t>
  </si>
  <si>
    <t>BU0637</t>
  </si>
  <si>
    <t>BU0638</t>
  </si>
  <si>
    <t>Top Bustier encaje</t>
  </si>
  <si>
    <t>BU0639</t>
  </si>
  <si>
    <t>BU0640</t>
  </si>
  <si>
    <t>BU0641</t>
  </si>
  <si>
    <t>Accesorios /bolsos</t>
  </si>
  <si>
    <t>Bolso de Mimbre</t>
  </si>
  <si>
    <t>Talla Mediano</t>
  </si>
  <si>
    <t>BU0642</t>
  </si>
  <si>
    <t>Top de encaje</t>
  </si>
  <si>
    <t>BU0643</t>
  </si>
  <si>
    <t>BU0645</t>
  </si>
  <si>
    <t>Falda de mezclilla negra a la cintura</t>
  </si>
  <si>
    <t>BU0646</t>
  </si>
  <si>
    <t>Gafas de sol Dama</t>
  </si>
  <si>
    <t>BU0647</t>
  </si>
  <si>
    <t xml:space="preserve">Gafas de Sol </t>
  </si>
  <si>
    <t>BU0648</t>
  </si>
  <si>
    <t>Lentes de Sol</t>
  </si>
  <si>
    <t>BU0649</t>
  </si>
  <si>
    <t xml:space="preserve">Partes-de-abajo </t>
  </si>
  <si>
    <t>BU0650</t>
  </si>
  <si>
    <t>Encargo Baby</t>
  </si>
  <si>
    <t>Limpia botellas</t>
  </si>
  <si>
    <t>BU0651</t>
  </si>
  <si>
    <t>Batidor</t>
  </si>
  <si>
    <t>BU0652</t>
  </si>
  <si>
    <t>Calzado /ofertas /hm</t>
  </si>
  <si>
    <t>Mocasín de punta fina Marca H&amp;M</t>
  </si>
  <si>
    <t>BU0653</t>
  </si>
  <si>
    <t>Botas Chalsesa</t>
  </si>
  <si>
    <t>BU0654</t>
  </si>
  <si>
    <t>Blusa corta abombada</t>
  </si>
  <si>
    <t>BU0655</t>
  </si>
  <si>
    <t>Pantalón recto de traje de pata ancha H&amp;M</t>
  </si>
  <si>
    <t>BU0656</t>
  </si>
  <si>
    <t>Vestido negro ajustado estilo corset</t>
  </si>
  <si>
    <t>BU0657</t>
  </si>
  <si>
    <t>Jean skinny de cintura alta y bajo descosido</t>
  </si>
  <si>
    <t>BU0658</t>
  </si>
  <si>
    <t>Leggins bikers</t>
  </si>
  <si>
    <t>BU0659</t>
  </si>
  <si>
    <t>Blazer azul Rey</t>
  </si>
  <si>
    <t>BU0660</t>
  </si>
  <si>
    <t>Calzado /Precios Bajos</t>
  </si>
  <si>
    <t>Sandalias de tiras</t>
  </si>
  <si>
    <t>BU0661</t>
  </si>
  <si>
    <t>Talla 38 Marca F21</t>
  </si>
  <si>
    <t>BU0662</t>
  </si>
  <si>
    <t>Calzado /Forever21</t>
  </si>
  <si>
    <t>Sandalias de nudos</t>
  </si>
  <si>
    <t>Talla 39 Marca F21</t>
  </si>
  <si>
    <t>BU0663</t>
  </si>
  <si>
    <t>BU0664</t>
  </si>
  <si>
    <t xml:space="preserve">Sandalias Pop </t>
  </si>
  <si>
    <t>BU0665</t>
  </si>
  <si>
    <t>Sandalias Pop</t>
  </si>
  <si>
    <t>BU0666</t>
  </si>
  <si>
    <t>Sandalias de hebilla</t>
  </si>
  <si>
    <t>BU0667</t>
  </si>
  <si>
    <t>BU0668</t>
  </si>
  <si>
    <t>Sandalias flip de plataforma Rosadas Marca F21</t>
  </si>
  <si>
    <t xml:space="preserve">Talla 37-38 </t>
  </si>
  <si>
    <t>BU0669</t>
  </si>
  <si>
    <t>Sandalias flip de plataforma Naranja Marca F21</t>
  </si>
  <si>
    <t>Talla 39-40</t>
  </si>
  <si>
    <t>BU0670</t>
  </si>
  <si>
    <t>Talla 36-37-38</t>
  </si>
  <si>
    <t>BU0671</t>
  </si>
  <si>
    <t>Sandalias flip de plataforma Negro</t>
  </si>
  <si>
    <t>BU0672</t>
  </si>
  <si>
    <t>Sandalias flip de plataforma</t>
  </si>
  <si>
    <t>BU0673</t>
  </si>
  <si>
    <t>Cardigan classy</t>
  </si>
  <si>
    <t>SHEiN</t>
  </si>
  <si>
    <t>Compra 9/12/2023</t>
  </si>
  <si>
    <t>BU06741</t>
  </si>
  <si>
    <t>Sandalias minimalistas de tacón</t>
  </si>
  <si>
    <t>BU0674</t>
  </si>
  <si>
    <t>BU0675</t>
  </si>
  <si>
    <t>Vestido camisa modely</t>
  </si>
  <si>
    <t>BU0676</t>
  </si>
  <si>
    <t>BU0677</t>
  </si>
  <si>
    <t>Vestidos /Curvy /precios bajos</t>
  </si>
  <si>
    <t xml:space="preserve">Vestido camisero con estampado floral </t>
  </si>
  <si>
    <t>BU0678</t>
  </si>
  <si>
    <t>Camisa Modely</t>
  </si>
  <si>
    <t>BU0679</t>
  </si>
  <si>
    <t>BU0680</t>
  </si>
  <si>
    <t>BU0681</t>
  </si>
  <si>
    <t>Vestido largo estampado</t>
  </si>
  <si>
    <t>BU0682</t>
  </si>
  <si>
    <t>BU0683</t>
  </si>
  <si>
    <t>Vestido Becka</t>
  </si>
  <si>
    <t>BU0684</t>
  </si>
  <si>
    <t>BU0685</t>
  </si>
  <si>
    <t>BU0686</t>
  </si>
  <si>
    <t>BU0687</t>
  </si>
  <si>
    <t>Vestido Tarsha</t>
  </si>
  <si>
    <t>BU0688</t>
  </si>
  <si>
    <t>BU0689</t>
  </si>
  <si>
    <t>BU0690</t>
  </si>
  <si>
    <t xml:space="preserve">Vestido Burdeos </t>
  </si>
  <si>
    <t>Talla XS Color Rojo_Intenso Marca SHEIN</t>
  </si>
  <si>
    <t>BU0691</t>
  </si>
  <si>
    <t>Vestidos Burdeos</t>
  </si>
  <si>
    <t>BU0692</t>
  </si>
  <si>
    <t xml:space="preserve">Vestido Privé </t>
  </si>
  <si>
    <t>BU0693</t>
  </si>
  <si>
    <t xml:space="preserve">Vestido Privé  </t>
  </si>
  <si>
    <t>BU0694</t>
  </si>
  <si>
    <t>BU0695</t>
  </si>
  <si>
    <t>Vestido Privé</t>
  </si>
  <si>
    <t>BU0696</t>
  </si>
  <si>
    <t>Top Asimétrico Acanalado</t>
  </si>
  <si>
    <t>BU0697</t>
  </si>
  <si>
    <t>BU0698</t>
  </si>
  <si>
    <t>Kimono floral</t>
  </si>
  <si>
    <t>BU0699</t>
  </si>
  <si>
    <t>Kimono fLoral</t>
  </si>
  <si>
    <t>BU0700</t>
  </si>
  <si>
    <t>Mono palazzo</t>
  </si>
  <si>
    <t>BU0701</t>
  </si>
  <si>
    <t>BU0702</t>
  </si>
  <si>
    <t>Vestido Frenchy Azul</t>
  </si>
  <si>
    <t>BU0703</t>
  </si>
  <si>
    <t>Vestido Frenchy Rojo</t>
  </si>
  <si>
    <t>BU0704</t>
  </si>
  <si>
    <t>Vestido Margarita</t>
  </si>
  <si>
    <t>BU0705</t>
  </si>
  <si>
    <t>Vestido margarita</t>
  </si>
  <si>
    <t>BU0707</t>
  </si>
  <si>
    <t>Suéter cuello de Cisne</t>
  </si>
  <si>
    <t>BU0708</t>
  </si>
  <si>
    <t>BU0709</t>
  </si>
  <si>
    <t>BU0710</t>
  </si>
  <si>
    <t>Top healter negro</t>
  </si>
  <si>
    <t>BU0711</t>
  </si>
  <si>
    <t>Top Healter negro</t>
  </si>
  <si>
    <t>BU0712</t>
  </si>
  <si>
    <t>Mono Con Botón Delantero</t>
  </si>
  <si>
    <t>BU0713</t>
  </si>
  <si>
    <t xml:space="preserve">Vestido cruzado </t>
  </si>
  <si>
    <t>BU0714</t>
  </si>
  <si>
    <t>Conjunto Albaricoque</t>
  </si>
  <si>
    <t>BU0715</t>
  </si>
  <si>
    <t>BU0716</t>
  </si>
  <si>
    <t>Conjunto Beis satinado</t>
  </si>
  <si>
    <t>BU0717</t>
  </si>
  <si>
    <t>Conjunto Beis</t>
  </si>
  <si>
    <t>BU0718</t>
  </si>
  <si>
    <t>Talla 38 Marca SHEIN</t>
  </si>
  <si>
    <t>BU0719</t>
  </si>
  <si>
    <t>Talla 39 Marca SHEIN</t>
  </si>
  <si>
    <t>BU0720</t>
  </si>
  <si>
    <t>Vestido Frenchy</t>
  </si>
  <si>
    <t>Talla M Color Verde Marca SHEIN</t>
  </si>
  <si>
    <t>BU0722</t>
  </si>
  <si>
    <t>Vestido de mangas en contraste</t>
  </si>
  <si>
    <t>BU0723</t>
  </si>
  <si>
    <t>Mono con cinturón</t>
  </si>
  <si>
    <t>BU0724</t>
  </si>
  <si>
    <t>Monos /Curvy</t>
  </si>
  <si>
    <t>Mono elegante con mangas de vuelo</t>
  </si>
  <si>
    <t>Talla L Color Verde Marca SHEIN</t>
  </si>
  <si>
    <t>BU0725</t>
  </si>
  <si>
    <t>Blusa Lettuche</t>
  </si>
  <si>
    <t>BU0726</t>
  </si>
  <si>
    <t>Chaleco corto de traje cuadros</t>
  </si>
  <si>
    <t>BU0727</t>
  </si>
  <si>
    <t>Jean Mom con bajo descosido</t>
  </si>
  <si>
    <t>BU0728</t>
  </si>
  <si>
    <t>BU0729</t>
  </si>
  <si>
    <t>Shorts con rotos y detalle de encajes</t>
  </si>
  <si>
    <t>BU0730</t>
  </si>
  <si>
    <t>Vestido Frente Drapeado Negro y Blanco</t>
  </si>
  <si>
    <t>BU0731</t>
  </si>
  <si>
    <t>BU0732</t>
  </si>
  <si>
    <t>BU0733</t>
  </si>
  <si>
    <t>Vestido ajustado con abertura de manga larga</t>
  </si>
  <si>
    <t>BU0734</t>
  </si>
  <si>
    <t>BU0735</t>
  </si>
  <si>
    <t>Vestido acanalado de manga larga</t>
  </si>
  <si>
    <t>Talla S Color Crema Marca SHEIN</t>
  </si>
  <si>
    <t>BU0736</t>
  </si>
  <si>
    <t>Vestido Asimétrico con cuerdas</t>
  </si>
  <si>
    <t>Talla S color Blanco Marca SHEIN</t>
  </si>
  <si>
    <t>BU0737</t>
  </si>
  <si>
    <t>BU0738</t>
  </si>
  <si>
    <t>Vestidos /ofertas /hm</t>
  </si>
  <si>
    <t>Vestido Denim</t>
  </si>
  <si>
    <t>BU0739</t>
  </si>
  <si>
    <t xml:space="preserve">Vestido ajustado de puntos </t>
  </si>
  <si>
    <t>BU0740</t>
  </si>
  <si>
    <t>Vestido de botones y manga abullonada</t>
  </si>
  <si>
    <t>BU0741</t>
  </si>
  <si>
    <t>Vestido ajustado en rosas</t>
  </si>
  <si>
    <t>BU0742</t>
  </si>
  <si>
    <t>Vestido negro corte A</t>
  </si>
  <si>
    <t>BU0743</t>
  </si>
  <si>
    <t>Vestido Terciopelo</t>
  </si>
  <si>
    <t>BU06361</t>
  </si>
  <si>
    <t>BU06371</t>
  </si>
  <si>
    <t>Tops /chalecos-blazers</t>
  </si>
  <si>
    <t>Chaleco de traje Crema</t>
  </si>
  <si>
    <t>Compra Shein22012024</t>
  </si>
  <si>
    <t>BU06381</t>
  </si>
  <si>
    <t>Talla M Color Crema Marca SHEIN</t>
  </si>
  <si>
    <t>BU06391</t>
  </si>
  <si>
    <t>Chaleco de traje Negro</t>
  </si>
  <si>
    <t>BU06401</t>
  </si>
  <si>
    <t>BU06411</t>
  </si>
  <si>
    <t>Chaleco de traje Blanco</t>
  </si>
  <si>
    <t>BU06421</t>
  </si>
  <si>
    <t>Nuevo /chalecos-blazers</t>
  </si>
  <si>
    <t>BU06431</t>
  </si>
  <si>
    <t>Nuevo /Tops</t>
  </si>
  <si>
    <t>Kimono Dazy Elegante</t>
  </si>
  <si>
    <t>BU06441</t>
  </si>
  <si>
    <t>BU06451</t>
  </si>
  <si>
    <t xml:space="preserve">Traje de baño blanco sexy </t>
  </si>
  <si>
    <t>BU06461</t>
  </si>
  <si>
    <t>Traje de baño Oliva</t>
  </si>
  <si>
    <t>BU06471</t>
  </si>
  <si>
    <t>Trajes de Baño /Curvy /nuevo</t>
  </si>
  <si>
    <t>Traje de baño de mangas estampadas</t>
  </si>
  <si>
    <t>Talla XXL Marca SHEIN</t>
  </si>
  <si>
    <t>BU064412</t>
  </si>
  <si>
    <t>nuevo /Tops</t>
  </si>
  <si>
    <t>BU06491</t>
  </si>
  <si>
    <t>Zapatillas blanco casual</t>
  </si>
  <si>
    <t>Talla 41 Marca SHEIN</t>
  </si>
  <si>
    <t>BU06501</t>
  </si>
  <si>
    <t>Talla 40 Marca SHEIN</t>
  </si>
  <si>
    <t>BU06511</t>
  </si>
  <si>
    <t>BU06521</t>
  </si>
  <si>
    <t>BU06531</t>
  </si>
  <si>
    <t>nuevo /Accesorios</t>
  </si>
  <si>
    <t>Calcetines al tobillo beige</t>
  </si>
  <si>
    <t>BU06541</t>
  </si>
  <si>
    <t>Calcetines al tobillo negro</t>
  </si>
  <si>
    <t>BU06551</t>
  </si>
  <si>
    <t>Nuevo /Accesorios</t>
  </si>
  <si>
    <t>Calcetines bajos</t>
  </si>
  <si>
    <t>BU06561</t>
  </si>
  <si>
    <t>Nuevo /Blusas /Curvy</t>
  </si>
  <si>
    <t>BU06571</t>
  </si>
  <si>
    <t>Bikini negro sexy pequeño</t>
  </si>
  <si>
    <t>BU06581</t>
  </si>
  <si>
    <t>BU06591</t>
  </si>
  <si>
    <t>BU06601</t>
  </si>
  <si>
    <t>Conjunto de bikini</t>
  </si>
  <si>
    <t>BU06611</t>
  </si>
  <si>
    <t>Conjunto de bikini moca</t>
  </si>
  <si>
    <t>BU06621</t>
  </si>
  <si>
    <t>BU06651</t>
  </si>
  <si>
    <t>nuevo /Cintos /Accesorios</t>
  </si>
  <si>
    <t>Cinturón de hebilla redonda</t>
  </si>
  <si>
    <t>BU06661</t>
  </si>
  <si>
    <t>BU06671</t>
  </si>
  <si>
    <t>Traje de baño blanco sexy</t>
  </si>
  <si>
    <t>BU06681</t>
  </si>
  <si>
    <t>Nuevo /Cintos /Accesorios</t>
  </si>
  <si>
    <t>Cinturón básico grueso Negro</t>
  </si>
  <si>
    <t xml:space="preserve">Talla Unitalla </t>
  </si>
  <si>
    <t>BU066912</t>
  </si>
  <si>
    <t>Cinturón básico grueso Camel</t>
  </si>
  <si>
    <t>BU06701</t>
  </si>
  <si>
    <t>Nuevo</t>
  </si>
  <si>
    <t>Horquillas en forma de lazo</t>
  </si>
  <si>
    <t>Talla Unitalla Color Negro</t>
  </si>
  <si>
    <t>BU06711</t>
  </si>
  <si>
    <t>nuevo /accesorios</t>
  </si>
  <si>
    <t>BU06721</t>
  </si>
  <si>
    <t>Talla Unitalla Color Rosa_palo</t>
  </si>
  <si>
    <t>BU06731</t>
  </si>
  <si>
    <t>Camisa blanca estampado de ave</t>
  </si>
  <si>
    <t>BU067409</t>
  </si>
  <si>
    <t>Vestido frenchy botones marrón</t>
  </si>
  <si>
    <t>Talla 2XL Marca SHEIN</t>
  </si>
  <si>
    <t>BU06751</t>
  </si>
  <si>
    <t>Accesorios /nuevo</t>
  </si>
  <si>
    <t>Pasador de cabello en forma de lazo</t>
  </si>
  <si>
    <t>BU06761</t>
  </si>
  <si>
    <t>Lazo para coletas</t>
  </si>
  <si>
    <t>Shein</t>
  </si>
  <si>
    <t>BU06771</t>
  </si>
  <si>
    <t xml:space="preserve">Vestido chaleco blazer </t>
  </si>
  <si>
    <t>BU06781</t>
  </si>
  <si>
    <t>accesorios</t>
  </si>
  <si>
    <t>Cinto ancho de hebilla dorada</t>
  </si>
  <si>
    <t>BU06782</t>
  </si>
  <si>
    <t>nuevo /vestidos</t>
  </si>
  <si>
    <t>Vestido Midi Elegante</t>
  </si>
  <si>
    <t>Talla S Color Vainilla Marca F21</t>
  </si>
  <si>
    <t>Compra F2119022024</t>
  </si>
  <si>
    <t>BU06783</t>
  </si>
  <si>
    <t>Talla M Color Vainilla Marca F21</t>
  </si>
  <si>
    <t>BU06784</t>
  </si>
  <si>
    <t>Talla XL Color Vainilla Marca F21</t>
  </si>
  <si>
    <t>BU06785</t>
  </si>
  <si>
    <t>Bolso Crossbody en detalle de cocodrilo</t>
  </si>
  <si>
    <t>BU06786</t>
  </si>
  <si>
    <t>nuevo /partes de abajo</t>
  </si>
  <si>
    <t xml:space="preserve">Pantalón Palazzo </t>
  </si>
  <si>
    <t>BU06787</t>
  </si>
  <si>
    <t xml:space="preserve">Pantalón en piel </t>
  </si>
  <si>
    <t>BU06788</t>
  </si>
  <si>
    <t>BU06789</t>
  </si>
  <si>
    <t>Curvy Skinny Jeans</t>
  </si>
  <si>
    <t>Talla 12_XL</t>
  </si>
  <si>
    <t>BU06790</t>
  </si>
  <si>
    <t xml:space="preserve">Maxi Vestido Bodycon </t>
  </si>
  <si>
    <t>Talla XS Color Negro Marca F21</t>
  </si>
  <si>
    <t>BU06791</t>
  </si>
  <si>
    <t>Talla M Color Negro Marca F21</t>
  </si>
  <si>
    <t>BU067911</t>
  </si>
  <si>
    <t>Talla L Color Negro Marca F21</t>
  </si>
  <si>
    <t>BU06792</t>
  </si>
  <si>
    <t>Vestido Midi de espalda oblicua</t>
  </si>
  <si>
    <t>BU06793</t>
  </si>
  <si>
    <t>Crossbody Bag con hebilla</t>
  </si>
  <si>
    <t>BU06794</t>
  </si>
  <si>
    <t xml:space="preserve">Crossbody Bag </t>
  </si>
  <si>
    <t>BU06795</t>
  </si>
  <si>
    <t>Mochila de lana sintética</t>
  </si>
  <si>
    <t>BU06796</t>
  </si>
  <si>
    <t>Crossbody Bag Negro Lacado</t>
  </si>
  <si>
    <t>Talla Unitalla Marca F21</t>
  </si>
  <si>
    <t>BU06797</t>
  </si>
  <si>
    <t>Crossbody Bag Blanco Lacado</t>
  </si>
  <si>
    <t>BU06798</t>
  </si>
  <si>
    <t>Crossbody Bag Guateado</t>
  </si>
  <si>
    <t>BU06799</t>
  </si>
  <si>
    <t>Bolso Baguette Rojo</t>
  </si>
  <si>
    <t>BU06800</t>
  </si>
  <si>
    <t>Bolso Baguette Negro</t>
  </si>
  <si>
    <t>BU06801</t>
  </si>
  <si>
    <t>Crossbody bag Denim</t>
  </si>
  <si>
    <t>BU06802</t>
  </si>
  <si>
    <t>nuevo /tops</t>
  </si>
  <si>
    <t>Blazer entallado</t>
  </si>
  <si>
    <t>BU06803</t>
  </si>
  <si>
    <t>Talla M Color Piedra_Azul Marca F21</t>
  </si>
  <si>
    <t>BU06804</t>
  </si>
  <si>
    <t>Próximamente /tops</t>
  </si>
  <si>
    <t>BU06805</t>
  </si>
  <si>
    <t>BU06806</t>
  </si>
  <si>
    <t>Vestido Chic Primavera</t>
  </si>
  <si>
    <t>Temu</t>
  </si>
  <si>
    <t>Compra Temu18022024</t>
  </si>
  <si>
    <t>BU06807</t>
  </si>
  <si>
    <t>BU06808</t>
  </si>
  <si>
    <t>BU06809</t>
  </si>
  <si>
    <t>bolsos /nuevo</t>
  </si>
  <si>
    <t>Bolso Vintage Marrón</t>
  </si>
  <si>
    <t>Talla Unitalla Marca TEMU</t>
  </si>
  <si>
    <t>BU06810</t>
  </si>
  <si>
    <t>Bolso Vintage Negro</t>
  </si>
  <si>
    <t>BU068101</t>
  </si>
  <si>
    <t>Vestido Camisero de Rayas</t>
  </si>
  <si>
    <t>Talla XL Color azul_y_blanco Marca TEMU</t>
  </si>
  <si>
    <t>BU068102</t>
  </si>
  <si>
    <t>Vestido Camisero de Bolas</t>
  </si>
  <si>
    <t>BU06811</t>
  </si>
  <si>
    <t>Bolso estampado de Lona</t>
  </si>
  <si>
    <t>Talla Unitalla Color Multicolor Marca TEMU</t>
  </si>
  <si>
    <t>BU06812</t>
  </si>
  <si>
    <t>Set de bolso minimalista negro</t>
  </si>
  <si>
    <t>BU06813</t>
  </si>
  <si>
    <t>Set de bolso minimalista amarillo</t>
  </si>
  <si>
    <t>BU06814</t>
  </si>
  <si>
    <t>Bolso mochila estampado</t>
  </si>
  <si>
    <t>BU06815</t>
  </si>
  <si>
    <t>Bolso mochila Rojo</t>
  </si>
  <si>
    <t>BU06816</t>
  </si>
  <si>
    <t>Blusa estampada de Lunares</t>
  </si>
  <si>
    <t>Talla S Color Blanco Marca TEMU</t>
  </si>
  <si>
    <t>BU06817</t>
  </si>
  <si>
    <t>BU06818</t>
  </si>
  <si>
    <t>BU06819</t>
  </si>
  <si>
    <t>Crossbody Cromado</t>
  </si>
  <si>
    <t>BU06820</t>
  </si>
  <si>
    <t>Nuevo /accesorios</t>
  </si>
  <si>
    <t>Gafas de Sol Retro Blanco</t>
  </si>
  <si>
    <t>Talla Unitalla Marca Temu</t>
  </si>
  <si>
    <t>BU06821</t>
  </si>
  <si>
    <t>Gafas de Sol Retro Carey</t>
  </si>
  <si>
    <t>BU06822</t>
  </si>
  <si>
    <t>Gafas de Sol Retro Negro</t>
  </si>
  <si>
    <t>BU06823</t>
  </si>
  <si>
    <t>Próximamente /vestidos</t>
  </si>
  <si>
    <t>Vestido Fresco Verano</t>
  </si>
  <si>
    <t>Talla XL Color Albaricoque</t>
  </si>
  <si>
    <t>Compra Shein03032024</t>
  </si>
  <si>
    <t>BU068231</t>
  </si>
  <si>
    <t>Nuevo /vestidos</t>
  </si>
  <si>
    <t>Talla L Color Albaricoque</t>
  </si>
  <si>
    <t>BU068232</t>
  </si>
  <si>
    <t>Vestido Fresco Verano en Bloque de Color</t>
  </si>
  <si>
    <t>BU068241</t>
  </si>
  <si>
    <t xml:space="preserve"> lenceria</t>
  </si>
  <si>
    <t>Sujetador Invisible Suave sin tirantes</t>
  </si>
  <si>
    <t>Talla XS Color Morado_platinado</t>
  </si>
  <si>
    <t>BU068242</t>
  </si>
  <si>
    <t>Talla S Color Morado_platinado</t>
  </si>
  <si>
    <t>BU06824</t>
  </si>
  <si>
    <t>Talla M Color Morado_platinado</t>
  </si>
  <si>
    <t>BU06825</t>
  </si>
  <si>
    <t>Talla L Color Morado_platinado</t>
  </si>
  <si>
    <t>BU06826</t>
  </si>
  <si>
    <t xml:space="preserve"> lenceria /ofertas</t>
  </si>
  <si>
    <t>Sujetador suave de encaje y satén Beige</t>
  </si>
  <si>
    <t>BU06827</t>
  </si>
  <si>
    <t>Sujetador suave de encaje y satén Negro</t>
  </si>
  <si>
    <t>BU06828</t>
  </si>
  <si>
    <t>BU06829</t>
  </si>
  <si>
    <t>Próximamente /calzado</t>
  </si>
  <si>
    <t>Talla 37 Color Blanco</t>
  </si>
  <si>
    <t>BU06830</t>
  </si>
  <si>
    <t>Vestido a Media Pierna Elegante y Versátil</t>
  </si>
  <si>
    <t>BLETTA1</t>
  </si>
  <si>
    <t>Bazar /precios-bajos</t>
  </si>
  <si>
    <t>Pantalón corto blanco de rayas</t>
  </si>
  <si>
    <t>Talla S Color Blanco_y_Negro</t>
  </si>
  <si>
    <t>Bershka</t>
  </si>
  <si>
    <t>Bazar</t>
  </si>
  <si>
    <t>BLETTA2</t>
  </si>
  <si>
    <t>Vestido Chaleco con botones</t>
  </si>
  <si>
    <t>none</t>
  </si>
  <si>
    <t>BLETTA3</t>
  </si>
  <si>
    <t>Vestido verde Overall (Nuevo)</t>
  </si>
  <si>
    <t>Talla S Color Verde</t>
  </si>
  <si>
    <t>BLETTA4</t>
  </si>
  <si>
    <t xml:space="preserve">Falda con fajín </t>
  </si>
  <si>
    <t>Talla S Color Multicolor</t>
  </si>
  <si>
    <t>bebé</t>
  </si>
  <si>
    <t>BLETTA5</t>
  </si>
  <si>
    <t>Blusa de puntos</t>
  </si>
  <si>
    <t>Talla S Color Marrón</t>
  </si>
  <si>
    <t>BLETTA6</t>
  </si>
  <si>
    <t>Vestido de una manga en vuelo (Nuevo)</t>
  </si>
  <si>
    <t>Talla S Color Combinado</t>
  </si>
  <si>
    <t>BLETTA7</t>
  </si>
  <si>
    <t xml:space="preserve">Vestido chino de satín </t>
  </si>
  <si>
    <t>Talla S Color Rojo</t>
  </si>
  <si>
    <t>BLETTA8</t>
  </si>
  <si>
    <t>Body strapless (Nuevo)</t>
  </si>
  <si>
    <t>BLETTA9</t>
  </si>
  <si>
    <t>Short de talle bajo</t>
  </si>
  <si>
    <t>Talla S/M Color Fresa</t>
  </si>
  <si>
    <t>Roxy</t>
  </si>
  <si>
    <t>BLETTA10</t>
  </si>
  <si>
    <t>Vestido rojo a media pierna con cinturón</t>
  </si>
  <si>
    <t>BLETTA11</t>
  </si>
  <si>
    <t>Bermuda denim curvy</t>
  </si>
  <si>
    <t>Talla M Color Negro</t>
  </si>
  <si>
    <t>BLETTA12</t>
  </si>
  <si>
    <t>Solera de manga corta</t>
  </si>
  <si>
    <t>Talla S Color Blanco</t>
  </si>
  <si>
    <t>BLETTA13</t>
  </si>
  <si>
    <t>Vestido mangas de vuelo</t>
  </si>
  <si>
    <t>BLETTA14</t>
  </si>
  <si>
    <t>Mono Camisero de rayas (Nuevo)</t>
  </si>
  <si>
    <t>BLETTA15</t>
  </si>
  <si>
    <t>Falda Lentejuelas (Nuevo)</t>
  </si>
  <si>
    <t>Talla S Color Rosa</t>
  </si>
  <si>
    <t>BLETTA16</t>
  </si>
  <si>
    <t>Bermuda denim SHEIN</t>
  </si>
  <si>
    <t>Talla S/M Color Blanco</t>
  </si>
  <si>
    <t>BLETTA17</t>
  </si>
  <si>
    <t>Bermuda denim H&amp;M</t>
  </si>
  <si>
    <t>Talla XS Color Blanco Marca H&amp;M</t>
  </si>
  <si>
    <t>BLETTA18</t>
  </si>
  <si>
    <t>Short estampado</t>
  </si>
  <si>
    <t>Talla S Color Azul Marca GAP</t>
  </si>
  <si>
    <t>GAP</t>
  </si>
  <si>
    <t>BLETTA19</t>
  </si>
  <si>
    <t>Blusa de picos (Nuevo)</t>
  </si>
  <si>
    <t>BLETTA20</t>
  </si>
  <si>
    <t>Blusa manga 3/4</t>
  </si>
  <si>
    <t>Talla S Color Fresa</t>
  </si>
  <si>
    <t>BLETTA21</t>
  </si>
  <si>
    <t>Pantalón corto estampado (Nuevo)</t>
  </si>
  <si>
    <t>Talla L Color Azul</t>
  </si>
  <si>
    <t>BLETTA22</t>
  </si>
  <si>
    <t>Blusa corta de espalda escotada</t>
  </si>
  <si>
    <t>Talla M Color Rojo</t>
  </si>
  <si>
    <t>BLETTA23</t>
  </si>
  <si>
    <t>Falda ajustada de zíper</t>
  </si>
  <si>
    <t>Talla S Color Rojo Marca Bershka</t>
  </si>
  <si>
    <t>BDANIELA1</t>
  </si>
  <si>
    <t>Jogger afelpado de talle alto (Nuevo)</t>
  </si>
  <si>
    <t>Talla L Color Negro</t>
  </si>
  <si>
    <t>BDANIELA2</t>
  </si>
  <si>
    <t>partes de abajo</t>
  </si>
  <si>
    <t xml:space="preserve">Jogger afelpado de talle alto </t>
  </si>
  <si>
    <t>BDANIELA3</t>
  </si>
  <si>
    <t>Talla L Color Chantillí Marca SHEIN</t>
  </si>
  <si>
    <t>BKAREN1</t>
  </si>
  <si>
    <t>Blusa bajo con bordados</t>
  </si>
  <si>
    <t>Talla S Color Rojo_Intenso</t>
  </si>
  <si>
    <t>BKAREN2</t>
  </si>
  <si>
    <t>Blusa de bolas cuello con lazo</t>
  </si>
  <si>
    <t>Talla XS Color Azul_y_blanco Marca MANGO</t>
  </si>
  <si>
    <t>MANGO</t>
  </si>
  <si>
    <t>BKAREN3</t>
  </si>
  <si>
    <t>Blusa corta de manga 3/4</t>
  </si>
  <si>
    <t>BKAREN4</t>
  </si>
  <si>
    <t>Blusa bordada de cuello healter</t>
  </si>
  <si>
    <t>Talla S Color Albaricoque</t>
  </si>
  <si>
    <t>Monteau</t>
  </si>
  <si>
    <t>BKAREN5</t>
  </si>
  <si>
    <t xml:space="preserve">Blusa de manga corta </t>
  </si>
  <si>
    <t>Talla S Color Amarillo</t>
  </si>
  <si>
    <t>BKAREN6</t>
  </si>
  <si>
    <t>Blusa estampada geométrica</t>
  </si>
  <si>
    <t>BKAREN7</t>
  </si>
  <si>
    <t>Blusa floreada con bajo bordado</t>
  </si>
  <si>
    <t>BKAREN8</t>
  </si>
  <si>
    <t>Blusa naranja abombada</t>
  </si>
  <si>
    <t>Talla S Color Naranja</t>
  </si>
  <si>
    <t>BKAREN9</t>
  </si>
  <si>
    <t>Blusa blanca mangas en contraste</t>
  </si>
  <si>
    <t>Talla S Color Blanco Marca SHEIN</t>
  </si>
  <si>
    <t>BKAREN10</t>
  </si>
  <si>
    <t>Blusa negra mangas de vuelo</t>
  </si>
  <si>
    <t>Talla S Color Negro Marca VERTICHE</t>
  </si>
  <si>
    <t>VERTICHE</t>
  </si>
  <si>
    <t>BKAREN11</t>
  </si>
  <si>
    <t>Conjunto Playera y short bikers (devolución)</t>
  </si>
  <si>
    <t>Talla S Color Negro Marca SHEIN</t>
  </si>
  <si>
    <t>BU06831</t>
  </si>
  <si>
    <t>Pantalón Blanco de pierna ancha</t>
  </si>
  <si>
    <t>BU06832</t>
  </si>
  <si>
    <t xml:space="preserve"> Short de media pierna</t>
  </si>
  <si>
    <t>Talla S Color Baby_Blue</t>
  </si>
  <si>
    <t>BU06833</t>
  </si>
  <si>
    <t>Jean Skinny costura en contraste</t>
  </si>
  <si>
    <t>Talla 32 Color Blanco_Crema</t>
  </si>
  <si>
    <t>BU06834</t>
  </si>
  <si>
    <t>Jean Skinny floreado</t>
  </si>
  <si>
    <t>Talla XS Marca ONLY</t>
  </si>
  <si>
    <t>ONLY</t>
  </si>
  <si>
    <t>BU06835</t>
  </si>
  <si>
    <t>Jean corte mom de remaches finos</t>
  </si>
  <si>
    <t>BU06836</t>
  </si>
  <si>
    <t xml:space="preserve">Jean con doblez estampado </t>
  </si>
  <si>
    <t>BU06837</t>
  </si>
  <si>
    <t xml:space="preserve">Jean skinny de corte bajo </t>
  </si>
  <si>
    <t>BU06838</t>
  </si>
  <si>
    <t>Jean Oscuro desteñido</t>
  </si>
  <si>
    <t>Talla S Marca ONLY</t>
  </si>
  <si>
    <t>BLETTA46</t>
  </si>
  <si>
    <t>Jean corte ancho de bajo descosido</t>
  </si>
  <si>
    <t>BLETTA47</t>
  </si>
  <si>
    <t xml:space="preserve">Jean skinny corto </t>
  </si>
  <si>
    <t>BLETTA48</t>
  </si>
  <si>
    <t>Falda de vuelos con zíper</t>
  </si>
  <si>
    <t>BU07192</t>
  </si>
  <si>
    <t>Botín de punta cuadrada y zíper</t>
  </si>
  <si>
    <t>BU068181</t>
  </si>
  <si>
    <t>BU068182</t>
  </si>
  <si>
    <t>Tops /curvy</t>
  </si>
  <si>
    <t>Top rosa acanalado</t>
  </si>
  <si>
    <t>Talla XL Color Rosa</t>
  </si>
  <si>
    <t>BU068183</t>
  </si>
  <si>
    <t>hacer foto</t>
  </si>
  <si>
    <t>Body traslúcido floreado</t>
  </si>
  <si>
    <t>BU068184</t>
  </si>
  <si>
    <t>Corset negro elegante de encaje</t>
  </si>
  <si>
    <t>BU068185</t>
  </si>
  <si>
    <t>BU07351</t>
  </si>
  <si>
    <t>BU07352</t>
  </si>
  <si>
    <t>Vestido Ajustado estilo pullover</t>
  </si>
  <si>
    <t>BU07353</t>
  </si>
  <si>
    <t>Vestido Rojo de botones</t>
  </si>
  <si>
    <t>BU05781</t>
  </si>
  <si>
    <t>BU06691</t>
  </si>
  <si>
    <t>BU06692</t>
  </si>
  <si>
    <t>Fashion TOTE bag tamaño de gran capacidad</t>
  </si>
  <si>
    <t>Talla Grande</t>
  </si>
  <si>
    <t>CompraTemu16042024</t>
  </si>
  <si>
    <t>BU06693</t>
  </si>
  <si>
    <t>bolsos /nuevo /accesorios</t>
  </si>
  <si>
    <t xml:space="preserve">The Cat TOTE bag tamaño de Gran Capacidad </t>
  </si>
  <si>
    <t>CompraTemu16042025</t>
  </si>
  <si>
    <t>BU06694</t>
  </si>
  <si>
    <t>Flor TOTE fashion bag</t>
  </si>
  <si>
    <t>CompraTemu16042026</t>
  </si>
  <si>
    <t>BU06695</t>
  </si>
  <si>
    <t>vestidos /nuevo</t>
  </si>
  <si>
    <t>Vestido Estampado floral de moda</t>
  </si>
  <si>
    <t>CompraTemu16042027</t>
  </si>
  <si>
    <t>BU06696</t>
  </si>
  <si>
    <t>CompraTemu16042028</t>
  </si>
  <si>
    <t>BU06697</t>
  </si>
  <si>
    <t>Set de traje de baño elegante 2 piezas con adorno en forma de V</t>
  </si>
  <si>
    <t>CompraTemu16042029</t>
  </si>
  <si>
    <t>BU06698</t>
  </si>
  <si>
    <t>Trajes de baño /nuevo</t>
  </si>
  <si>
    <t>CompraTemu16042030</t>
  </si>
  <si>
    <t>BU06699</t>
  </si>
  <si>
    <t>Set de traje de baño 3 piezas Azul metalizado</t>
  </si>
  <si>
    <t>CompraTemu16042031</t>
  </si>
  <si>
    <t>BU06700</t>
  </si>
  <si>
    <t>Conjuntos /nuevo</t>
  </si>
  <si>
    <t xml:space="preserve">Set Chic de conjunto de 2 piezas </t>
  </si>
  <si>
    <t>CompraTemu16042032</t>
  </si>
  <si>
    <t>BU067012</t>
  </si>
  <si>
    <t>Partes-de-abajo /Curvy /nuevo</t>
  </si>
  <si>
    <t>Falda Bohemia de mezclilla de cintura alta con detalles de botón</t>
  </si>
  <si>
    <t>Talla XL-12</t>
  </si>
  <si>
    <t>CompraTemu16042033</t>
  </si>
  <si>
    <t>BU06702</t>
  </si>
  <si>
    <t>Talla M_6</t>
  </si>
  <si>
    <t>CompraTemu16042034</t>
  </si>
  <si>
    <t>BU06703</t>
  </si>
  <si>
    <t>Talla S-4</t>
  </si>
  <si>
    <t>CompraTemu16042035</t>
  </si>
  <si>
    <t>BU06704</t>
  </si>
  <si>
    <t>Set de 3 piezas de bikini con estampado floral</t>
  </si>
  <si>
    <t>CompraTemu16042036</t>
  </si>
  <si>
    <t>BU06705</t>
  </si>
  <si>
    <t>CompraTemu16042037</t>
  </si>
  <si>
    <t>BU06706</t>
  </si>
  <si>
    <t>CompraTemu16042038</t>
  </si>
  <si>
    <t>BU06707</t>
  </si>
  <si>
    <t>Set de bikini 3 piezas estampado navy</t>
  </si>
  <si>
    <t>CompraTemu16042039</t>
  </si>
  <si>
    <t>BU06708</t>
  </si>
  <si>
    <t>Set de bikini estampado de flor de 3 piezas de cintura alta</t>
  </si>
  <si>
    <t>CompraTemu16042040</t>
  </si>
  <si>
    <t>BU06709</t>
  </si>
  <si>
    <t>CompraTemu16042041</t>
  </si>
  <si>
    <t>BU06710</t>
  </si>
  <si>
    <t xml:space="preserve">Bañador en color sólido sexy-elegante </t>
  </si>
  <si>
    <t>CompraTemu16042042</t>
  </si>
  <si>
    <t>BU067112</t>
  </si>
  <si>
    <t>CompraTemu16042043</t>
  </si>
  <si>
    <t>BU06712</t>
  </si>
  <si>
    <t>CompraTemu16042044</t>
  </si>
  <si>
    <t>BU06713</t>
  </si>
  <si>
    <t>Bañador clásico cuello V</t>
  </si>
  <si>
    <t>CompraTemu16042045</t>
  </si>
  <si>
    <t>BU06714</t>
  </si>
  <si>
    <t>CompraTemu16042046</t>
  </si>
  <si>
    <t>BU06715</t>
  </si>
  <si>
    <t>CompraTemu16042047</t>
  </si>
  <si>
    <t>BU06716</t>
  </si>
  <si>
    <t>Set de bikini 2 piezas estampado de colores con adorno de aro</t>
  </si>
  <si>
    <t>CompraTemu16042048</t>
  </si>
  <si>
    <t>BU06717</t>
  </si>
  <si>
    <t>Bikini sexy de pierna alta en tendencia</t>
  </si>
  <si>
    <t>CompraTemu16042049</t>
  </si>
  <si>
    <t>BU06718</t>
  </si>
  <si>
    <t>CompraTemu16042050</t>
  </si>
  <si>
    <t>BU06719</t>
  </si>
  <si>
    <t>CompraTemu16042051</t>
  </si>
  <si>
    <t>BU06720</t>
  </si>
  <si>
    <t>CompraTemu16042052</t>
  </si>
  <si>
    <t>BU067212</t>
  </si>
  <si>
    <t>Conjunto Playero color verde 2 piezas</t>
  </si>
  <si>
    <t>CompraTemu16042053</t>
  </si>
  <si>
    <t>BU06722</t>
  </si>
  <si>
    <t>CompraTemu16042054</t>
  </si>
  <si>
    <t>BU06723</t>
  </si>
  <si>
    <t>CompraTemu16042055</t>
  </si>
  <si>
    <t>BU06724</t>
  </si>
  <si>
    <t>Set de bikini floral con aro</t>
  </si>
  <si>
    <t>CompraTemu16042056</t>
  </si>
  <si>
    <t>BU06725</t>
  </si>
  <si>
    <t>CompraTemu16042057</t>
  </si>
  <si>
    <t>BU06726</t>
  </si>
  <si>
    <t>CompraTemu16042058</t>
  </si>
  <si>
    <t>BU06727</t>
  </si>
  <si>
    <t>Vestido Boho de cuello healter</t>
  </si>
  <si>
    <t>CompraTemu16042059</t>
  </si>
  <si>
    <t>BU06728</t>
  </si>
  <si>
    <t>Vestido floral verano con abertura</t>
  </si>
  <si>
    <t>CompraTemu16042060</t>
  </si>
  <si>
    <t>BU06729</t>
  </si>
  <si>
    <t xml:space="preserve">Bolso TOTE arcoíris trending </t>
  </si>
  <si>
    <t>CompraTemu16042061</t>
  </si>
  <si>
    <t>BU06730</t>
  </si>
  <si>
    <t>Vestido Resorte estampado bohemio</t>
  </si>
  <si>
    <t>CompraTemu16042062</t>
  </si>
  <si>
    <t>BU067312</t>
  </si>
  <si>
    <t>Bolso chic estilo verano</t>
  </si>
  <si>
    <t>Talla Pequeño</t>
  </si>
  <si>
    <t>CompraTemu16042063</t>
  </si>
  <si>
    <t>BU06732</t>
  </si>
  <si>
    <t>vestido Boho con tirantes de spaguetti y abertura</t>
  </si>
  <si>
    <t>CompraTemu16042064</t>
  </si>
  <si>
    <t>BU06733</t>
  </si>
  <si>
    <t>Set de bikini con cobertor de playa</t>
  </si>
  <si>
    <t>CompraTemu16042065</t>
  </si>
  <si>
    <t>BU06734</t>
  </si>
  <si>
    <t>Vestido sexy cruzado de escote profundo</t>
  </si>
  <si>
    <t>CompraTemu16042066</t>
  </si>
  <si>
    <t>BU06735</t>
  </si>
  <si>
    <t>Estiloso sombrero de protección solar playero</t>
  </si>
  <si>
    <t>CompraTemu16042067</t>
  </si>
  <si>
    <t>BU06736</t>
  </si>
  <si>
    <t>Vestido negro espalda cruzada</t>
  </si>
  <si>
    <t>CompraTemu16042068</t>
  </si>
  <si>
    <t>BU06737</t>
  </si>
  <si>
    <t>Vestido blanco espalda cruzada</t>
  </si>
  <si>
    <t>CompraTemu16042069</t>
  </si>
  <si>
    <t>BU06738</t>
  </si>
  <si>
    <t>Talla S_L</t>
  </si>
  <si>
    <t>CompraTemu16042070</t>
  </si>
  <si>
    <t>BU06739</t>
  </si>
  <si>
    <t>Bolso bohemio redondo de gran capacidad</t>
  </si>
  <si>
    <t>CompraTemu16042071</t>
  </si>
  <si>
    <t>BU06740</t>
  </si>
  <si>
    <t>CompraTemu16042072</t>
  </si>
  <si>
    <t>BU067412</t>
  </si>
  <si>
    <t>Set de bikini bandeau color sólido</t>
  </si>
  <si>
    <t>CompraTemu16042073</t>
  </si>
  <si>
    <t>BU06742</t>
  </si>
  <si>
    <t>Bikini curvy en bloque de color</t>
  </si>
  <si>
    <t>CompraTemu16042074</t>
  </si>
  <si>
    <t>BU06743</t>
  </si>
  <si>
    <t>Bikini de cintura alta estampado clásico</t>
  </si>
  <si>
    <t>CompraTemu16042075</t>
  </si>
  <si>
    <t>BU06744</t>
  </si>
  <si>
    <t>CompraTemu16042076</t>
  </si>
  <si>
    <t>BU06745</t>
  </si>
  <si>
    <t>CompraTemu16042077</t>
  </si>
  <si>
    <t>BU06746</t>
  </si>
  <si>
    <t>Vestido suelto en bordado inglés</t>
  </si>
  <si>
    <t>CompraTemu16042078</t>
  </si>
  <si>
    <t>BU06747</t>
  </si>
  <si>
    <t>CompraTemu16042079</t>
  </si>
  <si>
    <t>BU06748</t>
  </si>
  <si>
    <t>Partes-de-abajo /nuevo /curvy</t>
  </si>
  <si>
    <t>Pantalones playeros estampados</t>
  </si>
  <si>
    <t>CompraTemu16042080</t>
  </si>
  <si>
    <t>BU06749</t>
  </si>
  <si>
    <t>CompraTemu16042081</t>
  </si>
  <si>
    <t>BU06750</t>
  </si>
  <si>
    <t>CompraTemu16042082</t>
  </si>
  <si>
    <t>BU067510</t>
  </si>
  <si>
    <t>CompraTemu16042083</t>
  </si>
  <si>
    <t>BU06752</t>
  </si>
  <si>
    <t>Bolso shopper flores pequeñas coloridas</t>
  </si>
  <si>
    <t>CompraTemu16042084</t>
  </si>
  <si>
    <t>BU06753</t>
  </si>
  <si>
    <t>Bolso shopper flores pequeñas rosadas</t>
  </si>
  <si>
    <t>CompraTemu16042085</t>
  </si>
  <si>
    <t>BU06754</t>
  </si>
  <si>
    <t>Bolso de mano multipropósito de lona unisex</t>
  </si>
  <si>
    <t>CompraTemu16042086</t>
  </si>
  <si>
    <t>BU06755</t>
  </si>
  <si>
    <t>Bolso pequeño estampado de mariposas</t>
  </si>
  <si>
    <t>CompraTemu16042087</t>
  </si>
  <si>
    <t>BU06756</t>
  </si>
  <si>
    <t>Bolso de lienzo estampado de corazón</t>
  </si>
  <si>
    <t>CompraTemu16042088</t>
  </si>
  <si>
    <t>BU06757</t>
  </si>
  <si>
    <t>Bolso de lona en bloque de color</t>
  </si>
  <si>
    <t>CompraTemu16042089</t>
  </si>
  <si>
    <t>BU06758</t>
  </si>
  <si>
    <t>Maxi vestido de cuello healter de Lunares</t>
  </si>
  <si>
    <t>CompraTemu16042090</t>
  </si>
  <si>
    <t>BU06759</t>
  </si>
  <si>
    <t>Set de bikini Vacaciones en bloque de color</t>
  </si>
  <si>
    <t>CompraTemu16042091</t>
  </si>
  <si>
    <t>BU06760</t>
  </si>
  <si>
    <t>Pantalones sueltos estampado de plantas</t>
  </si>
  <si>
    <t>CompraTemu16042092</t>
  </si>
  <si>
    <t>BU067610</t>
  </si>
  <si>
    <t>Vestido estampado con abertura y ajuste en cintura</t>
  </si>
  <si>
    <t>CompraTemu16042093</t>
  </si>
  <si>
    <t>BU06762</t>
  </si>
  <si>
    <t>Bikini atado a los lados con estampado de cerezas</t>
  </si>
  <si>
    <t>CompraTemu16042094</t>
  </si>
  <si>
    <t>BU06763</t>
  </si>
  <si>
    <t>CompraTemu16042095</t>
  </si>
  <si>
    <t>BU06764</t>
  </si>
  <si>
    <t>CompraTemu16042096</t>
  </si>
  <si>
    <t>BU06765</t>
  </si>
  <si>
    <t>Blusa Vacaciones con lazo delantero</t>
  </si>
  <si>
    <t>CompraTemu16042097</t>
  </si>
  <si>
    <t>BU06766</t>
  </si>
  <si>
    <t>CompraTemu16042098</t>
  </si>
  <si>
    <t>BU06767</t>
  </si>
  <si>
    <t>CompraTemu16042099</t>
  </si>
  <si>
    <t>BU06768</t>
  </si>
  <si>
    <t>vestidos /curvy /ofertas</t>
  </si>
  <si>
    <t>Vestido color block  bohemio</t>
  </si>
  <si>
    <t>CompraTemu16042100</t>
  </si>
  <si>
    <t>BU06769</t>
  </si>
  <si>
    <t>Vestido color block de bajo asimétrico</t>
  </si>
  <si>
    <t>CompraTemu16042101</t>
  </si>
  <si>
    <t>BU06770</t>
  </si>
  <si>
    <t>Pantalón palazzo estiloso</t>
  </si>
  <si>
    <t>CompraTemu16042102</t>
  </si>
  <si>
    <t>BU067712</t>
  </si>
  <si>
    <t>CompraTemu16042103</t>
  </si>
  <si>
    <t>BU06772</t>
  </si>
  <si>
    <t>CompraTemu16042104</t>
  </si>
  <si>
    <t>BU06773</t>
  </si>
  <si>
    <t>CompraTemu16042105</t>
  </si>
  <si>
    <t>BU06774</t>
  </si>
  <si>
    <t>Trajes de baño /Bikinis /nuevo</t>
  </si>
  <si>
    <t>Set de 3 piezas bikini con estampado floral</t>
  </si>
  <si>
    <t>CompraTemu16042106</t>
  </si>
  <si>
    <t>BU06775</t>
  </si>
  <si>
    <t>Bikini bandeau de estilo floral</t>
  </si>
  <si>
    <t>CompraTemu16042107</t>
  </si>
  <si>
    <t>BU06776</t>
  </si>
  <si>
    <t>CompraTemu16042108</t>
  </si>
  <si>
    <t>BU06777</t>
  </si>
  <si>
    <t>CompraTemu16042109</t>
  </si>
  <si>
    <t>BU06778</t>
  </si>
  <si>
    <t>Set de 3 piezas bikini de moda estampado de hoja</t>
  </si>
  <si>
    <t>CompraTemu16042110</t>
  </si>
  <si>
    <t>BU06779</t>
  </si>
  <si>
    <t>CompraTemu16042111</t>
  </si>
  <si>
    <t>BU06780</t>
  </si>
  <si>
    <t>CompraTemu16042112</t>
  </si>
  <si>
    <t>LTA00001</t>
  </si>
  <si>
    <t>CompraTemu16042113</t>
  </si>
  <si>
    <t>LTA00002</t>
  </si>
  <si>
    <t>Espejuelos rectangulares unisex adorno de carey</t>
  </si>
  <si>
    <t>CompraTemu16042114</t>
  </si>
  <si>
    <t>LTA00003</t>
  </si>
  <si>
    <t>Espejuelos rectangulares unisex de color sólido</t>
  </si>
  <si>
    <t>CompraTemu16042115</t>
  </si>
  <si>
    <t>LTA00004</t>
  </si>
  <si>
    <t>Espejuelos rectangulares unisex</t>
  </si>
  <si>
    <t>CompraTemu16042116</t>
  </si>
  <si>
    <t>LTA00005</t>
  </si>
  <si>
    <t>Espejuelos estilo cat eye</t>
  </si>
  <si>
    <t>CompraTemu16042117</t>
  </si>
  <si>
    <t>LTA00006</t>
  </si>
  <si>
    <t>2 piezas bikini push up accesorio</t>
  </si>
  <si>
    <t>CompraTemu16042118</t>
  </si>
  <si>
    <t>LTA00007</t>
  </si>
  <si>
    <t>Sombrero de protección Verano fashionista</t>
  </si>
  <si>
    <t>CompraTemu16042119</t>
  </si>
  <si>
    <t>LTA00008</t>
  </si>
  <si>
    <t>Tops /curvy /nuevo</t>
  </si>
  <si>
    <t>Blusa atada al frente de estilo casual</t>
  </si>
  <si>
    <t>CompraTemu16042120</t>
  </si>
  <si>
    <t>LTA00009</t>
  </si>
  <si>
    <t>CompraTemu16042121</t>
  </si>
  <si>
    <t>LTA00010</t>
  </si>
  <si>
    <t>vestidos /nuevo /curvy</t>
  </si>
  <si>
    <t>Vestido elegante de botones en color sólido</t>
  </si>
  <si>
    <t>CompraTemu16042122</t>
  </si>
  <si>
    <t>LTA00011</t>
  </si>
  <si>
    <t>CompraTemu16042123</t>
  </si>
  <si>
    <t>LTA00012</t>
  </si>
  <si>
    <t>CompraTemu16042124</t>
  </si>
  <si>
    <t>LTA00013</t>
  </si>
  <si>
    <t>Espejuelos de sol vintage clásicas aviador</t>
  </si>
  <si>
    <t>CompraTemu16042125</t>
  </si>
  <si>
    <t>BU05061</t>
  </si>
  <si>
    <t>Sandalias cruzadas de plataforma F21</t>
  </si>
  <si>
    <t>BU04311</t>
  </si>
  <si>
    <t>BU04312</t>
  </si>
  <si>
    <t>BU04313</t>
  </si>
  <si>
    <t>calzado /hm</t>
  </si>
  <si>
    <t>Sandalias de tiras con tacón cuadrado Marca H&amp;M</t>
  </si>
  <si>
    <t>HM</t>
  </si>
  <si>
    <t>Compras HM Junio2024</t>
  </si>
  <si>
    <t>BU04314</t>
  </si>
  <si>
    <t>Sandalias de tiras con tacón cuadrado</t>
  </si>
  <si>
    <t>Compras HM Junio2025</t>
  </si>
  <si>
    <t>BU04315</t>
  </si>
  <si>
    <t>Compras HM Junio2026</t>
  </si>
  <si>
    <t>BU04316</t>
  </si>
  <si>
    <t>Compras HM Junio2027</t>
  </si>
  <si>
    <t>BU04317</t>
  </si>
  <si>
    <t>Compras HM Junio2028</t>
  </si>
  <si>
    <t>BU04318</t>
  </si>
  <si>
    <t>Pantalón de vestir de viscosa y lino (beige claro)</t>
  </si>
  <si>
    <t>Compras HM Junio2029</t>
  </si>
  <si>
    <t>BU04319</t>
  </si>
  <si>
    <t>Compras HM Junio2030</t>
  </si>
  <si>
    <t>BU04320</t>
  </si>
  <si>
    <t>Compras HM Junio2031</t>
  </si>
  <si>
    <t>BU04321</t>
  </si>
  <si>
    <t>Compras HM Junio2032</t>
  </si>
  <si>
    <t>BU04322</t>
  </si>
  <si>
    <t>Partes-de-abajo /Lo-nuevo-de-HM</t>
  </si>
  <si>
    <t>Compras HM Junio2033</t>
  </si>
  <si>
    <t>BU04323</t>
  </si>
  <si>
    <t>Camisa blanca en mezcla de algodón</t>
  </si>
  <si>
    <t>Compras HM Junio2034</t>
  </si>
  <si>
    <t>BU04324</t>
  </si>
  <si>
    <t>Compras HM Junio2035</t>
  </si>
  <si>
    <t>BU04325</t>
  </si>
  <si>
    <t>Compras HM Junio2036</t>
  </si>
  <si>
    <t>BU04326</t>
  </si>
  <si>
    <t>Pantalón ancho con cordón ajustable</t>
  </si>
  <si>
    <t>Compras HM Junio2037</t>
  </si>
  <si>
    <t>BU04327</t>
  </si>
  <si>
    <t>Compras HM Junio2038</t>
  </si>
  <si>
    <t>BU04328</t>
  </si>
  <si>
    <t>Compras HM Junio2039</t>
  </si>
  <si>
    <t>BU04329</t>
  </si>
  <si>
    <t>Compras HM Junio2040</t>
  </si>
  <si>
    <t>BU04330</t>
  </si>
  <si>
    <t>Compras HM Junio2041</t>
  </si>
  <si>
    <t>BU04331</t>
  </si>
  <si>
    <t>Pantalón cigarrette ajustado elegante</t>
  </si>
  <si>
    <t>Compras HM Junio2042</t>
  </si>
  <si>
    <t>BU04332</t>
  </si>
  <si>
    <t>Compras HM Junio2043</t>
  </si>
  <si>
    <t>BU04333</t>
  </si>
  <si>
    <t>Pantalón de vestir de viscosa y lino negro</t>
  </si>
  <si>
    <t>Compras HM Junio2044</t>
  </si>
  <si>
    <t>BU04334</t>
  </si>
  <si>
    <t>Compras HM Junio2045</t>
  </si>
  <si>
    <t>BU04335</t>
  </si>
  <si>
    <t>Compras HM Junio2046</t>
  </si>
  <si>
    <t>BU04338</t>
  </si>
  <si>
    <t>Sandalias carmelitas de moda con correa de velcro</t>
  </si>
  <si>
    <t>Talla 36_37_38</t>
  </si>
  <si>
    <t>PLT</t>
  </si>
  <si>
    <t>Compra calzado PLT USA</t>
  </si>
  <si>
    <t>BU04339</t>
  </si>
  <si>
    <t>Talla 36_38</t>
  </si>
  <si>
    <t>BU043391</t>
  </si>
  <si>
    <t>Sandalias prácticas Chunky Negras</t>
  </si>
  <si>
    <t>BU04340</t>
  </si>
  <si>
    <t>BU04341</t>
  </si>
  <si>
    <t>BU04342</t>
  </si>
  <si>
    <t>BU04346</t>
  </si>
  <si>
    <t>Sneakers chunky blancos</t>
  </si>
  <si>
    <t>BU04347</t>
  </si>
  <si>
    <t>BU04348</t>
  </si>
  <si>
    <t>Sandalias de plataforma en bloque de color</t>
  </si>
  <si>
    <t>BU04349</t>
  </si>
  <si>
    <t>BU04350</t>
  </si>
  <si>
    <t>BU04351</t>
  </si>
  <si>
    <t>BU04352</t>
  </si>
  <si>
    <t>Sandalias de tacón de punta fina con diseño crochet</t>
  </si>
  <si>
    <t>BU04353</t>
  </si>
  <si>
    <t>Sandalias strappy de plataforma color beige</t>
  </si>
  <si>
    <t>BU04354</t>
  </si>
  <si>
    <t>BU04355</t>
  </si>
  <si>
    <t>Sandalias de plataforma de tacón grueso</t>
  </si>
  <si>
    <t>BU04356</t>
  </si>
  <si>
    <t>Sandalias espadriles nude</t>
  </si>
  <si>
    <t>BU04357</t>
  </si>
  <si>
    <t>BU04358</t>
  </si>
  <si>
    <t>Tacones de punta fina con flor de piedras</t>
  </si>
  <si>
    <t>BU04359</t>
  </si>
  <si>
    <t>Sandalias finas strappy rojas de tacón</t>
  </si>
  <si>
    <t>BU04360</t>
  </si>
  <si>
    <t>BU04361</t>
  </si>
  <si>
    <t>Sandalias de tacón de punta fina con correa al tobillo</t>
  </si>
  <si>
    <t>BU04362</t>
  </si>
  <si>
    <t>Zapatos elegantes de punta fina negros</t>
  </si>
  <si>
    <t>BU04363</t>
  </si>
  <si>
    <t>Sandalias prácticas chunky blanco crema</t>
  </si>
  <si>
    <t>BU04364</t>
  </si>
  <si>
    <t>BU04365</t>
  </si>
  <si>
    <t>BU04366</t>
  </si>
  <si>
    <t>BU04367</t>
  </si>
  <si>
    <t>Blusa blanca de lazos y manga abullonada</t>
  </si>
  <si>
    <t>BU04368</t>
  </si>
  <si>
    <t>BU04369</t>
  </si>
  <si>
    <t>BU04370</t>
  </si>
  <si>
    <t>Bolso bandolera de rafia rígido de tamaño pequeño</t>
  </si>
  <si>
    <t>Tamaño Pequeño</t>
  </si>
  <si>
    <t>BU04371</t>
  </si>
  <si>
    <t xml:space="preserve">Bolso tejido redondo de gran capidad </t>
  </si>
  <si>
    <t>BU04372</t>
  </si>
  <si>
    <t>Bolso de playa con diseño de rayas tamaño mediano</t>
  </si>
  <si>
    <t>BU04373</t>
  </si>
  <si>
    <t>Camisa elegante con lazo grande</t>
  </si>
  <si>
    <t>BU04374</t>
  </si>
  <si>
    <t>BU04375</t>
  </si>
  <si>
    <t>BU04376</t>
  </si>
  <si>
    <t>Falda Pantalón de mezclilla</t>
  </si>
  <si>
    <t>BU04377</t>
  </si>
  <si>
    <t>BU04378</t>
  </si>
  <si>
    <t>BU04379</t>
  </si>
  <si>
    <t>Camisa elegante de listas</t>
  </si>
  <si>
    <t>BU04380</t>
  </si>
  <si>
    <t>BU04381</t>
  </si>
  <si>
    <t>BU04382</t>
  </si>
  <si>
    <t>Bolso pequeño estilo old money</t>
  </si>
  <si>
    <t>BU04383</t>
  </si>
  <si>
    <t>Bolso media luna de rafia de tamaño medio</t>
  </si>
  <si>
    <t>BU04384</t>
  </si>
  <si>
    <t>Pantalones cortos de mezclilla de moda</t>
  </si>
  <si>
    <t>BU04385</t>
  </si>
  <si>
    <t>BU04386</t>
  </si>
  <si>
    <t>BU04387</t>
  </si>
  <si>
    <t>Cinturón fino de hebilla de estilo elegante negro</t>
  </si>
  <si>
    <t>BU04388</t>
  </si>
  <si>
    <t>Cinturón fino de hebilla de estilo elegante carmelita</t>
  </si>
  <si>
    <t>BU04389</t>
  </si>
  <si>
    <t>Blusa de lazos color negro</t>
  </si>
  <si>
    <t>BU04390</t>
  </si>
  <si>
    <t>BU04391</t>
  </si>
  <si>
    <t>BU04392</t>
  </si>
  <si>
    <t>Pullover corto unicolor carmelita</t>
  </si>
  <si>
    <t>BU04393</t>
  </si>
  <si>
    <t>BU04394</t>
  </si>
  <si>
    <t>BU04395</t>
  </si>
  <si>
    <t>Pullover corto unicolor blanco</t>
  </si>
  <si>
    <t>BU04396</t>
  </si>
  <si>
    <t>BU04397</t>
  </si>
  <si>
    <t>BU043971</t>
  </si>
  <si>
    <t>Pullover corto unicolor beige</t>
  </si>
  <si>
    <t>BU043972</t>
  </si>
  <si>
    <t>BU04398</t>
  </si>
  <si>
    <t>BU04399</t>
  </si>
  <si>
    <t>Pullover largo unicolor tela traslúcida negro</t>
  </si>
  <si>
    <t>BU04400</t>
  </si>
  <si>
    <t>BU04401</t>
  </si>
  <si>
    <t>BU044021</t>
  </si>
  <si>
    <t>Pullover largo unicolor tela traslúcida terracota</t>
  </si>
  <si>
    <t>BU0440221</t>
  </si>
  <si>
    <t>BU0440232</t>
  </si>
  <si>
    <t>BU0440241</t>
  </si>
  <si>
    <t>Pullover largo unicolor tela traslúcida beige</t>
  </si>
  <si>
    <t>BU0440242</t>
  </si>
  <si>
    <t>BU0440243</t>
  </si>
  <si>
    <t>Pullover largo unicolor tela traslúcida blanco</t>
  </si>
  <si>
    <t>BU0440244</t>
  </si>
  <si>
    <t>BU0440245</t>
  </si>
  <si>
    <t>BU04402</t>
  </si>
  <si>
    <t>BU04403</t>
  </si>
  <si>
    <t>Maxi vestido de algodón cruzado con estampado floral vibrante</t>
  </si>
  <si>
    <t>BU04404</t>
  </si>
  <si>
    <t>Sombrero Visera de Verano</t>
  </si>
  <si>
    <t>Talla Ajustable</t>
  </si>
  <si>
    <t>BU04405</t>
  </si>
  <si>
    <t xml:space="preserve">Top corto de lazo delantero </t>
  </si>
  <si>
    <t>BU04406</t>
  </si>
  <si>
    <t>BU04407</t>
  </si>
  <si>
    <t>BU04408</t>
  </si>
  <si>
    <t>Vestidos /nuevo</t>
  </si>
  <si>
    <t>Vestido de espagueti con frente recortado y abertura</t>
  </si>
  <si>
    <t>BU04409</t>
  </si>
  <si>
    <t>BU04410</t>
  </si>
  <si>
    <t>Camisetas sin mangas de diseño crochet</t>
  </si>
  <si>
    <t>BU04411</t>
  </si>
  <si>
    <t>Vestido Largo con cinturón fruncido</t>
  </si>
  <si>
    <t>BU04412</t>
  </si>
  <si>
    <t>BU04413</t>
  </si>
  <si>
    <t>BU04414</t>
  </si>
  <si>
    <t>BU04415</t>
  </si>
  <si>
    <t>Vestido Camisola con estampado de flores y tirantes cruzados</t>
  </si>
  <si>
    <t>BU04416</t>
  </si>
  <si>
    <t>BU04417</t>
  </si>
  <si>
    <t>BU04418</t>
  </si>
  <si>
    <t>Vestido largo con cuello Healter</t>
  </si>
  <si>
    <t>BU04419</t>
  </si>
  <si>
    <t>BU04420</t>
  </si>
  <si>
    <t>BU04421</t>
  </si>
  <si>
    <t>BU04422</t>
  </si>
  <si>
    <t>BU04423</t>
  </si>
  <si>
    <t>Vestido crochet Playero espalda descubierta</t>
  </si>
  <si>
    <t>BU04424</t>
  </si>
  <si>
    <t>BU04425</t>
  </si>
  <si>
    <t>BU04426</t>
  </si>
  <si>
    <t>Vestido crochet playero de tirantes</t>
  </si>
  <si>
    <t>BU04427</t>
  </si>
  <si>
    <t>Falda larga de visillo con maxi estampado de flor</t>
  </si>
  <si>
    <t>BU04428</t>
  </si>
  <si>
    <t>Falda maxi blanca de moda</t>
  </si>
  <si>
    <t>BU04429</t>
  </si>
  <si>
    <t>Vestido corte A de bolsillos</t>
  </si>
  <si>
    <t>BU04430</t>
  </si>
  <si>
    <t>Bolso verano de rafia en bloque de color</t>
  </si>
  <si>
    <t>BU04431</t>
  </si>
  <si>
    <t>Conjunto falda y top</t>
  </si>
  <si>
    <t>BU04432</t>
  </si>
  <si>
    <t>Vestido crema ajustado de hombro torcido</t>
  </si>
  <si>
    <t>BU04433</t>
  </si>
  <si>
    <t>BU04434</t>
  </si>
  <si>
    <t>BU04435</t>
  </si>
  <si>
    <t>BU04436</t>
  </si>
  <si>
    <t>Falda Maxi plisada favorecedora</t>
  </si>
  <si>
    <t>BU04437</t>
  </si>
  <si>
    <t>Falda Midi Elegante Ajustada</t>
  </si>
  <si>
    <t>BU04439</t>
  </si>
  <si>
    <t>Vestido Maxi Negro Ajustado Elegante de hombro atado</t>
  </si>
  <si>
    <t>BU04440</t>
  </si>
  <si>
    <t>Vestido Blanco en Bordado Inglés</t>
  </si>
  <si>
    <t>BU04441</t>
  </si>
  <si>
    <t>BU04442</t>
  </si>
  <si>
    <t>Vestido de tirantes atados y espalda corrida</t>
  </si>
  <si>
    <t>BU04443</t>
  </si>
  <si>
    <t>vestidos /nuevo /hm</t>
  </si>
  <si>
    <t>Vestido lila cruzado H&amp;M</t>
  </si>
  <si>
    <t>BU04444</t>
  </si>
  <si>
    <t>Vestidos /Curvy /hm</t>
  </si>
  <si>
    <t>BU04445</t>
  </si>
  <si>
    <t>Vestido verde cruzado H&amp;M</t>
  </si>
  <si>
    <t>BU04446</t>
  </si>
  <si>
    <t xml:space="preserve">vestidos /nuevo </t>
  </si>
  <si>
    <t>BU04447</t>
  </si>
  <si>
    <t>Partes-de-abajo /nuevo /hm</t>
  </si>
  <si>
    <t>Pantalón fuccia ajustado de tela H&amp;M</t>
  </si>
  <si>
    <t>BU04448</t>
  </si>
  <si>
    <t>Pantalón Caqui de Pierna Ancha De Talle Alto y Bolsillos H&amp;M</t>
  </si>
  <si>
    <t>BU04449</t>
  </si>
  <si>
    <t>Jean de talle regular de bajo descosido y pierna ancha H&amp;M</t>
  </si>
  <si>
    <t>Talla 4_S</t>
  </si>
  <si>
    <t>BU04450</t>
  </si>
  <si>
    <t>Tops /nuevo /hm</t>
  </si>
  <si>
    <t>Top de punto y cuello elegante negro H&amp;M</t>
  </si>
  <si>
    <t>BU04451</t>
  </si>
  <si>
    <t>BU04452</t>
  </si>
  <si>
    <t>BU04453</t>
  </si>
  <si>
    <t>Top de punto y cuello elegante blanco H&amp;M</t>
  </si>
  <si>
    <t>BU04454</t>
  </si>
  <si>
    <t>BU04455</t>
  </si>
  <si>
    <t>Camisa Oversize en mezcla de lino H&amp;M</t>
  </si>
  <si>
    <t>BU04456</t>
  </si>
  <si>
    <t>Camisa Oversize blanca en mezcla de lino H&amp;M (encargo mónica)</t>
  </si>
  <si>
    <t>BU04457</t>
  </si>
  <si>
    <t>Camisa beige en mezcla de lino</t>
  </si>
  <si>
    <t>BU04458</t>
  </si>
  <si>
    <t>Cinto de piel (encargo mónica)</t>
  </si>
  <si>
    <t>BU04459</t>
  </si>
  <si>
    <t>Pantalón de pierna ancha con estampado de moda H&amp;M</t>
  </si>
  <si>
    <t>BU04460</t>
  </si>
  <si>
    <t>Sandalias Pull&amp;Bear (encargo mónica)</t>
  </si>
  <si>
    <t>BU04461</t>
  </si>
  <si>
    <t>Sandalias de hebilla Pull&amp;Bear</t>
  </si>
  <si>
    <t>BU04462Marlen</t>
  </si>
  <si>
    <t>Pullover blanco de algodón PRIMARK</t>
  </si>
  <si>
    <t>BU04463Marlen</t>
  </si>
  <si>
    <t>BU04464Marlen</t>
  </si>
  <si>
    <t>Pullover negro acanalado de algodón PRIMARK</t>
  </si>
  <si>
    <t>BU04465Marlen</t>
  </si>
  <si>
    <t>Pullover mariposa multicolor algodón PRIMARK</t>
  </si>
  <si>
    <t>BU04466Marlen</t>
  </si>
  <si>
    <t>Pullover carmelita letrero de mariposa algodón PRIMARK</t>
  </si>
  <si>
    <t>BU04467Marlen</t>
  </si>
  <si>
    <t>Pullover morado catrina algodón</t>
  </si>
  <si>
    <t>BU04468Marlen</t>
  </si>
  <si>
    <t>Pullover Celeste algodón PRIMARK</t>
  </si>
  <si>
    <t>BU04469Marlen</t>
  </si>
  <si>
    <t>Pullover Love floreado algodón</t>
  </si>
  <si>
    <t>BU04462</t>
  </si>
  <si>
    <t>Traje de baño clásico en bloque de color de talle alto</t>
  </si>
  <si>
    <t>BU04463</t>
  </si>
  <si>
    <t>BU04464</t>
  </si>
  <si>
    <t>BU04465</t>
  </si>
  <si>
    <t>BU04466</t>
  </si>
  <si>
    <t>Camisa verde oversize (encargo)</t>
  </si>
  <si>
    <t>BU04467</t>
  </si>
  <si>
    <t>Top corto verde de tirantes (encargo)</t>
  </si>
  <si>
    <t>BU04468</t>
  </si>
  <si>
    <t>Top corto verde sin tirantes</t>
  </si>
  <si>
    <t>BU04469</t>
  </si>
  <si>
    <t>Camisa verde oversize</t>
  </si>
  <si>
    <t>BU04470</t>
  </si>
  <si>
    <t>Short blanco elegante de talle alto</t>
  </si>
  <si>
    <t>BU04471</t>
  </si>
  <si>
    <t>Short blanco de talle alto (encargo)</t>
  </si>
  <si>
    <t>BU04472</t>
  </si>
  <si>
    <t>Traje de baño clásico en bloque de color de talle alto (encargo)</t>
  </si>
  <si>
    <t>BU04473</t>
  </si>
  <si>
    <t>Set de Splash y crema de Victoria Secret (Original) Bare Vainilla</t>
  </si>
  <si>
    <t>BU04474</t>
  </si>
  <si>
    <t>Set de Splash y crema de Victoria Secret (Original) Aqua Kiss</t>
  </si>
  <si>
    <t>BU04475</t>
  </si>
  <si>
    <t>Set de Splash y crema de Victoria Secret (Original) Love Spell</t>
  </si>
  <si>
    <t>Piezas 2</t>
  </si>
  <si>
    <t>BU04476</t>
  </si>
  <si>
    <t>Set de Splash y crema de Victoria Secret (Original) Amber Romance</t>
  </si>
  <si>
    <t>BU044761</t>
  </si>
  <si>
    <t xml:space="preserve"> Splash de Victoria Secret (Original) Strawberries &amp; Champagne</t>
  </si>
  <si>
    <t>Pieza 1</t>
  </si>
  <si>
    <t>BU04477</t>
  </si>
  <si>
    <t xml:space="preserve"> Crema de Victoria Secret (Original) Strawberries &amp; Champagne</t>
  </si>
  <si>
    <t>BU04478</t>
  </si>
  <si>
    <t>Splash de Victoria Secret (Original) Pomegranate &amp; Lotus</t>
  </si>
  <si>
    <t>Piezas 1</t>
  </si>
  <si>
    <t>BU044791</t>
  </si>
  <si>
    <t>Crema de Victoria Secret (Original) Pomegranate &amp; Lotus</t>
  </si>
  <si>
    <t>BU04479</t>
  </si>
  <si>
    <t>Set de Splash y crema de Victoria Secret (Original) Midnigth Bloom</t>
  </si>
  <si>
    <t>BU043461</t>
  </si>
  <si>
    <t>BU043471</t>
  </si>
  <si>
    <t>BU043481</t>
  </si>
  <si>
    <t>BU043482</t>
  </si>
  <si>
    <t>Chaleco Healter color crema y botones coral H&amp;M</t>
  </si>
  <si>
    <t>BU043483</t>
  </si>
  <si>
    <t>hombres /hm</t>
  </si>
  <si>
    <t>Shorts Caquis Beige H&amp;M</t>
  </si>
  <si>
    <t>Talla 32_M</t>
  </si>
  <si>
    <t>BU043484</t>
  </si>
  <si>
    <t>Shorts Caquis Azul Marino H&amp;M</t>
  </si>
  <si>
    <t>BU043485</t>
  </si>
  <si>
    <t>Shorts Caquis Gris H&amp;M</t>
  </si>
  <si>
    <t>BU043486</t>
  </si>
  <si>
    <t>Sandalias de plataforma y tacón grueso color beige F21</t>
  </si>
  <si>
    <t>BU043487</t>
  </si>
  <si>
    <t>Vestido Lila (encargo)</t>
  </si>
  <si>
    <t>envío fransuas 6 Septiembre</t>
  </si>
  <si>
    <t>BU043488</t>
  </si>
  <si>
    <t>Traje de baño sexy de una sola pieza negro</t>
  </si>
  <si>
    <t>BU043489</t>
  </si>
  <si>
    <t>BU043490</t>
  </si>
  <si>
    <t>BU043491</t>
  </si>
  <si>
    <t>Vestido blanco playero (encargo Yilien)</t>
  </si>
  <si>
    <t>BU043492</t>
  </si>
  <si>
    <t>Sandalias planas de moda de punta cuadrada</t>
  </si>
  <si>
    <t>BU043493</t>
  </si>
  <si>
    <t>Sandalias planas de moda de punta cuadrada (encargo)</t>
  </si>
  <si>
    <t>Talla 42</t>
  </si>
  <si>
    <t>BU043494</t>
  </si>
  <si>
    <t>Conjunto de Traje de Baño sexy color rojo</t>
  </si>
  <si>
    <t>BU043495</t>
  </si>
  <si>
    <t>Set de traje de baño Tankini con cordón lateral color negro</t>
  </si>
  <si>
    <t>BU043496</t>
  </si>
  <si>
    <t>Yoga Sexy Set Deportivo con abertura trasera color Albaricoque</t>
  </si>
  <si>
    <t>BU043497</t>
  </si>
  <si>
    <t>Vestido Privé Unicolor Sin Mangas ajustado con pliegues color negro</t>
  </si>
  <si>
    <t>BU043498</t>
  </si>
  <si>
    <t>BU043499</t>
  </si>
  <si>
    <t>BU043500</t>
  </si>
  <si>
    <t xml:space="preserve">Maxi Vestido de corte holgado de cintura con ajuste con estampado de plantas </t>
  </si>
  <si>
    <t>BU043501</t>
  </si>
  <si>
    <t>BU043502</t>
  </si>
  <si>
    <t>BU043503</t>
  </si>
  <si>
    <t>Vestido azul encargo Yilien</t>
  </si>
  <si>
    <t>BU043504</t>
  </si>
  <si>
    <t>Vestido semiformal de hombros torcidos color naranja</t>
  </si>
  <si>
    <t>BU043505</t>
  </si>
  <si>
    <t>Set de bikini estilo europeo blanco en tendencia</t>
  </si>
  <si>
    <t>BU043506</t>
  </si>
  <si>
    <t>BU043507</t>
  </si>
  <si>
    <t>BU043508</t>
  </si>
  <si>
    <t>Set de bikini de estilo europeo de moda color Oliva</t>
  </si>
  <si>
    <t>BU043509</t>
  </si>
  <si>
    <t>BU043510</t>
  </si>
  <si>
    <t>BU043511</t>
  </si>
  <si>
    <t>Sandalias de plataforma de rafia natural</t>
  </si>
  <si>
    <t>Envío mami Septiembre</t>
  </si>
  <si>
    <t>BU043512</t>
  </si>
  <si>
    <t>BU043513</t>
  </si>
  <si>
    <t>BU043514</t>
  </si>
  <si>
    <t>BU043515</t>
  </si>
  <si>
    <t>Sandalias espadriles de saco nude atada al tobillo</t>
  </si>
  <si>
    <t>BU043516</t>
  </si>
  <si>
    <t>BU043517</t>
  </si>
  <si>
    <t>BU043518</t>
  </si>
  <si>
    <t>Sandalias naranjas espadriles de saco atadas con hebilla al tobillo</t>
  </si>
  <si>
    <t>BU043519</t>
  </si>
  <si>
    <t>BU043520</t>
  </si>
  <si>
    <t>BU043521</t>
  </si>
  <si>
    <t>Sandalias doradas de tiras anchas para toda ocasión</t>
  </si>
  <si>
    <t>BU043522</t>
  </si>
  <si>
    <t>BU043523</t>
  </si>
  <si>
    <t>Talla  39</t>
  </si>
  <si>
    <t>BU043524</t>
  </si>
  <si>
    <t>BU043525</t>
  </si>
  <si>
    <t>Sandalias cruzadas de rafia natural y suela negra</t>
  </si>
  <si>
    <t>BU043526</t>
  </si>
  <si>
    <t>BU043527</t>
  </si>
  <si>
    <t>Sandalias estilo chunky de suela gruesa en contraste de color</t>
  </si>
  <si>
    <t>BU043528</t>
  </si>
  <si>
    <t>BU043529</t>
  </si>
  <si>
    <t>BU043530</t>
  </si>
  <si>
    <t>BU043531</t>
  </si>
  <si>
    <t>BU043532</t>
  </si>
  <si>
    <t>Sandalias planas con adornos de aro y tiras al tobillo</t>
  </si>
  <si>
    <t>BU043533</t>
  </si>
  <si>
    <t>BU043534</t>
  </si>
  <si>
    <t>Sandalias espadriles de cuña de correas transparentes</t>
  </si>
  <si>
    <t>BU043535</t>
  </si>
  <si>
    <t>BU043536</t>
  </si>
  <si>
    <t>BU043537</t>
  </si>
  <si>
    <t>BU043538</t>
  </si>
  <si>
    <t>BU043539</t>
  </si>
  <si>
    <t>BU043540</t>
  </si>
  <si>
    <t>Pantalones cortos con dobladillo</t>
  </si>
  <si>
    <t>BU043541</t>
  </si>
  <si>
    <t>BU043542</t>
  </si>
  <si>
    <t>BU043543</t>
  </si>
  <si>
    <t>Bolso elegante de estilo sillín</t>
  </si>
  <si>
    <t>BU043544</t>
  </si>
  <si>
    <t>Bolso de ratán de Moda para vacaciones tamaño mediano con diseño de listas negras</t>
  </si>
  <si>
    <t>Tamaño Mediano</t>
  </si>
  <si>
    <t>BU043545</t>
  </si>
  <si>
    <t>Bolso minimalista de moda cuadrado con solapa rojo</t>
  </si>
  <si>
    <t>BU043546</t>
  </si>
  <si>
    <t>Bolso de diario ligero y casual de gran capacidad elegante de cocodrilo</t>
  </si>
  <si>
    <t>Tamaño Grande</t>
  </si>
  <si>
    <t>BU043547</t>
  </si>
  <si>
    <t>Bolso de playa en bloque de color tejido en algodón</t>
  </si>
  <si>
    <t>BU043548</t>
  </si>
  <si>
    <t>Bolso tejido redondo de gran capacidad Beis</t>
  </si>
  <si>
    <t>BU043549</t>
  </si>
  <si>
    <t>Bolso tejido redondo de gran capacidad Carmelita</t>
  </si>
  <si>
    <t>BU043550</t>
  </si>
  <si>
    <t>Bolso tejido redondo de gran capacidad Ojo Turco</t>
  </si>
  <si>
    <t>BU043551</t>
  </si>
  <si>
    <t xml:space="preserve">Traje de baño en bloque de color </t>
  </si>
  <si>
    <t>BU043552</t>
  </si>
  <si>
    <t xml:space="preserve">Vestidos /nuevo </t>
  </si>
  <si>
    <t>Vestido elegante de crochet de de cuello profundo y espalda cruzada</t>
  </si>
  <si>
    <t>BU043553</t>
  </si>
  <si>
    <t>BU043554</t>
  </si>
  <si>
    <t>BU043555</t>
  </si>
  <si>
    <t>BU043556</t>
  </si>
  <si>
    <t>Blusa casual delazos delanteros color negro</t>
  </si>
  <si>
    <t>BU043557</t>
  </si>
  <si>
    <t>BU043558</t>
  </si>
  <si>
    <t>Bolso de ratán unicolor con ribete negro</t>
  </si>
  <si>
    <t>BU043559</t>
  </si>
  <si>
    <t>partes-de-abajo /nuevo</t>
  </si>
  <si>
    <t>Pantalones largros rayados de moda de gran comodidad</t>
  </si>
  <si>
    <t>BU043560</t>
  </si>
  <si>
    <t>BU043561</t>
  </si>
  <si>
    <t>BU043562</t>
  </si>
  <si>
    <t>BU043563</t>
  </si>
  <si>
    <t>Blusa casual corta de lazos color blanco</t>
  </si>
  <si>
    <t>BU043564</t>
  </si>
  <si>
    <t>BU043565</t>
  </si>
  <si>
    <t>BU043566</t>
  </si>
  <si>
    <t>Blusa de manga abombada de lazo delantero de estampado de leopardo</t>
  </si>
  <si>
    <t>BU043567</t>
  </si>
  <si>
    <t>BU043568</t>
  </si>
  <si>
    <t>Bolso cuadrado tejido de rafia Tamaño grande Color Carmelita</t>
  </si>
  <si>
    <t>BU043569</t>
  </si>
  <si>
    <t>Vestido elegante de línea larga color negro de hombro atado</t>
  </si>
  <si>
    <t>BU043570</t>
  </si>
  <si>
    <t>BU043571</t>
  </si>
  <si>
    <t>BU043572</t>
  </si>
  <si>
    <t>Vestido de espalda descubierta de color sólido y tirantes de espagueti</t>
  </si>
  <si>
    <t>BU043573</t>
  </si>
  <si>
    <t>BU043574</t>
  </si>
  <si>
    <t>BU043575</t>
  </si>
  <si>
    <t>Blusa corta de mangas abombadas de lazos delanteros color rojo</t>
  </si>
  <si>
    <t>BU043576</t>
  </si>
  <si>
    <t>BU043577</t>
  </si>
  <si>
    <t>Vestido rojo elegante de cuello healter de tela satinada</t>
  </si>
  <si>
    <t>BU043578</t>
  </si>
  <si>
    <t>Traje de baño de una sola pieza unicolor</t>
  </si>
  <si>
    <t>BU043579</t>
  </si>
  <si>
    <t>Conjunto de bikini de manga larga con nudo delantero color vainilla</t>
  </si>
  <si>
    <t>BU043580</t>
  </si>
  <si>
    <t>BU043581</t>
  </si>
  <si>
    <t>BU043582</t>
  </si>
  <si>
    <t>Monos /nuevo</t>
  </si>
  <si>
    <t>Mono Sailor con botón delantero y cinturón naranja quemada</t>
  </si>
  <si>
    <t>BU043583</t>
  </si>
  <si>
    <t>BU043584</t>
  </si>
  <si>
    <t>BU043585</t>
  </si>
  <si>
    <t>BU043586</t>
  </si>
  <si>
    <t>Vestido floral bohemio de línea A de un hombro</t>
  </si>
  <si>
    <t>BU043587</t>
  </si>
  <si>
    <t>BU043588</t>
  </si>
  <si>
    <t>BU043589</t>
  </si>
  <si>
    <t>Vestido Maija de estilo fresco de verano Blanco</t>
  </si>
  <si>
    <t>BU043590</t>
  </si>
  <si>
    <t>BU043591</t>
  </si>
  <si>
    <t>Vestido Maija de estilo fresco de verano Negro</t>
  </si>
  <si>
    <t>BU043592</t>
  </si>
  <si>
    <t>BU043593</t>
  </si>
  <si>
    <t>BU043594</t>
  </si>
  <si>
    <t>BU043595</t>
  </si>
  <si>
    <t>lencería /nuevo</t>
  </si>
  <si>
    <t>Sujetador de gran confort antideslizante sin tirantes color negro</t>
  </si>
  <si>
    <t>BU043596</t>
  </si>
  <si>
    <t>BU0435961</t>
  </si>
  <si>
    <t>BU043597</t>
  </si>
  <si>
    <t>BU043598</t>
  </si>
  <si>
    <t>Sujetador de gran confort antideslizante sin tirantes color crema</t>
  </si>
  <si>
    <t>BU043599</t>
  </si>
  <si>
    <t>BU043600</t>
  </si>
  <si>
    <t>BU043601</t>
  </si>
  <si>
    <t>BU043602</t>
  </si>
  <si>
    <t>Sujetador confortable talla grande Color crema</t>
  </si>
  <si>
    <t>BU043603</t>
  </si>
  <si>
    <t>Sujetador confortable talla grande Color burdeos</t>
  </si>
  <si>
    <t>BU043604</t>
  </si>
  <si>
    <t>Sujetador confortable talla grande Color negro</t>
  </si>
  <si>
    <t>BU043605</t>
  </si>
  <si>
    <t>Chaleco de traje estilo blazer color negro</t>
  </si>
  <si>
    <t>BU043606</t>
  </si>
  <si>
    <t>BU043607</t>
  </si>
  <si>
    <t>BU043608</t>
  </si>
  <si>
    <t>BU043609</t>
  </si>
  <si>
    <t>Chaleco de traje estilo blazer color blanco</t>
  </si>
  <si>
    <t>BU043610</t>
  </si>
  <si>
    <t>BU043611</t>
  </si>
  <si>
    <t>BU043612</t>
  </si>
  <si>
    <t>BU043613</t>
  </si>
  <si>
    <t>Pullover encargo greter</t>
  </si>
  <si>
    <t>BU043614</t>
  </si>
  <si>
    <t>BU043615</t>
  </si>
  <si>
    <t>Camiseta ajustada de rayas sin mangas</t>
  </si>
  <si>
    <t>BU043616</t>
  </si>
  <si>
    <t>BU043617</t>
  </si>
  <si>
    <t>Jeans de talle alto y pierna ancha color azul claro</t>
  </si>
  <si>
    <t>BU043618</t>
  </si>
  <si>
    <t>BU043619</t>
  </si>
  <si>
    <t>BU043620</t>
  </si>
  <si>
    <t>BU043621</t>
  </si>
  <si>
    <t>BU043622</t>
  </si>
  <si>
    <t>Sandalias cómodas para mujer con adorno de clip dorado</t>
  </si>
  <si>
    <t>BU043623</t>
  </si>
  <si>
    <t>BU043624</t>
  </si>
  <si>
    <t>Vestido maxi sólido con espalda ajustable</t>
  </si>
  <si>
    <t>BU043625</t>
  </si>
  <si>
    <t>BU043626</t>
  </si>
  <si>
    <t>BU043627</t>
  </si>
  <si>
    <t>Bolso de ratán de gran capacidad</t>
  </si>
  <si>
    <t>BU043628</t>
  </si>
  <si>
    <t>Vestido playero crochet con aberturas y espalda oblicua</t>
  </si>
  <si>
    <t>BU043629</t>
  </si>
  <si>
    <t>Vestido largo estampado azul de cuello healter</t>
  </si>
  <si>
    <t>BU043630</t>
  </si>
  <si>
    <t>Pantalón elegante de pierna ancha color crema</t>
  </si>
  <si>
    <t>BU043631</t>
  </si>
  <si>
    <t>BU043632</t>
  </si>
  <si>
    <t>BU043633</t>
  </si>
  <si>
    <t>BU043634</t>
  </si>
  <si>
    <t>Vestido camisola de ajustado romántico sexy</t>
  </si>
  <si>
    <t>BU043635</t>
  </si>
  <si>
    <t>Vestido largo blanco sin tirantes atado en la espalda</t>
  </si>
  <si>
    <t>BU043636</t>
  </si>
  <si>
    <t>Vestido elegante largo ajustado con hombro atado</t>
  </si>
  <si>
    <t>BU043637</t>
  </si>
  <si>
    <t>BU043638</t>
  </si>
  <si>
    <t>BU043639</t>
  </si>
  <si>
    <t>Vestido largo Sexy y elegante de espalda corrida en degradado de color</t>
  </si>
  <si>
    <t>BU043640</t>
  </si>
  <si>
    <t>BU043641</t>
  </si>
  <si>
    <t>BU043642</t>
  </si>
  <si>
    <t>Vestido camisola negro con abertura</t>
  </si>
  <si>
    <t>BU043643</t>
  </si>
  <si>
    <t>BU043644</t>
  </si>
  <si>
    <t>BU043645</t>
  </si>
  <si>
    <t>Conjunto de dos prendas elegante-casual color blanco</t>
  </si>
  <si>
    <t>BU043646</t>
  </si>
  <si>
    <t>BU043647</t>
  </si>
  <si>
    <t>Vestido de un hombro con abertura trasera color azul celeste</t>
  </si>
  <si>
    <t>BU043648</t>
  </si>
  <si>
    <t>BU043649</t>
  </si>
  <si>
    <t>BU043650</t>
  </si>
  <si>
    <t>Bolsa casual con diseño de gato y mariposa de tamaño mediano</t>
  </si>
  <si>
    <t>BU043651</t>
  </si>
  <si>
    <t>Bolso estilo Tote con estampado floral</t>
  </si>
  <si>
    <t>BU043652</t>
  </si>
  <si>
    <t>Gafas clásicas de metal ovaladas</t>
  </si>
  <si>
    <t>BU043653</t>
  </si>
  <si>
    <t>Vestido largo de algodón elegante con adorno delantero</t>
  </si>
  <si>
    <t>BU043654</t>
  </si>
  <si>
    <t>Vestido playero largo de mangas con escote V</t>
  </si>
  <si>
    <t>BU043655</t>
  </si>
  <si>
    <t>BU043656</t>
  </si>
  <si>
    <t>Gafas de moda estilo rectangular</t>
  </si>
  <si>
    <t>BU043657</t>
  </si>
  <si>
    <t>Traje de baño casual con ajustes laterales</t>
  </si>
  <si>
    <t>BU043658</t>
  </si>
  <si>
    <t>BU043659</t>
  </si>
  <si>
    <t>BU043660</t>
  </si>
  <si>
    <t>Camiseta de moda con estampado de cereza</t>
  </si>
  <si>
    <t>BU043661</t>
  </si>
  <si>
    <t>BU043662</t>
  </si>
  <si>
    <t>BU043663</t>
  </si>
  <si>
    <t>BU043664</t>
  </si>
  <si>
    <t>Traje de baño enterizo de espalda corrida estilo hilo</t>
  </si>
  <si>
    <t>BU043665</t>
  </si>
  <si>
    <t>BU043666</t>
  </si>
  <si>
    <t xml:space="preserve">Traje de baño enterizo elegante de un hombro talla grande </t>
  </si>
  <si>
    <t>BU043667</t>
  </si>
  <si>
    <t xml:space="preserve">Vestido de botones y listas amarillas con abertura </t>
  </si>
  <si>
    <t>BU043668</t>
  </si>
  <si>
    <t>BU043669</t>
  </si>
  <si>
    <t>Vestido largo casual de mangas talla grande</t>
  </si>
  <si>
    <t>BU043670</t>
  </si>
  <si>
    <t>Conjunto de dos prendas elegante-casual color Beis</t>
  </si>
  <si>
    <t>BU043671</t>
  </si>
  <si>
    <t>Pantalón alto de pierna ancha color caramelo</t>
  </si>
  <si>
    <t>BU043672</t>
  </si>
  <si>
    <t>BU043673</t>
  </si>
  <si>
    <t>BU043674</t>
  </si>
  <si>
    <t>talla XL</t>
  </si>
  <si>
    <t>BU043675</t>
  </si>
  <si>
    <t>Mono Sailor amarillo quemado con cinturón</t>
  </si>
  <si>
    <t>BU043676</t>
  </si>
  <si>
    <t>Sandalias de plataforma espadriles con correas doradas</t>
  </si>
  <si>
    <t>BU043677</t>
  </si>
  <si>
    <t>BU043678</t>
  </si>
  <si>
    <t>BU043679</t>
  </si>
  <si>
    <t>falda negra con abertura H&amp;M</t>
  </si>
  <si>
    <t>BU043681</t>
  </si>
  <si>
    <t>Blusa de manga elegante en vuelos con ribete en contraste Color Rosa</t>
  </si>
  <si>
    <t>BU043682</t>
  </si>
  <si>
    <t>BU043683</t>
  </si>
  <si>
    <t>BU043684</t>
  </si>
  <si>
    <t>Blusa de manga elegante en vuelos con ribete en contraste Color Blanco</t>
  </si>
  <si>
    <t>BU043685</t>
  </si>
  <si>
    <t>BU043686</t>
  </si>
  <si>
    <t>BU043687</t>
  </si>
  <si>
    <t>Blusa de manga elegante en vuelos con ribete en contraste Color Negro</t>
  </si>
  <si>
    <t>BU043688</t>
  </si>
  <si>
    <t>BU043689</t>
  </si>
  <si>
    <t>BU043690</t>
  </si>
  <si>
    <t>Blusa de manga elegante en vuelos con ribete en contraste Color Morado</t>
  </si>
  <si>
    <t>BU043691</t>
  </si>
  <si>
    <t>BU043692</t>
  </si>
  <si>
    <t>BU043693</t>
  </si>
  <si>
    <t>Conjunto de 3 piezas (camisa, top y shorts)</t>
  </si>
  <si>
    <t>YILHM0001</t>
  </si>
  <si>
    <t>Shorts cargo negro con dobladillo y bolsillos en tendencia Marca H&amp;M</t>
  </si>
  <si>
    <t>YILHM0002</t>
  </si>
  <si>
    <t>Shorts de algodón color beige de gran calidad Marca H&amp;M</t>
  </si>
  <si>
    <t>YILHM0003</t>
  </si>
  <si>
    <t>Shorts de felpa regular fit gris medio Marca H&amp;M</t>
  </si>
  <si>
    <t>YILHM0004</t>
  </si>
  <si>
    <t>Shorts cargo gris con dobladillo y bolsillos en tendencia Marca H&amp;M</t>
  </si>
  <si>
    <t>YILHM0005</t>
  </si>
  <si>
    <t>YILHM0006</t>
  </si>
  <si>
    <t>Shorts beich cargo regular fit de semi elastano con bolsillos traseros y a los lados Marca H&amp;M</t>
  </si>
  <si>
    <t>YILHM0007</t>
  </si>
  <si>
    <t>Shorts regular fit de algodón color verde army Marca H&amp;M</t>
  </si>
  <si>
    <t>Talla Extra Grande</t>
  </si>
  <si>
    <t>YILHM0008</t>
  </si>
  <si>
    <t>YILHM0009</t>
  </si>
  <si>
    <t>YILHM0010</t>
  </si>
  <si>
    <t>Shorts de felpa color negro con bolsillos discretos Marca H&amp;M</t>
  </si>
  <si>
    <t>YILHM0014</t>
  </si>
  <si>
    <t>Pantalón elegante de pierna ancha gris de listas blancas Marca H&amp;M</t>
  </si>
  <si>
    <t>YILHM00152</t>
  </si>
  <si>
    <t>Pantalón cargo de pierna ancha Marca H&amp;M</t>
  </si>
  <si>
    <t>YILHM0015</t>
  </si>
  <si>
    <t>Jogger de pierna ancha color chantillí Marca H&amp;M</t>
  </si>
  <si>
    <t>YILHM0016</t>
  </si>
  <si>
    <t>Pullover Gris Oscuro jaspeado de algodón Marca H&amp;M</t>
  </si>
  <si>
    <t>YILHM0017</t>
  </si>
  <si>
    <t>Jogger de pierna ancha color negro Marca H&amp;M</t>
  </si>
  <si>
    <t>YILHM0018</t>
  </si>
  <si>
    <t>Jogger de pierna ancha color azul marino Marca H&amp;M</t>
  </si>
  <si>
    <t>YILHM0020</t>
  </si>
  <si>
    <t>Pantalón de vestir de pierna ancha con tejido en contraste negro y blanco H&amp;M</t>
  </si>
  <si>
    <t>YILHM0021</t>
  </si>
  <si>
    <t>Pantalón de traje Gris con pliegues de pierna ancha Marca H&amp;M</t>
  </si>
  <si>
    <t>YILHM0023</t>
  </si>
  <si>
    <t xml:space="preserve">Vestidos </t>
  </si>
  <si>
    <t>Vestido verde Maxi ajustado con corrugado de manga corta Marca H&amp;M</t>
  </si>
  <si>
    <t>YILHM0024</t>
  </si>
  <si>
    <t>Vestido negro elegante de línea A con manga media de tela rígida Marca H&amp;M</t>
  </si>
  <si>
    <t>YILHM0025</t>
  </si>
  <si>
    <t>Vestido negro elegante de línea A sin mangas de tela rígida Marca H&amp;M</t>
  </si>
  <si>
    <t>YILHM0026</t>
  </si>
  <si>
    <t>Vestido ajustado de tela brillante en tendencia Marca H&amp;M</t>
  </si>
  <si>
    <t>YILHM0029</t>
  </si>
  <si>
    <t>Vestido corto ajustado de tela acanalada café Marca H&amp;M</t>
  </si>
  <si>
    <t>YILHM0030</t>
  </si>
  <si>
    <t>Vestido estampado de manga larga con elástico en la cintura marca H&amp;M</t>
  </si>
  <si>
    <t>YILHM0031</t>
  </si>
  <si>
    <t>Blusa-Camisa Blanca de tela de viscosa Marca H&amp;M</t>
  </si>
  <si>
    <t>YILHM0032</t>
  </si>
  <si>
    <t>Blusa-Camisa elegante de listas de cuello V Marca H&amp;M</t>
  </si>
  <si>
    <t>YILHM0033</t>
  </si>
  <si>
    <t>YILHM0034</t>
  </si>
  <si>
    <t>Blusa Chantillí de estampado geométrico de manga globo y cuello V Marca H&amp;M</t>
  </si>
  <si>
    <t>YILHM0035</t>
  </si>
  <si>
    <t>Blusa-Camisa negra con estampado en silueta elegante de flores blancas Marca H&amp;M</t>
  </si>
  <si>
    <t>YILHM00355</t>
  </si>
  <si>
    <t>Blusa oversize estampada de crepé Marca H&amp;M</t>
  </si>
  <si>
    <t>YILHM0036</t>
  </si>
  <si>
    <t xml:space="preserve">Blusa negra con hombreras </t>
  </si>
  <si>
    <t>YILHM0037</t>
  </si>
  <si>
    <t>Pullover blanco de algodón Marca H&amp;M</t>
  </si>
  <si>
    <t>YILHM0038</t>
  </si>
  <si>
    <t>Pullover negro de algodón Marca H&amp;M</t>
  </si>
  <si>
    <t>YILHM0039</t>
  </si>
  <si>
    <t>Blusa negra de escote cuadrado Marca H&amp;M</t>
  </si>
  <si>
    <t>YILHM0040</t>
  </si>
  <si>
    <t>Top jersey de cuello tortuga y manga media Marca H&amp;M</t>
  </si>
  <si>
    <t>YILHM0041</t>
  </si>
  <si>
    <t>Top de manga media de escote cuadrado Marca H&amp;M</t>
  </si>
  <si>
    <t>YILHM0042</t>
  </si>
  <si>
    <t>Top jersey de listas de manga media Marca H&amp;M</t>
  </si>
  <si>
    <t>YILHM0043</t>
  </si>
  <si>
    <t>Pullover slim fit carmelita de algodón Marca H&amp;M</t>
  </si>
  <si>
    <t>YILHM0044</t>
  </si>
  <si>
    <t>Pullover oversize de listas cramelitas Marca H&amp;M</t>
  </si>
  <si>
    <t>YILHM0045</t>
  </si>
  <si>
    <t>YILHM0046</t>
  </si>
  <si>
    <t>Pullover oversize de listas negras con bordado en contraste Marca H&amp;M</t>
  </si>
  <si>
    <t>YILHM0047</t>
  </si>
  <si>
    <t>Pullover slim fit rosa acanalado Marca H&amp;M</t>
  </si>
  <si>
    <t>YILHM0048</t>
  </si>
  <si>
    <t>YILHM0049</t>
  </si>
  <si>
    <t>Pullover de micro fibra rosa Marca H&amp;M</t>
  </si>
  <si>
    <t>YILHM0050</t>
  </si>
  <si>
    <t>Top blanco de cuello lineal Marca H&amp;M</t>
  </si>
  <si>
    <t>YILHM0051</t>
  </si>
  <si>
    <t>Pullover gris oscuro jaspeado de algodón Marca H&amp;M</t>
  </si>
  <si>
    <t>YILHM0052</t>
  </si>
  <si>
    <t>Top de mangas largas de rayas de cuello tortuga Marca H&amp;M</t>
  </si>
  <si>
    <t>YILHM0053</t>
  </si>
  <si>
    <t>Top crema con detalle de costura Marca H&amp;M</t>
  </si>
  <si>
    <t>YILHM0054</t>
  </si>
  <si>
    <t>Top carmelita de mangas largas Marca H&amp;M</t>
  </si>
  <si>
    <t>YILHM0055</t>
  </si>
  <si>
    <t>Top de mangas traslúcido de cuello redondo Marca H&amp;M</t>
  </si>
  <si>
    <t>YILHM0056</t>
  </si>
  <si>
    <t>Top oversizecon detalle de costura en espalda Marca H&amp;M</t>
  </si>
  <si>
    <t>YILHM0057</t>
  </si>
  <si>
    <t>Cardigan tejido color crema con botones Marca H&amp;M</t>
  </si>
  <si>
    <t>YILHM0058</t>
  </si>
  <si>
    <t>Suéter oversize de cuello redondo crema con listas finas negras Marca H&amp;M</t>
  </si>
  <si>
    <t>YILHM0059</t>
  </si>
  <si>
    <t>Suéter azul gris tejido de cuello V Marca H&amp;M</t>
  </si>
  <si>
    <t>YILHM0060</t>
  </si>
  <si>
    <t>Suéter oversize crema de franjas azul oscuro de cuello redondo Marca H&amp;M</t>
  </si>
  <si>
    <t>YILHM0061</t>
  </si>
  <si>
    <t>Suéter oversize crema de listas negras cuello de redondo Marca H&amp;M</t>
  </si>
  <si>
    <t>YILHM0062</t>
  </si>
  <si>
    <t>Suéter crema oversize de franjas beich Marca H&amp;M</t>
  </si>
  <si>
    <t>YILHM0063</t>
  </si>
  <si>
    <t>Suéter crema polar con letrero Marca H&amp;M</t>
  </si>
  <si>
    <t>YILHM0064</t>
  </si>
  <si>
    <t>Top de canalé de manga larga de cuello redondo slim fit color crema Marca H&amp;M</t>
  </si>
  <si>
    <t>YILHM0065</t>
  </si>
  <si>
    <t>Top de micro fibra de manga larga Marca H&amp;M</t>
  </si>
  <si>
    <t>YILHM0066</t>
  </si>
  <si>
    <t>YILHM0067</t>
  </si>
  <si>
    <t>Top de manga larca de escote cuadrado Marca H&amp;M</t>
  </si>
  <si>
    <t>YILHM0068</t>
  </si>
  <si>
    <t>Tanga brasileña color verde de algodón Marca H&amp;M</t>
  </si>
  <si>
    <t>YILHM0069</t>
  </si>
  <si>
    <t>Short de felpa con cordón ajustable negro Marca H&amp;M</t>
  </si>
  <si>
    <t>YILHM0070</t>
  </si>
  <si>
    <t>Short Blanco de talle alto y bolsillos de tela gruesa Marca H&amp;M</t>
  </si>
  <si>
    <t>Talla 30</t>
  </si>
  <si>
    <t>YILHM0071</t>
  </si>
  <si>
    <t>Falda negra ajustada a media pierna Marca H&amp;M</t>
  </si>
  <si>
    <t>YILHM0072</t>
  </si>
  <si>
    <t>Blusa de manga corta de cuello V con estampado de listas Marca H&amp;M</t>
  </si>
  <si>
    <t>YILHM0073</t>
  </si>
  <si>
    <t>Leggings mallas negros no transparentables Marca H&amp;M</t>
  </si>
  <si>
    <t>YILHM0074</t>
  </si>
  <si>
    <t>Pullover polo blanco muscle fit de cuello con zíper Marca H&amp;M</t>
  </si>
  <si>
    <t>YILHM0075</t>
  </si>
  <si>
    <t>Pullover polo blanco de viscosa de cuello con botones Marca H&amp;M</t>
  </si>
  <si>
    <t>YILHM0076</t>
  </si>
  <si>
    <t>Pullover polo negro muscle fit de cuello con zíper Marca H&amp;M</t>
  </si>
  <si>
    <t>YILHM0077</t>
  </si>
  <si>
    <t xml:space="preserve">Pullover deportivo verde </t>
  </si>
  <si>
    <t>YILHM0078</t>
  </si>
  <si>
    <t>Pullover de hombre Loose Fit de gran calidad de cuello redondo color blanco vainilla Marca H&amp;M</t>
  </si>
  <si>
    <t>YILHM0079</t>
  </si>
  <si>
    <t>YILHM0080</t>
  </si>
  <si>
    <t>YILHM0081</t>
  </si>
  <si>
    <t>Pullover de hombre Loose Fit de gran calidad de cuello redondo gris oscuro Marca H&amp;M</t>
  </si>
  <si>
    <t>YILHM0082</t>
  </si>
  <si>
    <t>YILHM0083</t>
  </si>
  <si>
    <t>YILHM0084</t>
  </si>
  <si>
    <t>Pullover de hombre Loose Fit de gran calidad de cuello redondo gris claro Marca H&amp;M</t>
  </si>
  <si>
    <t>YILHM0085</t>
  </si>
  <si>
    <t>Pullover de hombre Loose Fit de gran calidad de cuello redondo beige Marca H&amp;M</t>
  </si>
  <si>
    <t>YILHM0086</t>
  </si>
  <si>
    <t>Pullover de hombre Loose Fit de gran calidad de cuello redondo azul Marca H&amp;M</t>
  </si>
  <si>
    <t>YILHM0087</t>
  </si>
  <si>
    <t>Pullover de hombre Loose Fit de gran calidad de cuello redondo verde Marca H&amp;M</t>
  </si>
  <si>
    <t>YILHM0088</t>
  </si>
  <si>
    <t>Pullover de hombre Loose Fit de gran calidad de cuello redondo negro Marca H&amp;M</t>
  </si>
  <si>
    <t>YILHM0089</t>
  </si>
  <si>
    <t>YILHM0090</t>
  </si>
  <si>
    <t>YILHM0091</t>
  </si>
  <si>
    <t>Pullover slim fit verde claro algodón Marca H&amp;M</t>
  </si>
  <si>
    <t>YILHM0092</t>
  </si>
  <si>
    <t>Pullover slim fit gris claro algodón Marca H&amp;M</t>
  </si>
  <si>
    <t>YILHM0093</t>
  </si>
  <si>
    <t>Pullover slim fit blanco algodón Marca H&amp;M</t>
  </si>
  <si>
    <t>YILHM0094</t>
  </si>
  <si>
    <t>Pullover slim fit negro algodón Marca H&amp;M</t>
  </si>
  <si>
    <t>YILHM0095</t>
  </si>
  <si>
    <t>YILHM0096</t>
  </si>
  <si>
    <t>YILHM0097</t>
  </si>
  <si>
    <t>Camisa de algodón estampada en color block Marca H&amp;M</t>
  </si>
  <si>
    <t>YILHM0098</t>
  </si>
  <si>
    <t>Camisa verde oliva de algodón con bolsillo Marca H&amp;M</t>
  </si>
  <si>
    <t>YILHM0099</t>
  </si>
  <si>
    <t>Camisa negra slim fit de cuello chino Marca H&amp;M</t>
  </si>
  <si>
    <t>YILHM0100</t>
  </si>
  <si>
    <t>Pullover de hombre Loose Fit de gran calidad de cuello redondo Marca H&amp;M</t>
  </si>
  <si>
    <t>YILHM0101</t>
  </si>
  <si>
    <t>YILHM0102</t>
  </si>
  <si>
    <t>YILHM0103</t>
  </si>
  <si>
    <t>YILHM0104</t>
  </si>
  <si>
    <t>YILHM0105</t>
  </si>
  <si>
    <t>YILHM0106</t>
  </si>
  <si>
    <t>YILHM0107</t>
  </si>
  <si>
    <t>Enguatada blanco vainilla de viscosa y cuello redondeado Marca H&amp;M</t>
  </si>
  <si>
    <t>Talla Chica</t>
  </si>
  <si>
    <t>YILHM0108</t>
  </si>
  <si>
    <t>Hombres /tops</t>
  </si>
  <si>
    <t>Enguatada blanco vainilla de cuello tortuga Marca H&amp;M</t>
  </si>
  <si>
    <t>Talla Extra Chica</t>
  </si>
  <si>
    <t>YILHM0109</t>
  </si>
  <si>
    <t>Enguatada azul navy de viscosa y cuello redondo Marca H&amp;M</t>
  </si>
  <si>
    <t>Talla Mediana</t>
  </si>
  <si>
    <t>YILHM0110</t>
  </si>
  <si>
    <t>Enguatada azul navy de cuello tortuga con zíper de tejido de punto grueso de gran calidad Marca H&amp;M</t>
  </si>
  <si>
    <t>YILHM0111</t>
  </si>
  <si>
    <t>leo</t>
  </si>
  <si>
    <t>Enguatada gris jaspeado oscuro Marca H&amp;M</t>
  </si>
  <si>
    <t>YILHM0112</t>
  </si>
  <si>
    <t>Enguatada jersey negra de cuello tortuga Marca H&amp;M</t>
  </si>
  <si>
    <t>YILHM0113</t>
  </si>
  <si>
    <t>Dieguito</t>
  </si>
  <si>
    <t xml:space="preserve">Niños abrigos   </t>
  </si>
  <si>
    <t>YILHM0114</t>
  </si>
  <si>
    <t xml:space="preserve"> Partes-de-abajo /hm /hombres</t>
  </si>
  <si>
    <t>Jogger negro de estilo cargo Marca H&amp;M</t>
  </si>
  <si>
    <t>YILHM0115</t>
  </si>
  <si>
    <t>Jogger regular fit gris medio Marca H&amp;M</t>
  </si>
  <si>
    <t>YILHM0116</t>
  </si>
  <si>
    <t>Jogger slim fit gris oscuro cargo dry fit Marca H&amp;M</t>
  </si>
  <si>
    <t>YILHM0117</t>
  </si>
  <si>
    <t>Jogger regular fit negro con bolsillos discretos Marca H&amp;M</t>
  </si>
  <si>
    <t>YILHM0118</t>
  </si>
  <si>
    <t>Jogger gris jaspeado con bolsillos discretos Marca H&amp;M</t>
  </si>
  <si>
    <t>YILHM0119</t>
  </si>
  <si>
    <t>YILHM0136</t>
  </si>
  <si>
    <t>Ili</t>
  </si>
  <si>
    <t>Ajustadores Bralette de encaje Blanco Marca H&amp;M</t>
  </si>
  <si>
    <t>YILHM0137</t>
  </si>
  <si>
    <t>ili</t>
  </si>
  <si>
    <t>Ajustadores Bralette de encaje Negro Marca H&amp;M</t>
  </si>
  <si>
    <t>YILHM0138</t>
  </si>
  <si>
    <t>Calzoncillos Boxers de algodón</t>
  </si>
  <si>
    <t>YILHM0139</t>
  </si>
  <si>
    <t>YILHM0140</t>
  </si>
  <si>
    <t>Calcetines bajos de algodón color beich</t>
  </si>
  <si>
    <t>YILHM0141</t>
  </si>
  <si>
    <t>Calcetines bajos de algodón color blanco</t>
  </si>
  <si>
    <t>YILHM0142</t>
  </si>
  <si>
    <t>Tanga brasileña color blanco de algodón Marca H&amp;M</t>
  </si>
  <si>
    <t>YILHM0143</t>
  </si>
  <si>
    <t>Tanga brasileña color crema de algodón Marca H&amp;M</t>
  </si>
  <si>
    <t>YILHM0144</t>
  </si>
  <si>
    <t>Tanga brasileña color negro de algodón Marca H&amp;M</t>
  </si>
  <si>
    <t>YILHM0145</t>
  </si>
  <si>
    <t>lencería /nuevo /hombres</t>
  </si>
  <si>
    <t>Calcetines altos de moda blancos con listas verdes</t>
  </si>
  <si>
    <t>YILHM0146</t>
  </si>
  <si>
    <t>Calcetines altos de moda negro PULFICTION</t>
  </si>
  <si>
    <t>YILHM0147</t>
  </si>
  <si>
    <t>Calcetines altos de moda negro COCA COLA</t>
  </si>
  <si>
    <t>OBLIGATARIO LLENAR</t>
  </si>
  <si>
    <t>NO TOCAR</t>
  </si>
  <si>
    <t>(Datos a intoducir por el gestor cuando se hace una venta)</t>
  </si>
  <si>
    <t>Entrar datos manual</t>
  </si>
  <si>
    <t>Fecha</t>
  </si>
  <si>
    <t>Detalle de compra</t>
  </si>
  <si>
    <t>Nombre del Cliente</t>
  </si>
  <si>
    <t>Nombre del Gestor</t>
  </si>
  <si>
    <t>Código del producto Vendido</t>
  </si>
  <si>
    <t>Descripcion</t>
  </si>
  <si>
    <t>Cantidad</t>
  </si>
  <si>
    <t>Precio Venta</t>
  </si>
  <si>
    <t>Total</t>
  </si>
  <si>
    <t>Costo SIN Comision</t>
  </si>
  <si>
    <t>Ganancia</t>
  </si>
  <si>
    <t>Observaciones</t>
  </si>
  <si>
    <t>T0006</t>
  </si>
  <si>
    <t>OTRO</t>
  </si>
  <si>
    <t>V0111</t>
  </si>
  <si>
    <t>V0112</t>
  </si>
  <si>
    <t>V0107</t>
  </si>
  <si>
    <t>V0108</t>
  </si>
  <si>
    <t>V0104</t>
  </si>
  <si>
    <t>V0103</t>
  </si>
  <si>
    <t>V0101</t>
  </si>
  <si>
    <t>V0099</t>
  </si>
  <si>
    <t>V0095</t>
  </si>
  <si>
    <t>B0028</t>
  </si>
  <si>
    <t>B0032</t>
  </si>
  <si>
    <t>B0049</t>
  </si>
  <si>
    <t>B0038</t>
  </si>
  <si>
    <t>B0039</t>
  </si>
  <si>
    <t>B0042</t>
  </si>
  <si>
    <t>B0034</t>
  </si>
  <si>
    <t>Yudi</t>
  </si>
  <si>
    <t>Yudidi</t>
  </si>
  <si>
    <t>Alejandro</t>
  </si>
  <si>
    <t>Livia</t>
  </si>
  <si>
    <t>livia</t>
  </si>
  <si>
    <t>Dasli</t>
  </si>
  <si>
    <t>Yanet</t>
  </si>
  <si>
    <t>Greter</t>
  </si>
  <si>
    <t>Magdalena</t>
  </si>
  <si>
    <t>Camila</t>
  </si>
  <si>
    <t>Estrella</t>
  </si>
  <si>
    <t>otro</t>
  </si>
  <si>
    <t>Trabajo Leo</t>
  </si>
  <si>
    <t>GRETER</t>
  </si>
  <si>
    <t>Eduardo</t>
  </si>
  <si>
    <t>Lisbetty</t>
  </si>
  <si>
    <t>Maire</t>
  </si>
  <si>
    <t>Yanelsy</t>
  </si>
  <si>
    <t>Saylin</t>
  </si>
  <si>
    <t>Yesica</t>
  </si>
  <si>
    <t>Yami</t>
  </si>
  <si>
    <t>Deivis</t>
  </si>
  <si>
    <t>V0134</t>
  </si>
  <si>
    <t>Khaila</t>
  </si>
  <si>
    <t>Gaby</t>
  </si>
  <si>
    <t>Ely</t>
  </si>
  <si>
    <t>Yaney</t>
  </si>
  <si>
    <t>Amanda</t>
  </si>
  <si>
    <t>cliente day</t>
  </si>
  <si>
    <t>Niurka Encargo</t>
  </si>
  <si>
    <t>Otro</t>
  </si>
  <si>
    <t>Daylin</t>
  </si>
  <si>
    <t>KO Mercado</t>
  </si>
  <si>
    <t xml:space="preserve">Niurka </t>
  </si>
  <si>
    <t>Yuyi</t>
  </si>
  <si>
    <t>Amy</t>
  </si>
  <si>
    <t>Ivelice</t>
  </si>
  <si>
    <t>Rachel</t>
  </si>
  <si>
    <t>Yudith</t>
  </si>
  <si>
    <t>Adriana</t>
  </si>
  <si>
    <t>Madelyn</t>
  </si>
  <si>
    <t>Yisley</t>
  </si>
  <si>
    <t>Ismaray</t>
  </si>
  <si>
    <t>Lianet</t>
  </si>
  <si>
    <t>Clienta Adri</t>
  </si>
  <si>
    <t>Jenny</t>
  </si>
  <si>
    <t>Siulen</t>
  </si>
  <si>
    <t>Yaumara</t>
  </si>
  <si>
    <t>Ailyn</t>
  </si>
  <si>
    <t>Jackelin</t>
  </si>
  <si>
    <t>Dayme</t>
  </si>
  <si>
    <t>Amalia</t>
  </si>
  <si>
    <t>Keylee</t>
  </si>
  <si>
    <t>Claudia</t>
  </si>
  <si>
    <t>Gretel</t>
  </si>
  <si>
    <t>amiga Day</t>
  </si>
  <si>
    <t>Pago Mayo Daylin</t>
  </si>
  <si>
    <t>airn regalo</t>
  </si>
  <si>
    <t>Viaje a México</t>
  </si>
  <si>
    <t>Pago Yane Junio</t>
  </si>
  <si>
    <t>Pago Yasser envíos</t>
  </si>
  <si>
    <t>Pago Junio Daylin</t>
  </si>
  <si>
    <t>Daylin/Pendiente</t>
  </si>
  <si>
    <t>2-Ago</t>
  </si>
  <si>
    <t>Daylin(top blanco devolver)</t>
  </si>
  <si>
    <t>Karen</t>
  </si>
  <si>
    <t>Pau</t>
  </si>
  <si>
    <t>BU0478</t>
  </si>
  <si>
    <t>Yoa</t>
  </si>
  <si>
    <t>3-Ago</t>
  </si>
  <si>
    <t>7-Ago</t>
  </si>
  <si>
    <t>Liz</t>
  </si>
  <si>
    <t>9-Ago</t>
  </si>
  <si>
    <t>14-Ago</t>
  </si>
  <si>
    <t>Arianna</t>
  </si>
  <si>
    <t>Lily</t>
  </si>
  <si>
    <t>Noslen</t>
  </si>
  <si>
    <t>Deborah</t>
  </si>
  <si>
    <t>Greydi</t>
  </si>
  <si>
    <t>Marianne</t>
  </si>
  <si>
    <t>BU0504</t>
  </si>
  <si>
    <t>Katherine</t>
  </si>
  <si>
    <t>Mabel</t>
  </si>
  <si>
    <t>15-Ago</t>
  </si>
  <si>
    <t>16-Ago</t>
  </si>
  <si>
    <t>Amanda HNC</t>
  </si>
  <si>
    <t>Yadita</t>
  </si>
  <si>
    <t>17-Ago</t>
  </si>
  <si>
    <t>Dayana</t>
  </si>
  <si>
    <t>Zamirys</t>
  </si>
  <si>
    <t>19-Ago</t>
  </si>
  <si>
    <t>Lorena</t>
  </si>
  <si>
    <t>pdte pago</t>
  </si>
  <si>
    <t>Nazay</t>
  </si>
  <si>
    <t>Producto sorpresa</t>
  </si>
  <si>
    <t>Luna</t>
  </si>
  <si>
    <t>Zuleira</t>
  </si>
  <si>
    <t>Yiell</t>
  </si>
  <si>
    <t>20-Ago</t>
  </si>
  <si>
    <t>Yaquelin</t>
  </si>
  <si>
    <t>Irasema</t>
  </si>
  <si>
    <t>22-Ago</t>
  </si>
  <si>
    <t>Haydee</t>
  </si>
  <si>
    <t>Maday</t>
  </si>
  <si>
    <t>23-Ago</t>
  </si>
  <si>
    <t>Anabel</t>
  </si>
  <si>
    <t>Mami</t>
  </si>
  <si>
    <t>Mar</t>
  </si>
  <si>
    <t>Mari Banco</t>
  </si>
  <si>
    <t>Monik</t>
  </si>
  <si>
    <t>25-Ago</t>
  </si>
  <si>
    <t>Tania amiga mamá</t>
  </si>
  <si>
    <t>Clieta</t>
  </si>
  <si>
    <t>26-Ago</t>
  </si>
  <si>
    <t>Pujalte</t>
  </si>
  <si>
    <t>27-Ago</t>
  </si>
  <si>
    <t>Kira</t>
  </si>
  <si>
    <t>28-Ago</t>
  </si>
  <si>
    <t>Karla</t>
  </si>
  <si>
    <t>30-Ago</t>
  </si>
  <si>
    <t>Alicia</t>
  </si>
  <si>
    <t>Betzabeth</t>
  </si>
  <si>
    <t>Mercedes</t>
  </si>
  <si>
    <t>31-Ago</t>
  </si>
  <si>
    <t>BU0488</t>
  </si>
  <si>
    <t>Wendy</t>
  </si>
  <si>
    <t>Hija Yasser</t>
  </si>
  <si>
    <t>Greysi</t>
  </si>
  <si>
    <t>Yolaisys</t>
  </si>
  <si>
    <t>Cliente</t>
  </si>
  <si>
    <t>artículo sin entrar</t>
  </si>
  <si>
    <t>Yole</t>
  </si>
  <si>
    <t>Omi</t>
  </si>
  <si>
    <t>erly</t>
  </si>
  <si>
    <t>Inventario</t>
  </si>
  <si>
    <t>tamara</t>
  </si>
  <si>
    <t>Brenda</t>
  </si>
  <si>
    <t>Diciembre</t>
  </si>
  <si>
    <t>BU0546</t>
  </si>
  <si>
    <t>BU0486</t>
  </si>
  <si>
    <t>Enero</t>
  </si>
  <si>
    <t>Adry</t>
  </si>
  <si>
    <t>Jaqueline</t>
  </si>
  <si>
    <t>Yane</t>
  </si>
  <si>
    <t>yo</t>
  </si>
  <si>
    <t>Daniela</t>
  </si>
  <si>
    <t>BU0620</t>
  </si>
  <si>
    <t>Baby</t>
  </si>
  <si>
    <t>Ani</t>
  </si>
  <si>
    <t>yuniel</t>
  </si>
  <si>
    <t>inventario</t>
  </si>
  <si>
    <t>BU0631</t>
  </si>
  <si>
    <t>Orieta</t>
  </si>
  <si>
    <t>Mady</t>
  </si>
  <si>
    <t>Massi vecina</t>
  </si>
  <si>
    <t>Mary Karla Bamboo</t>
  </si>
  <si>
    <t>Karen Dentista</t>
  </si>
  <si>
    <t>Gaby Dra</t>
  </si>
  <si>
    <t>Yake</t>
  </si>
  <si>
    <t>Sayury</t>
  </si>
  <si>
    <t>Ani verde verde</t>
  </si>
  <si>
    <t>Regalo Baby</t>
  </si>
  <si>
    <t>Oferta Promo Mensajería Gratis en ventas de $25USD</t>
  </si>
  <si>
    <t>Yilien</t>
  </si>
  <si>
    <t>neurologa</t>
  </si>
  <si>
    <t>Greter (pendiente pago)</t>
  </si>
  <si>
    <t>Violeta</t>
  </si>
  <si>
    <t>darle 5% a Claudia Gestora</t>
  </si>
  <si>
    <t>bazar</t>
  </si>
  <si>
    <t>Arasay</t>
  </si>
  <si>
    <t>Gloria</t>
  </si>
  <si>
    <t>mio</t>
  </si>
  <si>
    <t>Leisy</t>
  </si>
  <si>
    <t>sayuri</t>
  </si>
  <si>
    <t>ayli</t>
  </si>
  <si>
    <t>Pago Enrique Media Manager</t>
  </si>
  <si>
    <t>Tatiana</t>
  </si>
  <si>
    <t>Lissette encargo</t>
  </si>
  <si>
    <t>estímulo a violeta</t>
  </si>
  <si>
    <t>bu0718</t>
  </si>
  <si>
    <t>bu0623</t>
  </si>
  <si>
    <t>ub0035</t>
  </si>
  <si>
    <t>ub0029</t>
  </si>
  <si>
    <t>ub0030</t>
  </si>
  <si>
    <t>bu0582</t>
  </si>
  <si>
    <t>Tía Mary</t>
  </si>
  <si>
    <t>Yilian notaria</t>
  </si>
  <si>
    <t>Premio</t>
  </si>
  <si>
    <t>premio rifa madres</t>
  </si>
  <si>
    <t>bu0395</t>
  </si>
  <si>
    <t>Susej</t>
  </si>
  <si>
    <t>Yilian</t>
  </si>
  <si>
    <t>Darse</t>
  </si>
  <si>
    <t>Betty regalo</t>
  </si>
  <si>
    <t>Yasmin regalo</t>
  </si>
  <si>
    <t>Michelle</t>
  </si>
  <si>
    <t>Yari &amp; Samuel</t>
  </si>
  <si>
    <t>Yeny</t>
  </si>
  <si>
    <t>yeny</t>
  </si>
  <si>
    <t>Loana</t>
  </si>
  <si>
    <t>Yunisleydis</t>
  </si>
  <si>
    <t>Yenima</t>
  </si>
  <si>
    <t>Sailin</t>
  </si>
  <si>
    <t>Nathaly</t>
  </si>
  <si>
    <t>Jovana</t>
  </si>
  <si>
    <t>Laureen</t>
  </si>
  <si>
    <t>Yuni</t>
  </si>
  <si>
    <t>Angis</t>
  </si>
  <si>
    <t>Yelena</t>
  </si>
  <si>
    <t>Yeni Clienta</t>
  </si>
  <si>
    <t>Nanda</t>
  </si>
  <si>
    <t>Nix</t>
  </si>
  <si>
    <t>Indiana</t>
  </si>
  <si>
    <t>Yipxi</t>
  </si>
  <si>
    <t>Raiza</t>
  </si>
  <si>
    <t>Sandra</t>
  </si>
  <si>
    <t>alexa</t>
  </si>
  <si>
    <t>yarel</t>
  </si>
  <si>
    <t>Adriana Quintana</t>
  </si>
  <si>
    <t>Maria Karla Garage</t>
  </si>
  <si>
    <t>paypal</t>
  </si>
  <si>
    <t>Short blanco hm</t>
  </si>
  <si>
    <t>Yanelis Arrabal</t>
  </si>
  <si>
    <t>vendido x mi</t>
  </si>
  <si>
    <t xml:space="preserve">Lissette </t>
  </si>
  <si>
    <t>Vanessa</t>
  </si>
  <si>
    <t>maricel</t>
  </si>
  <si>
    <t>yamila</t>
  </si>
  <si>
    <t>susana</t>
  </si>
  <si>
    <t>rosi</t>
  </si>
  <si>
    <t>dany</t>
  </si>
  <si>
    <t>vendido x mi (mami)</t>
  </si>
  <si>
    <t>ruthie</t>
  </si>
  <si>
    <t>yuliett</t>
  </si>
  <si>
    <t>arianna</t>
  </si>
  <si>
    <t>BU04344</t>
  </si>
  <si>
    <t>Marianela</t>
  </si>
  <si>
    <t>yaulet</t>
  </si>
  <si>
    <t>leydi</t>
  </si>
  <si>
    <t>xenia</t>
  </si>
  <si>
    <t>ana</t>
  </si>
  <si>
    <t>gema</t>
  </si>
  <si>
    <t>geydis sosa</t>
  </si>
  <si>
    <t>ely</t>
  </si>
  <si>
    <t>mari</t>
  </si>
  <si>
    <t>diana</t>
  </si>
  <si>
    <t>camila</t>
  </si>
  <si>
    <t>ilen</t>
  </si>
  <si>
    <t>adita</t>
  </si>
  <si>
    <t>yisme</t>
  </si>
  <si>
    <t>ari</t>
  </si>
  <si>
    <t>mami</t>
  </si>
  <si>
    <t>fatima</t>
  </si>
  <si>
    <t>maite</t>
  </si>
  <si>
    <t>gretis</t>
  </si>
  <si>
    <t>dayi</t>
  </si>
  <si>
    <t>nancy</t>
  </si>
  <si>
    <t>yaimara</t>
  </si>
  <si>
    <t>airin</t>
  </si>
  <si>
    <t>yilien</t>
  </si>
  <si>
    <t>yunelkis</t>
  </si>
  <si>
    <t>laura</t>
  </si>
  <si>
    <t>isavelita</t>
  </si>
  <si>
    <t>lisandra</t>
  </si>
  <si>
    <t>liz</t>
  </si>
  <si>
    <t>fabiola</t>
  </si>
  <si>
    <t>yaneris</t>
  </si>
  <si>
    <t>mercy</t>
  </si>
  <si>
    <t>alba</t>
  </si>
  <si>
    <t>yunelkys</t>
  </si>
  <si>
    <t>kenia</t>
  </si>
  <si>
    <t>olivia</t>
  </si>
  <si>
    <t>aymara</t>
  </si>
  <si>
    <t>amarilis</t>
  </si>
  <si>
    <t>angels</t>
  </si>
  <si>
    <t>yaritza</t>
  </si>
  <si>
    <t>yilen</t>
  </si>
  <si>
    <t>dessyre</t>
  </si>
  <si>
    <t>niliam</t>
  </si>
  <si>
    <t>niuris</t>
  </si>
  <si>
    <t>lia</t>
  </si>
  <si>
    <t>lissania</t>
  </si>
  <si>
    <t>giulia</t>
  </si>
  <si>
    <t>arleti</t>
  </si>
  <si>
    <t>arabby</t>
  </si>
  <si>
    <t>martha</t>
  </si>
  <si>
    <t>tania</t>
  </si>
  <si>
    <t>cary</t>
  </si>
  <si>
    <t>Orquídea</t>
  </si>
  <si>
    <t>ana flavia</t>
  </si>
  <si>
    <t>Yesy</t>
  </si>
  <si>
    <t>yesy</t>
  </si>
  <si>
    <t>gloria</t>
  </si>
  <si>
    <t>jenny</t>
  </si>
  <si>
    <t>patricia</t>
  </si>
  <si>
    <t>thali</t>
  </si>
  <si>
    <t>barma</t>
  </si>
  <si>
    <t>yimera</t>
  </si>
  <si>
    <t>zulema</t>
  </si>
  <si>
    <t>maribel</t>
  </si>
  <si>
    <t>yanet</t>
  </si>
  <si>
    <t>Samantha</t>
  </si>
  <si>
    <t>Luz</t>
  </si>
  <si>
    <t>yole</t>
  </si>
  <si>
    <t>pendiente de pago</t>
  </si>
  <si>
    <t>greter</t>
  </si>
  <si>
    <t>lurdita</t>
  </si>
  <si>
    <t>dunia</t>
  </si>
  <si>
    <t>aracelia</t>
  </si>
  <si>
    <t>yoly</t>
  </si>
  <si>
    <t>dayana</t>
  </si>
  <si>
    <t>baby</t>
  </si>
  <si>
    <t>kira</t>
  </si>
  <si>
    <t>rosmery</t>
  </si>
  <si>
    <t>Lilian</t>
  </si>
  <si>
    <t>janet</t>
  </si>
  <si>
    <t>thalía</t>
  </si>
  <si>
    <t>lorena</t>
  </si>
  <si>
    <t>acelia</t>
  </si>
  <si>
    <t>deborah</t>
  </si>
  <si>
    <t>baby se la queda</t>
  </si>
  <si>
    <t>Diana</t>
  </si>
  <si>
    <t>Encargo mónica</t>
  </si>
  <si>
    <t>mely</t>
  </si>
  <si>
    <t>yane</t>
  </si>
  <si>
    <t>Malu</t>
  </si>
  <si>
    <t>Encargo lissette</t>
  </si>
  <si>
    <t>Jean campana</t>
  </si>
  <si>
    <t>asignar nombre del gestor</t>
  </si>
  <si>
    <t>dayareni</t>
  </si>
  <si>
    <t>Adiel</t>
  </si>
  <si>
    <t>glenda</t>
  </si>
  <si>
    <t>fernanda</t>
  </si>
  <si>
    <t>Nahimi</t>
  </si>
  <si>
    <t>eliane</t>
  </si>
  <si>
    <t>annia</t>
  </si>
  <si>
    <t>thalia</t>
  </si>
  <si>
    <t>alina</t>
  </si>
  <si>
    <t>amanda</t>
  </si>
  <si>
    <t>erika</t>
  </si>
  <si>
    <t>jenni</t>
  </si>
  <si>
    <t>arita</t>
  </si>
  <si>
    <t>mayda</t>
  </si>
  <si>
    <t>ko</t>
  </si>
  <si>
    <t>dulce</t>
  </si>
  <si>
    <t>Reyima</t>
  </si>
  <si>
    <t>Mayra</t>
  </si>
  <si>
    <t>encargo</t>
  </si>
  <si>
    <t>katheryn</t>
  </si>
  <si>
    <t>asignar vendedor</t>
  </si>
  <si>
    <t>se lo ocmpro para ella</t>
  </si>
  <si>
    <t>esperanza</t>
  </si>
  <si>
    <t>Sarai</t>
  </si>
  <si>
    <t>beatriz</t>
  </si>
  <si>
    <t>merilan</t>
  </si>
  <si>
    <t>maivis</t>
  </si>
  <si>
    <t>sury</t>
  </si>
  <si>
    <t>dani</t>
  </si>
  <si>
    <t>baby por cobrar</t>
  </si>
  <si>
    <t>por cobrar</t>
  </si>
  <si>
    <t>Ania</t>
  </si>
  <si>
    <t>Marime</t>
  </si>
  <si>
    <t>claudia</t>
  </si>
  <si>
    <t>karla</t>
  </si>
  <si>
    <t>Tamara</t>
  </si>
  <si>
    <t>ismary</t>
  </si>
  <si>
    <t>isabel</t>
  </si>
  <si>
    <t>kirenia</t>
  </si>
  <si>
    <t>ana maria</t>
  </si>
  <si>
    <t>mary</t>
  </si>
  <si>
    <t>natalia</t>
  </si>
  <si>
    <t>patri</t>
  </si>
  <si>
    <t>sofia</t>
  </si>
  <si>
    <t>judith</t>
  </si>
  <si>
    <t>barbara</t>
  </si>
  <si>
    <t>nathalia</t>
  </si>
  <si>
    <t>edna</t>
  </si>
  <si>
    <t>melisa</t>
  </si>
  <si>
    <t>stefani</t>
  </si>
  <si>
    <t>Nao</t>
  </si>
  <si>
    <t>eli</t>
  </si>
  <si>
    <t>gabriela</t>
  </si>
  <si>
    <t>yasmi</t>
  </si>
  <si>
    <t>doralis</t>
  </si>
  <si>
    <t>naidelys</t>
  </si>
  <si>
    <t>legna</t>
  </si>
  <si>
    <t>yurina</t>
  </si>
  <si>
    <t>arletis</t>
  </si>
  <si>
    <t>Claudia Yili</t>
  </si>
  <si>
    <t>daysbel</t>
  </si>
  <si>
    <t>klaudiña</t>
  </si>
  <si>
    <t>madeline</t>
  </si>
  <si>
    <t>ariadna</t>
  </si>
  <si>
    <t>anita</t>
  </si>
  <si>
    <t>yumy</t>
  </si>
  <si>
    <t>Gercy</t>
  </si>
  <si>
    <t>maibi</t>
  </si>
  <si>
    <t>yulieth</t>
  </si>
  <si>
    <t>betsy</t>
  </si>
  <si>
    <t>yoelbys</t>
  </si>
  <si>
    <t>chabely</t>
  </si>
  <si>
    <t>amy</t>
  </si>
  <si>
    <t>eliani</t>
  </si>
  <si>
    <t>yuyi</t>
  </si>
  <si>
    <t>nayelis</t>
  </si>
  <si>
    <t>ernesto</t>
  </si>
  <si>
    <t>yusleyvi</t>
  </si>
  <si>
    <t>dayami</t>
  </si>
  <si>
    <t>miladys</t>
  </si>
  <si>
    <t>ayexa</t>
  </si>
  <si>
    <t>daniela</t>
  </si>
  <si>
    <t>arlette</t>
  </si>
  <si>
    <t>sarai</t>
  </si>
  <si>
    <t>clienta marmolina</t>
  </si>
  <si>
    <t>Luanda</t>
  </si>
  <si>
    <t>isabella</t>
  </si>
  <si>
    <t>mío (Pagado 23 oct)</t>
  </si>
  <si>
    <t>mío (Pagado 24 oct)</t>
  </si>
  <si>
    <t>mío (Pagado 25 oct)</t>
  </si>
  <si>
    <t>mío (Pagado 26 oct)</t>
  </si>
  <si>
    <t>mío (Pagado 27 oct)</t>
  </si>
  <si>
    <t>mío (Pagado 28 oct)</t>
  </si>
  <si>
    <t>mío (Pagado 29 oct)</t>
  </si>
  <si>
    <t>mío (Pagado 30 oct)</t>
  </si>
  <si>
    <t>baby (pagado yilian baby deuda mía)</t>
  </si>
  <si>
    <t>mío mío (Pagado 30 oct)</t>
  </si>
  <si>
    <t>mío mío (Pagado 31 oct)</t>
  </si>
  <si>
    <t>mío mío (Pagado 32 oct)</t>
  </si>
  <si>
    <t>mío mío (Pagado 33 oct)</t>
  </si>
  <si>
    <t>mío mío (Pagado 34 oct)</t>
  </si>
  <si>
    <t>SOLO LLENAR SI TIENE GESTOR
USAR SIEMPRE EL MISMO NOMBRE PARA EL GESTOR</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</si>
  <si>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</si>
  <si>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BLETTA58</t>
  </si>
  <si>
    <t>BU04337</t>
  </si>
  <si>
    <t>BU04343</t>
  </si>
  <si>
    <t>BU04345</t>
  </si>
  <si>
    <t>i) NO BORRAR ESTA FILA ii) NO ESCRIBIR NADA DEBAJO DE ESTA FILA, iii) PARA CREAR UNA NUEVA, MARCA ESTA FILA COMPLETA Y DALE EN EL BOTON INSERTAR</t>
  </si>
</sst>
</file>

<file path=xl/styles.xml><?xml version="1.0" encoding="utf-8"?>
<styleSheet xmlns="http://schemas.openxmlformats.org/spreadsheetml/2006/main">
  <numFmts count="8">
    <numFmt numFmtId="44" formatCode="_-&quot;£&quot;* #,##0.00_-;\-&quot;£&quot;* #,##0.00_-;_-&quot;£&quot;* &quot;-&quot;??_-;_-@_-"/>
    <numFmt numFmtId="176" formatCode="_-&quot;$&quot;* #,##0.00_-;\-&quot;$&quot;* #,##0.00_-;_-&quot;$&quot;* &quot;-&quot;??_-;_-@_-"/>
    <numFmt numFmtId="41" formatCode="_-* #,##0_-;\-* #,##0_-;_-* &quot;-&quot;_-;_-@_-"/>
    <numFmt numFmtId="42" formatCode="_-&quot;£&quot;* #,##0_-;\-&quot;£&quot;* #,##0_-;_-&quot;£&quot;* &quot;-&quot;_-;_-@_-"/>
    <numFmt numFmtId="177" formatCode="&quot;$&quot;#,##0.0"/>
    <numFmt numFmtId="178" formatCode="&quot;$&quot;#,##0.00"/>
    <numFmt numFmtId="43" formatCode="_-* #,##0.00_-;\-* #,##0.00_-;_-* &quot;-&quot;??_-;_-@_-"/>
    <numFmt numFmtId="179" formatCode="dd\-mmm"/>
  </numFmts>
  <fonts count="46">
    <font>
      <sz val="1"/>
      <color indexed="8"/>
      <name val="Helvetica Neue"/>
      <charset val="134"/>
    </font>
    <font>
      <b/>
      <sz val="10"/>
      <color theme="0" tint="-0.0499893185216834"/>
      <name val="Helvetica Neue (Body)"/>
      <charset val="134"/>
    </font>
    <font>
      <sz val="10"/>
      <color indexed="8"/>
      <name val="Helvetica Neue"/>
      <charset val="134"/>
    </font>
    <font>
      <sz val="10"/>
      <color indexed="8"/>
      <name val="Helvetica Neue"/>
      <charset val="134"/>
      <scheme val="major"/>
    </font>
    <font>
      <sz val="10"/>
      <color rgb="FF000000"/>
      <name val="Helvetica Neue"/>
      <charset val="134"/>
      <scheme val="major"/>
    </font>
    <font>
      <b/>
      <sz val="10"/>
      <color rgb="FF000000"/>
      <name val="Helvetica Neue"/>
      <charset val="134"/>
      <scheme val="major"/>
    </font>
    <font>
      <sz val="10"/>
      <color rgb="FF000000"/>
      <name val="Helvetica Neue"/>
      <charset val="134"/>
    </font>
    <font>
      <sz val="10"/>
      <color theme="1"/>
      <name val="Helvetica Neue"/>
      <charset val="134"/>
    </font>
    <font>
      <sz val="9"/>
      <color indexed="8"/>
      <name val="Helvetica Neue"/>
      <charset val="134"/>
    </font>
    <font>
      <b/>
      <sz val="10"/>
      <color theme="0"/>
      <name val="Helvetica Neue"/>
      <charset val="134"/>
    </font>
    <font>
      <sz val="9"/>
      <color rgb="FF000000"/>
      <name val="Helvetica Neue"/>
      <charset val="134"/>
    </font>
    <font>
      <sz val="9"/>
      <color indexed="8"/>
      <name val="Helvetica Neue"/>
      <charset val="134"/>
      <scheme val="major"/>
    </font>
    <font>
      <i/>
      <sz val="9"/>
      <color indexed="8"/>
      <name val="Helvetica Neue"/>
      <charset val="134"/>
    </font>
    <font>
      <b/>
      <sz val="9"/>
      <color indexed="8"/>
      <name val="Helvetica Neue"/>
      <charset val="134"/>
    </font>
    <font>
      <b/>
      <sz val="9"/>
      <color indexed="8"/>
      <name val="Helvetica Neue"/>
      <charset val="134"/>
      <scheme val="major"/>
    </font>
    <font>
      <b/>
      <sz val="9"/>
      <color theme="0"/>
      <name val="Helvetica Neue"/>
      <charset val="134"/>
    </font>
    <font>
      <b/>
      <sz val="9"/>
      <color theme="0"/>
      <name val="Helvetica Neue (Headings)"/>
      <charset val="134"/>
    </font>
    <font>
      <sz val="12"/>
      <color indexed="8"/>
      <name val="Helvetica Neue (Body)"/>
      <charset val="134"/>
    </font>
    <font>
      <b/>
      <sz val="10"/>
      <color indexed="8"/>
      <name val="Helvetica Neue"/>
      <charset val="134"/>
      <scheme val="minor"/>
    </font>
    <font>
      <b/>
      <sz val="12"/>
      <color theme="2" tint="-0.899990844447157"/>
      <name val="Helvetica Neue (Body)"/>
      <charset val="134"/>
    </font>
    <font>
      <u/>
      <sz val="10"/>
      <color indexed="8"/>
      <name val="Helvetica Neue"/>
      <charset val="134"/>
      <scheme val="major"/>
    </font>
    <font>
      <b/>
      <sz val="10"/>
      <color indexed="8"/>
      <name val="Helvetica Neue"/>
      <charset val="134"/>
      <scheme val="major"/>
    </font>
    <font>
      <b/>
      <sz val="10"/>
      <color theme="0"/>
      <name val="Helvetica Neue (Headings)"/>
      <charset val="134"/>
    </font>
    <font>
      <u/>
      <sz val="11"/>
      <color rgb="FF0000FF"/>
      <name val="Helvetica Neue"/>
      <charset val="0"/>
      <scheme val="minor"/>
    </font>
    <font>
      <sz val="11"/>
      <color theme="0"/>
      <name val="Helvetica Neue"/>
      <charset val="0"/>
      <scheme val="minor"/>
    </font>
    <font>
      <b/>
      <sz val="11"/>
      <color rgb="FFFFFFFF"/>
      <name val="Helvetica Neue"/>
      <charset val="0"/>
      <scheme val="minor"/>
    </font>
    <font>
      <sz val="11"/>
      <color theme="1"/>
      <name val="Helvetica Neue"/>
      <charset val="134"/>
      <scheme val="minor"/>
    </font>
    <font>
      <b/>
      <sz val="13"/>
      <color theme="3"/>
      <name val="Helvetica Neue"/>
      <charset val="134"/>
      <scheme val="minor"/>
    </font>
    <font>
      <u/>
      <sz val="11"/>
      <color rgb="FF800080"/>
      <name val="Helvetica Neue"/>
      <charset val="0"/>
      <scheme val="minor"/>
    </font>
    <font>
      <b/>
      <sz val="11"/>
      <color rgb="FF3F3F3F"/>
      <name val="Helvetica Neue"/>
      <charset val="0"/>
      <scheme val="minor"/>
    </font>
    <font>
      <sz val="11"/>
      <color rgb="FFFF0000"/>
      <name val="Helvetica Neue"/>
      <charset val="0"/>
      <scheme val="minor"/>
    </font>
    <font>
      <i/>
      <sz val="11"/>
      <color rgb="FF7F7F7F"/>
      <name val="Helvetica Neue"/>
      <charset val="0"/>
      <scheme val="minor"/>
    </font>
    <font>
      <b/>
      <sz val="11"/>
      <color theme="3"/>
      <name val="Helvetica Neue"/>
      <charset val="134"/>
      <scheme val="minor"/>
    </font>
    <font>
      <sz val="11"/>
      <color rgb="FF006100"/>
      <name val="Helvetica Neue"/>
      <charset val="0"/>
      <scheme val="minor"/>
    </font>
    <font>
      <sz val="11"/>
      <color rgb="FF3F3F76"/>
      <name val="Helvetica Neue"/>
      <charset val="0"/>
      <scheme val="minor"/>
    </font>
    <font>
      <sz val="11"/>
      <color theme="1"/>
      <name val="Helvetica Neue"/>
      <charset val="0"/>
      <scheme val="minor"/>
    </font>
    <font>
      <sz val="11"/>
      <color rgb="FF9C6500"/>
      <name val="Helvetica Neue"/>
      <charset val="0"/>
      <scheme val="minor"/>
    </font>
    <font>
      <b/>
      <sz val="18"/>
      <color theme="3"/>
      <name val="Helvetica Neue"/>
      <charset val="134"/>
      <scheme val="minor"/>
    </font>
    <font>
      <b/>
      <sz val="11"/>
      <color theme="1"/>
      <name val="Helvetica Neue"/>
      <charset val="0"/>
      <scheme val="minor"/>
    </font>
    <font>
      <b/>
      <sz val="15"/>
      <color theme="3"/>
      <name val="Helvetica Neue"/>
      <charset val="134"/>
      <scheme val="minor"/>
    </font>
    <font>
      <sz val="12"/>
      <color theme="1"/>
      <name val="Helvetica Neue"/>
      <charset val="134"/>
      <scheme val="minor"/>
    </font>
    <font>
      <sz val="11"/>
      <color rgb="FF9C0006"/>
      <name val="Helvetica Neue"/>
      <charset val="0"/>
      <scheme val="minor"/>
    </font>
    <font>
      <sz val="11"/>
      <color rgb="FFFA7D00"/>
      <name val="Helvetica Neue"/>
      <charset val="0"/>
      <scheme val="minor"/>
    </font>
    <font>
      <b/>
      <sz val="11"/>
      <color rgb="FFFA7D00"/>
      <name val="Helvetica Neue"/>
      <charset val="0"/>
      <scheme val="minor"/>
    </font>
    <font>
      <sz val="10"/>
      <color rgb="FF000000"/>
      <name val="Tahoma"/>
      <charset val="134"/>
    </font>
    <font>
      <b/>
      <sz val="10"/>
      <color rgb="FF000000"/>
      <name val="Tahoma"/>
      <charset val="134"/>
    </font>
  </fonts>
  <fills count="39">
    <fill>
      <patternFill patternType="none"/>
    </fill>
    <fill>
      <patternFill patternType="gray125"/>
    </fill>
    <fill>
      <patternFill patternType="solid">
        <fgColor theme="6" tint="-0.249977111117893"/>
        <bgColor indexed="64"/>
      </patternFill>
    </fill>
    <fill>
      <patternFill patternType="solid">
        <fgColor rgb="FF002060"/>
        <bgColor indexed="64"/>
      </patternFill>
    </fill>
    <fill>
      <patternFill patternType="solid">
        <fgColor theme="7" tint="0.399975585192419"/>
        <bgColor indexed="64"/>
      </patternFill>
    </fill>
    <fill>
      <patternFill patternType="solid">
        <fgColor theme="8"/>
        <bgColor indexed="64"/>
      </patternFill>
    </fill>
    <fill>
      <patternFill patternType="solid">
        <fgColor theme="6" tint="0.399975585192419"/>
        <bgColor indexed="64"/>
      </patternFill>
    </fill>
    <fill>
      <patternFill patternType="solid">
        <fgColor theme="0"/>
        <bgColor indexed="64"/>
      </patternFill>
    </fill>
    <fill>
      <patternFill patternType="solid">
        <fgColor theme="0"/>
        <bgColor rgb="FFCEFBF5"/>
      </patternFill>
    </fill>
    <fill>
      <patternFill patternType="solid">
        <fgColor theme="7"/>
        <bgColor indexed="64"/>
      </patternFill>
    </fill>
    <fill>
      <patternFill patternType="solid">
        <fgColor rgb="FF00B050"/>
        <bgColor indexed="64"/>
      </patternFill>
    </fill>
    <fill>
      <patternFill patternType="solid">
        <fgColor theme="6" tint="0.799981688894314"/>
        <bgColor indexed="64"/>
      </patternFill>
    </fill>
    <fill>
      <patternFill patternType="solid">
        <fgColor theme="6"/>
        <bgColor indexed="64"/>
      </patternFill>
    </fill>
    <fill>
      <patternFill patternType="solid">
        <fgColor theme="8" tint="-0.249977111117893"/>
        <bgColor rgb="FF000000"/>
      </patternFill>
    </fill>
    <fill>
      <patternFill patternType="solid">
        <fgColor rgb="FFA5A5A5"/>
        <bgColor indexed="64"/>
      </patternFill>
    </fill>
    <fill>
      <patternFill patternType="solid">
        <fgColor rgb="FFF2F2F2"/>
        <bgColor indexed="64"/>
      </patternFill>
    </fill>
    <fill>
      <patternFill patternType="solid">
        <fgColor theme="8" tint="0.399975585192419"/>
        <bgColor indexed="64"/>
      </patternFill>
    </fill>
    <fill>
      <patternFill patternType="solid">
        <fgColor theme="5" tint="0.399975585192419"/>
        <bgColor indexed="64"/>
      </patternFill>
    </fill>
    <fill>
      <patternFill patternType="solid">
        <fgColor rgb="FFC6EFCE"/>
        <bgColor indexed="64"/>
      </patternFill>
    </fill>
    <fill>
      <patternFill patternType="solid">
        <fgColor rgb="FFFFCC99"/>
        <bgColor indexed="64"/>
      </patternFill>
    </fill>
    <fill>
      <patternFill patternType="solid">
        <fgColor rgb="FFFFFFCC"/>
        <bgColor indexed="64"/>
      </patternFill>
    </fill>
    <fill>
      <patternFill patternType="solid">
        <fgColor rgb="FFFFEB9C"/>
        <bgColor indexed="64"/>
      </patternFill>
    </fill>
    <fill>
      <patternFill patternType="solid">
        <fgColor theme="9" tint="0.399975585192419"/>
        <bgColor indexed="64"/>
      </patternFill>
    </fill>
    <fill>
      <patternFill patternType="solid">
        <fgColor theme="7" tint="0.799981688894314"/>
        <bgColor indexed="64"/>
      </patternFill>
    </fill>
    <fill>
      <patternFill patternType="solid">
        <fgColor theme="4" tint="0.399975585192419"/>
        <bgColor indexed="64"/>
      </patternFill>
    </fill>
    <fill>
      <patternFill patternType="solid">
        <fgColor theme="9"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5" tint="0.599993896298105"/>
        <bgColor indexed="64"/>
      </patternFill>
    </fill>
    <fill>
      <patternFill patternType="solid">
        <fgColor theme="8" tint="0.799981688894314"/>
        <bgColor indexed="64"/>
      </patternFill>
    </fill>
    <fill>
      <patternFill patternType="solid">
        <fgColor theme="4" tint="0.599993896298105"/>
        <bgColor indexed="64"/>
      </patternFill>
    </fill>
    <fill>
      <patternFill patternType="solid">
        <fgColor theme="6" tint="0.599993896298105"/>
        <bgColor indexed="64"/>
      </patternFill>
    </fill>
    <fill>
      <patternFill patternType="solid">
        <fgColor theme="7" tint="0.599993896298105"/>
        <bgColor indexed="64"/>
      </patternFill>
    </fill>
    <fill>
      <patternFill patternType="solid">
        <fgColor rgb="FFFFC7CE"/>
        <bgColor indexed="64"/>
      </patternFill>
    </fill>
    <fill>
      <patternFill patternType="solid">
        <fgColor theme="5"/>
        <bgColor indexed="64"/>
      </patternFill>
    </fill>
    <fill>
      <patternFill patternType="solid">
        <fgColor theme="9"/>
        <bgColor indexed="64"/>
      </patternFill>
    </fill>
    <fill>
      <patternFill patternType="solid">
        <fgColor theme="9" tint="0.599993896298105"/>
        <bgColor indexed="64"/>
      </patternFill>
    </fill>
    <fill>
      <patternFill patternType="solid">
        <fgColor theme="5" tint="0.799981688894314"/>
        <bgColor indexed="64"/>
      </patternFill>
    </fill>
    <fill>
      <patternFill patternType="solid">
        <fgColor theme="8" tint="0.599993896298105"/>
        <bgColor indexed="64"/>
      </patternFill>
    </fill>
  </fills>
  <borders count="17">
    <border>
      <left/>
      <right/>
      <top/>
      <bottom/>
      <diagonal/>
    </border>
    <border>
      <left style="thin">
        <color theme="0" tint="-0.0499893185216834"/>
      </left>
      <right style="thin">
        <color theme="0" tint="-0.0499893185216834"/>
      </right>
      <top style="thin">
        <color theme="0" tint="-0.0499893185216834"/>
      </top>
      <bottom style="thin">
        <color theme="0" tint="-0.0499893185216834"/>
      </bottom>
      <diagonal/>
    </border>
    <border>
      <left style="thin">
        <color rgb="FFF2F2F2"/>
      </left>
      <right style="thin">
        <color rgb="FFF2F2F2"/>
      </right>
      <top style="thin">
        <color rgb="FFF2F2F2"/>
      </top>
      <bottom style="thin">
        <color rgb="FFF2F2F2"/>
      </bottom>
      <diagonal/>
    </border>
    <border>
      <left style="thin">
        <color theme="0" tint="-0.0499893185216834"/>
      </left>
      <right style="thin">
        <color theme="0" tint="-0.0499893185216834"/>
      </right>
      <top style="thin">
        <color theme="0" tint="-0.0499893185216834"/>
      </top>
      <bottom/>
      <diagonal/>
    </border>
    <border>
      <left style="thin">
        <color theme="3" tint="0.799981688894314"/>
      </left>
      <right style="thin">
        <color theme="3" tint="0.799981688894314"/>
      </right>
      <top style="thin">
        <color theme="3" tint="0.799981688894314"/>
      </top>
      <bottom style="thin">
        <color theme="3" tint="0.799981688894314"/>
      </bottom>
      <diagonal/>
    </border>
    <border>
      <left style="thin">
        <color theme="0" tint="-0.0499893185216834"/>
      </left>
      <right style="thin">
        <color theme="0" tint="-0.0499893185216834"/>
      </right>
      <top/>
      <bottom style="thin">
        <color theme="0" tint="-0.0499893185216834"/>
      </bottom>
      <diagonal/>
    </border>
    <border>
      <left style="thin">
        <color theme="0" tint="-0.499984740745262"/>
      </left>
      <right style="thin">
        <color theme="0" tint="-0.499984740745262"/>
      </right>
      <top/>
      <bottom style="thin">
        <color theme="0" tint="-0.499984740745262"/>
      </bottom>
      <diagonal/>
    </border>
    <border>
      <left style="thin">
        <color theme="0" tint="-0.0499893185216834"/>
      </left>
      <right style="thin">
        <color theme="0" tint="-0.0499893185216834"/>
      </right>
      <top/>
      <bottom/>
      <diagonal/>
    </border>
    <border>
      <left/>
      <right style="thin">
        <color theme="0" tint="-0.0499893185216834"/>
      </right>
      <top/>
      <bottom style="thin">
        <color theme="0" tint="-0.0499893185216834"/>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double">
        <color rgb="FFFF8001"/>
      </bottom>
      <diagonal/>
    </border>
  </borders>
  <cellStyleXfs count="52">
    <xf numFmtId="0" fontId="0" fillId="0" borderId="0" applyNumberFormat="0" applyFill="0" applyBorder="0" applyProtection="0">
      <alignment vertical="top" wrapText="1"/>
    </xf>
    <xf numFmtId="176" fontId="40" fillId="0" borderId="0" applyFont="0" applyFill="0" applyBorder="0" applyAlignment="0" applyProtection="0"/>
    <xf numFmtId="0" fontId="40" fillId="0" borderId="0"/>
    <xf numFmtId="0" fontId="24" fillId="22" borderId="0" applyNumberFormat="0" applyBorder="0" applyAlignment="0" applyProtection="0">
      <alignment vertical="center"/>
    </xf>
    <xf numFmtId="0" fontId="35" fillId="36" borderId="0" applyNumberFormat="0" applyBorder="0" applyAlignment="0" applyProtection="0">
      <alignment vertical="center"/>
    </xf>
    <xf numFmtId="0" fontId="24" fillId="16" borderId="0" applyNumberFormat="0" applyBorder="0" applyAlignment="0" applyProtection="0">
      <alignment vertical="center"/>
    </xf>
    <xf numFmtId="0" fontId="24" fillId="35" borderId="0" applyNumberFormat="0" applyBorder="0" applyAlignment="0" applyProtection="0">
      <alignment vertical="center"/>
    </xf>
    <xf numFmtId="0" fontId="35" fillId="38" borderId="0" applyNumberFormat="0" applyBorder="0" applyAlignment="0" applyProtection="0">
      <alignment vertical="center"/>
    </xf>
    <xf numFmtId="0" fontId="35" fillId="29" borderId="0" applyNumberFormat="0" applyBorder="0" applyAlignment="0" applyProtection="0">
      <alignment vertical="center"/>
    </xf>
    <xf numFmtId="0" fontId="24" fillId="4" borderId="0" applyNumberFormat="0" applyBorder="0" applyAlignment="0" applyProtection="0">
      <alignment vertical="center"/>
    </xf>
    <xf numFmtId="0" fontId="24" fillId="5" borderId="0" applyNumberFormat="0" applyBorder="0" applyAlignment="0" applyProtection="0">
      <alignment vertical="center"/>
    </xf>
    <xf numFmtId="0" fontId="35" fillId="32" borderId="0" applyNumberFormat="0" applyBorder="0" applyAlignment="0" applyProtection="0">
      <alignment vertical="center"/>
    </xf>
    <xf numFmtId="0" fontId="24" fillId="9" borderId="0" applyNumberFormat="0" applyBorder="0" applyAlignment="0" applyProtection="0">
      <alignment vertical="center"/>
    </xf>
    <xf numFmtId="0" fontId="42" fillId="0" borderId="16" applyNumberFormat="0" applyFill="0" applyAlignment="0" applyProtection="0">
      <alignment vertical="center"/>
    </xf>
    <xf numFmtId="0" fontId="35" fillId="31" borderId="0" applyNumberFormat="0" applyBorder="0" applyAlignment="0" applyProtection="0">
      <alignment vertical="center"/>
    </xf>
    <xf numFmtId="0" fontId="24" fillId="17" borderId="0" applyNumberFormat="0" applyBorder="0" applyAlignment="0" applyProtection="0">
      <alignment vertical="center"/>
    </xf>
    <xf numFmtId="0" fontId="24" fillId="12" borderId="0" applyNumberFormat="0" applyBorder="0" applyAlignment="0" applyProtection="0">
      <alignment vertical="center"/>
    </xf>
    <xf numFmtId="0" fontId="35" fillId="28" borderId="0" applyNumberFormat="0" applyBorder="0" applyAlignment="0" applyProtection="0">
      <alignment vertical="center"/>
    </xf>
    <xf numFmtId="0" fontId="35" fillId="37" borderId="0" applyNumberFormat="0" applyBorder="0" applyAlignment="0" applyProtection="0">
      <alignment vertical="center"/>
    </xf>
    <xf numFmtId="0" fontId="24" fillId="34" borderId="0" applyNumberFormat="0" applyBorder="0" applyAlignment="0" applyProtection="0">
      <alignment vertical="center"/>
    </xf>
    <xf numFmtId="0" fontId="35" fillId="30" borderId="0" applyNumberFormat="0" applyBorder="0" applyAlignment="0" applyProtection="0">
      <alignment vertical="center"/>
    </xf>
    <xf numFmtId="0" fontId="2" fillId="0" borderId="0" applyNumberFormat="0" applyFill="0" applyBorder="0" applyProtection="0">
      <alignment vertical="top" wrapText="1"/>
    </xf>
    <xf numFmtId="0" fontId="35" fillId="27" borderId="0" applyNumberFormat="0" applyBorder="0" applyAlignment="0" applyProtection="0">
      <alignment vertical="center"/>
    </xf>
    <xf numFmtId="0" fontId="24" fillId="26" borderId="0" applyNumberFormat="0" applyBorder="0" applyAlignment="0" applyProtection="0">
      <alignment vertical="center"/>
    </xf>
    <xf numFmtId="0" fontId="36" fillId="21" borderId="0" applyNumberFormat="0" applyBorder="0" applyAlignment="0" applyProtection="0">
      <alignment vertical="center"/>
    </xf>
    <xf numFmtId="0" fontId="24" fillId="24" borderId="0" applyNumberFormat="0" applyBorder="0" applyAlignment="0" applyProtection="0">
      <alignment vertical="center"/>
    </xf>
    <xf numFmtId="0" fontId="41" fillId="33" borderId="0" applyNumberFormat="0" applyBorder="0" applyAlignment="0" applyProtection="0">
      <alignment vertical="center"/>
    </xf>
    <xf numFmtId="0" fontId="35" fillId="23" borderId="0" applyNumberFormat="0" applyBorder="0" applyAlignment="0" applyProtection="0">
      <alignment vertical="center"/>
    </xf>
    <xf numFmtId="0" fontId="38" fillId="0" borderId="15" applyNumberFormat="0" applyFill="0" applyAlignment="0" applyProtection="0">
      <alignment vertical="center"/>
    </xf>
    <xf numFmtId="0" fontId="29" fillId="15" borderId="11" applyNumberFormat="0" applyAlignment="0" applyProtection="0">
      <alignment vertical="center"/>
    </xf>
    <xf numFmtId="44" fontId="26" fillId="0" borderId="0" applyFont="0" applyFill="0" applyBorder="0" applyAlignment="0" applyProtection="0">
      <alignment vertical="center"/>
    </xf>
    <xf numFmtId="0" fontId="35" fillId="11" borderId="0" applyNumberFormat="0" applyBorder="0" applyAlignment="0" applyProtection="0">
      <alignment vertical="center"/>
    </xf>
    <xf numFmtId="0" fontId="26" fillId="20" borderId="14" applyNumberFormat="0" applyFont="0" applyAlignment="0" applyProtection="0">
      <alignment vertical="center"/>
    </xf>
    <xf numFmtId="0" fontId="34" fillId="19" borderId="13" applyNumberFormat="0" applyAlignment="0" applyProtection="0">
      <alignment vertical="center"/>
    </xf>
    <xf numFmtId="0" fontId="32" fillId="0" borderId="0" applyNumberFormat="0" applyFill="0" applyBorder="0" applyAlignment="0" applyProtection="0">
      <alignment vertical="center"/>
    </xf>
    <xf numFmtId="0" fontId="43" fillId="15" borderId="13" applyNumberFormat="0" applyAlignment="0" applyProtection="0">
      <alignment vertical="center"/>
    </xf>
    <xf numFmtId="0" fontId="33" fillId="18" borderId="0" applyNumberFormat="0" applyBorder="0" applyAlignment="0" applyProtection="0">
      <alignment vertical="center"/>
    </xf>
    <xf numFmtId="0" fontId="32" fillId="0" borderId="12" applyNumberFormat="0" applyFill="0" applyAlignment="0" applyProtection="0">
      <alignment vertical="center"/>
    </xf>
    <xf numFmtId="0" fontId="31" fillId="0" borderId="0" applyNumberFormat="0" applyFill="0" applyBorder="0" applyAlignment="0" applyProtection="0">
      <alignment vertical="center"/>
    </xf>
    <xf numFmtId="0" fontId="39" fillId="0" borderId="10" applyNumberFormat="0" applyFill="0" applyAlignment="0" applyProtection="0">
      <alignment vertical="center"/>
    </xf>
    <xf numFmtId="41" fontId="26" fillId="0" borderId="0" applyFont="0" applyFill="0" applyBorder="0" applyAlignment="0" applyProtection="0">
      <alignment vertical="center"/>
    </xf>
    <xf numFmtId="0" fontId="35" fillId="25" borderId="0" applyNumberFormat="0" applyBorder="0" applyAlignment="0" applyProtection="0">
      <alignment vertical="center"/>
    </xf>
    <xf numFmtId="0" fontId="37" fillId="0" borderId="0" applyNumberFormat="0" applyFill="0" applyBorder="0" applyAlignment="0" applyProtection="0">
      <alignment vertical="center"/>
    </xf>
    <xf numFmtId="42" fontId="26" fillId="0" borderId="0" applyFont="0" applyFill="0" applyBorder="0" applyAlignment="0" applyProtection="0">
      <alignment vertical="center"/>
    </xf>
    <xf numFmtId="0" fontId="30" fillId="0" borderId="0" applyNumberFormat="0" applyFill="0" applyBorder="0" applyAlignment="0" applyProtection="0">
      <alignment vertical="center"/>
    </xf>
    <xf numFmtId="0" fontId="28" fillId="0" borderId="0" applyNumberFormat="0" applyFill="0" applyBorder="0" applyAlignment="0" applyProtection="0">
      <alignment vertical="center"/>
    </xf>
    <xf numFmtId="0" fontId="27" fillId="0" borderId="10" applyNumberFormat="0" applyFill="0" applyAlignment="0" applyProtection="0">
      <alignment vertical="center"/>
    </xf>
    <xf numFmtId="43" fontId="26" fillId="0" borderId="0" applyFont="0" applyFill="0" applyBorder="0" applyAlignment="0" applyProtection="0">
      <alignment vertical="center"/>
    </xf>
    <xf numFmtId="0" fontId="25" fillId="14" borderId="9" applyNumberFormat="0" applyAlignment="0" applyProtection="0">
      <alignment vertical="center"/>
    </xf>
    <xf numFmtId="0" fontId="24" fillId="6" borderId="0" applyNumberFormat="0" applyBorder="0" applyAlignment="0" applyProtection="0">
      <alignment vertical="center"/>
    </xf>
    <xf numFmtId="9" fontId="26" fillId="0" borderId="0" applyFont="0" applyFill="0" applyBorder="0" applyAlignment="0" applyProtection="0">
      <alignment vertical="center"/>
    </xf>
    <xf numFmtId="0" fontId="23" fillId="0" borderId="0" applyNumberFormat="0" applyFill="0" applyBorder="0" applyAlignment="0" applyProtection="0">
      <alignment vertical="center"/>
    </xf>
  </cellStyleXfs>
  <cellXfs count="108">
    <xf numFmtId="0" fontId="0" fillId="0" borderId="0" xfId="0">
      <alignment vertical="top" wrapText="1"/>
    </xf>
    <xf numFmtId="0" fontId="0" fillId="2" borderId="0" xfId="0" applyFill="1" applyAlignment="1">
      <alignment vertical="center" wrapText="1"/>
    </xf>
    <xf numFmtId="0" fontId="0" fillId="0" borderId="0" xfId="0" applyFill="1">
      <alignment vertical="top" wrapText="1"/>
    </xf>
    <xf numFmtId="0" fontId="1" fillId="3" borderId="0" xfId="0" applyFont="1" applyFill="1">
      <alignment vertical="top" wrapText="1"/>
    </xf>
    <xf numFmtId="0" fontId="2" fillId="2" borderId="0" xfId="0" applyFont="1" applyFill="1" applyAlignment="1">
      <alignment vertical="center" wrapText="1"/>
    </xf>
    <xf numFmtId="0" fontId="3" fillId="0" borderId="1" xfId="0" applyNumberFormat="1" applyFont="1" applyFill="1" applyBorder="1" applyAlignment="1">
      <alignment vertical="top"/>
    </xf>
    <xf numFmtId="178" fontId="3" fillId="0" borderId="1" xfId="0" applyNumberFormat="1" applyFont="1" applyFill="1" applyBorder="1" applyAlignment="1">
      <alignment horizontal="left" vertical="top"/>
    </xf>
    <xf numFmtId="0" fontId="2" fillId="0" borderId="0" xfId="0" applyFont="1" applyFill="1">
      <alignment vertical="top" wrapText="1"/>
    </xf>
    <xf numFmtId="1" fontId="0" fillId="0" borderId="0" xfId="0" applyNumberFormat="1" applyFill="1">
      <alignment vertical="top" wrapText="1"/>
    </xf>
    <xf numFmtId="0" fontId="0" fillId="0" borderId="0" xfId="0" applyNumberFormat="1" applyFill="1">
      <alignment vertical="top" wrapText="1"/>
    </xf>
    <xf numFmtId="0" fontId="3" fillId="0" borderId="1" xfId="0" applyNumberFormat="1" applyFont="1" applyFill="1" applyBorder="1" applyAlignment="1">
      <alignment horizontal="left" vertical="top"/>
    </xf>
    <xf numFmtId="0" fontId="4" fillId="0" borderId="1" xfId="0" applyNumberFormat="1" applyFont="1" applyFill="1" applyBorder="1">
      <alignment vertical="top" wrapText="1"/>
    </xf>
    <xf numFmtId="178" fontId="5" fillId="0" borderId="1" xfId="0" applyNumberFormat="1" applyFont="1" applyFill="1" applyBorder="1" applyAlignment="1">
      <alignment horizontal="left" vertical="top"/>
    </xf>
    <xf numFmtId="178" fontId="4" fillId="0" borderId="1" xfId="0" applyNumberFormat="1" applyFont="1" applyFill="1" applyBorder="1" applyAlignment="1">
      <alignment horizontal="left" vertical="top"/>
    </xf>
    <xf numFmtId="0" fontId="2" fillId="0" borderId="0" xfId="0" applyNumberFormat="1" applyFont="1" applyFill="1">
      <alignment vertical="top" wrapText="1"/>
    </xf>
    <xf numFmtId="0" fontId="6" fillId="0" borderId="2" xfId="0" applyNumberFormat="1" applyFont="1" applyFill="1" applyBorder="1" applyAlignment="1">
      <alignment vertical="top"/>
    </xf>
    <xf numFmtId="0" fontId="3" fillId="0" borderId="3" xfId="0" applyNumberFormat="1" applyFont="1" applyFill="1" applyBorder="1" applyAlignment="1">
      <alignment vertical="top"/>
    </xf>
    <xf numFmtId="0" fontId="0" fillId="0" borderId="0" xfId="0" applyNumberFormat="1" applyFill="1" applyBorder="1">
      <alignment vertical="top" wrapText="1"/>
    </xf>
    <xf numFmtId="0" fontId="1" fillId="3" borderId="1" xfId="0" applyNumberFormat="1" applyFont="1" applyFill="1" applyBorder="1" applyAlignment="1">
      <alignment vertical="top"/>
    </xf>
    <xf numFmtId="178" fontId="1" fillId="3" borderId="1" xfId="0" applyNumberFormat="1" applyFont="1" applyFill="1" applyBorder="1" applyAlignment="1">
      <alignment horizontal="left" vertical="top"/>
    </xf>
    <xf numFmtId="0" fontId="1" fillId="3" borderId="0" xfId="0" applyNumberFormat="1" applyFont="1" applyFill="1" applyBorder="1">
      <alignment vertical="top" wrapText="1"/>
    </xf>
    <xf numFmtId="0" fontId="0" fillId="2" borderId="4" xfId="0" applyFill="1" applyBorder="1" applyAlignment="1">
      <alignment vertical="center" wrapText="1"/>
    </xf>
    <xf numFmtId="0" fontId="0" fillId="4" borderId="4" xfId="0" applyFill="1" applyBorder="1">
      <alignment vertical="top" wrapText="1"/>
    </xf>
    <xf numFmtId="0" fontId="0" fillId="5" borderId="4" xfId="0" applyFill="1" applyBorder="1">
      <alignment vertical="top" wrapText="1"/>
    </xf>
    <xf numFmtId="0" fontId="0" fillId="0" borderId="4" xfId="0" applyBorder="1">
      <alignment vertical="top" wrapText="1"/>
    </xf>
    <xf numFmtId="0" fontId="0" fillId="0" borderId="4" xfId="0" applyNumberFormat="1" applyBorder="1">
      <alignment vertical="top" wrapText="1"/>
    </xf>
    <xf numFmtId="178" fontId="0" fillId="0" borderId="4" xfId="0" applyNumberFormat="1" applyBorder="1">
      <alignment vertical="top" wrapText="1"/>
    </xf>
    <xf numFmtId="0" fontId="7" fillId="6" borderId="4" xfId="0" applyFont="1" applyFill="1" applyBorder="1" applyAlignment="1">
      <alignment horizontal="center" vertical="top" wrapText="1"/>
    </xf>
    <xf numFmtId="0" fontId="2" fillId="2" borderId="4" xfId="0" applyFont="1" applyFill="1" applyBorder="1" applyAlignment="1">
      <alignment vertical="center" wrapText="1"/>
    </xf>
    <xf numFmtId="179" fontId="8" fillId="0" borderId="4" xfId="0" applyNumberFormat="1" applyFont="1" applyBorder="1">
      <alignment vertical="top" wrapText="1"/>
    </xf>
    <xf numFmtId="0" fontId="8" fillId="0" borderId="4" xfId="0" applyFont="1" applyBorder="1">
      <alignment vertical="top" wrapText="1"/>
    </xf>
    <xf numFmtId="0" fontId="7" fillId="6" borderId="4" xfId="0" applyNumberFormat="1" applyFont="1" applyFill="1" applyBorder="1" applyAlignment="1">
      <alignment horizontal="center" vertical="top" wrapText="1"/>
    </xf>
    <xf numFmtId="0" fontId="2" fillId="2" borderId="4" xfId="0" applyNumberFormat="1" applyFont="1" applyFill="1" applyBorder="1" applyAlignment="1">
      <alignment vertical="center" wrapText="1"/>
    </xf>
    <xf numFmtId="178" fontId="2" fillId="2" borderId="4" xfId="0" applyNumberFormat="1" applyFont="1" applyFill="1" applyBorder="1" applyAlignment="1">
      <alignment vertical="center" wrapText="1"/>
    </xf>
    <xf numFmtId="0" fontId="8" fillId="0" borderId="4" xfId="0" applyNumberFormat="1" applyFont="1" applyBorder="1">
      <alignment vertical="top" wrapText="1"/>
    </xf>
    <xf numFmtId="178" fontId="8" fillId="0" borderId="4" xfId="0" applyNumberFormat="1" applyFont="1" applyBorder="1">
      <alignment vertical="top" wrapText="1"/>
    </xf>
    <xf numFmtId="0" fontId="9" fillId="7" borderId="4" xfId="0" applyFont="1" applyFill="1" applyBorder="1">
      <alignment vertical="top" wrapText="1"/>
    </xf>
    <xf numFmtId="178" fontId="0" fillId="7" borderId="4" xfId="0" applyNumberFormat="1" applyFill="1" applyBorder="1">
      <alignment vertical="top" wrapText="1"/>
    </xf>
    <xf numFmtId="0" fontId="2" fillId="0" borderId="4" xfId="0" applyFont="1" applyBorder="1">
      <alignment vertical="top" wrapText="1"/>
    </xf>
    <xf numFmtId="1" fontId="0" fillId="0" borderId="4" xfId="0" applyNumberFormat="1" applyBorder="1">
      <alignment vertical="top" wrapText="1"/>
    </xf>
    <xf numFmtId="179" fontId="8" fillId="4" borderId="4" xfId="0" applyNumberFormat="1" applyFont="1" applyFill="1" applyBorder="1">
      <alignment vertical="top" wrapText="1"/>
    </xf>
    <xf numFmtId="0" fontId="8" fillId="4" borderId="4" xfId="0" applyFont="1" applyFill="1" applyBorder="1">
      <alignment vertical="top" wrapText="1"/>
    </xf>
    <xf numFmtId="179" fontId="10" fillId="0" borderId="4" xfId="0" applyNumberFormat="1" applyFont="1" applyBorder="1">
      <alignment vertical="top" wrapText="1"/>
    </xf>
    <xf numFmtId="0" fontId="8" fillId="4" borderId="4" xfId="0" applyNumberFormat="1" applyFont="1" applyFill="1" applyBorder="1">
      <alignment vertical="top" wrapText="1"/>
    </xf>
    <xf numFmtId="178" fontId="8" fillId="4" borderId="4" xfId="0" applyNumberFormat="1" applyFont="1" applyFill="1" applyBorder="1">
      <alignment vertical="top" wrapText="1"/>
    </xf>
    <xf numFmtId="178" fontId="10" fillId="8" borderId="4" xfId="0" applyNumberFormat="1" applyFont="1" applyFill="1" applyBorder="1" applyAlignment="1">
      <alignment vertical="top"/>
    </xf>
    <xf numFmtId="0" fontId="8" fillId="9" borderId="4" xfId="0" applyFont="1" applyFill="1" applyBorder="1">
      <alignment vertical="top" wrapText="1"/>
    </xf>
    <xf numFmtId="178" fontId="10" fillId="0" borderId="4" xfId="0" applyNumberFormat="1" applyFont="1" applyBorder="1" applyAlignment="1">
      <alignment vertical="top"/>
    </xf>
    <xf numFmtId="179" fontId="8" fillId="10" borderId="4" xfId="0" applyNumberFormat="1" applyFont="1" applyFill="1" applyBorder="1">
      <alignment vertical="top" wrapText="1"/>
    </xf>
    <xf numFmtId="0" fontId="8" fillId="10" borderId="4" xfId="0" applyFont="1" applyFill="1" applyBorder="1">
      <alignment vertical="top" wrapText="1"/>
    </xf>
    <xf numFmtId="0" fontId="8" fillId="10" borderId="4" xfId="0" applyNumberFormat="1" applyFont="1" applyFill="1" applyBorder="1">
      <alignment vertical="top" wrapText="1"/>
    </xf>
    <xf numFmtId="178" fontId="8" fillId="10" borderId="4" xfId="0" applyNumberFormat="1" applyFont="1" applyFill="1" applyBorder="1">
      <alignment vertical="top" wrapText="1"/>
    </xf>
    <xf numFmtId="179" fontId="8" fillId="0" borderId="4" xfId="0" applyNumberFormat="1" applyFont="1" applyBorder="1" applyAlignment="1">
      <alignment horizontal="right" vertical="top" wrapText="1"/>
    </xf>
    <xf numFmtId="179" fontId="8" fillId="4" borderId="4" xfId="0" applyNumberFormat="1" applyFont="1" applyFill="1" applyBorder="1" applyAlignment="1">
      <alignment horizontal="right" vertical="top" wrapText="1"/>
    </xf>
    <xf numFmtId="179" fontId="10" fillId="0" borderId="4" xfId="0" applyNumberFormat="1" applyFont="1" applyBorder="1" applyAlignment="1">
      <alignment horizontal="right" vertical="top" wrapText="1"/>
    </xf>
    <xf numFmtId="179" fontId="8" fillId="10" borderId="4" xfId="0" applyNumberFormat="1" applyFont="1" applyFill="1" applyBorder="1" applyAlignment="1">
      <alignment horizontal="right" vertical="top" wrapText="1"/>
    </xf>
    <xf numFmtId="179" fontId="10" fillId="5" borderId="4" xfId="0" applyNumberFormat="1" applyFont="1" applyFill="1" applyBorder="1" applyAlignment="1">
      <alignment horizontal="right" vertical="top" wrapText="1"/>
    </xf>
    <xf numFmtId="0" fontId="8" fillId="5" borderId="4" xfId="0" applyFont="1" applyFill="1" applyBorder="1">
      <alignment vertical="top" wrapText="1"/>
    </xf>
    <xf numFmtId="178" fontId="11" fillId="4" borderId="4" xfId="0" applyNumberFormat="1" applyFont="1" applyFill="1" applyBorder="1" applyAlignment="1">
      <alignment vertical="top"/>
    </xf>
    <xf numFmtId="178" fontId="11" fillId="10" borderId="4" xfId="0" applyNumberFormat="1" applyFont="1" applyFill="1" applyBorder="1" applyAlignment="1">
      <alignment vertical="top"/>
    </xf>
    <xf numFmtId="178" fontId="8" fillId="5" borderId="4" xfId="0" applyNumberFormat="1" applyFont="1" applyFill="1" applyBorder="1">
      <alignment vertical="top" wrapText="1"/>
    </xf>
    <xf numFmtId="179" fontId="8" fillId="7" borderId="4" xfId="0" applyNumberFormat="1" applyFont="1" applyFill="1" applyBorder="1">
      <alignment vertical="top" wrapText="1"/>
    </xf>
    <xf numFmtId="179" fontId="8" fillId="11" borderId="4" xfId="0" applyNumberFormat="1" applyFont="1" applyFill="1" applyBorder="1">
      <alignment vertical="top" wrapText="1"/>
    </xf>
    <xf numFmtId="0" fontId="8" fillId="7" borderId="4" xfId="0" applyFont="1" applyFill="1" applyBorder="1">
      <alignment vertical="top" wrapText="1"/>
    </xf>
    <xf numFmtId="179" fontId="8" fillId="7" borderId="4" xfId="0" applyNumberFormat="1" applyFont="1" applyFill="1" applyBorder="1" applyAlignment="1">
      <alignment horizontal="right" vertical="top" wrapText="1"/>
    </xf>
    <xf numFmtId="179" fontId="8" fillId="11" borderId="4" xfId="0" applyNumberFormat="1" applyFont="1" applyFill="1" applyBorder="1" applyAlignment="1">
      <alignment horizontal="right" vertical="top" wrapText="1"/>
    </xf>
    <xf numFmtId="178" fontId="11" fillId="0" borderId="4" xfId="0" applyNumberFormat="1" applyFont="1" applyFill="1" applyBorder="1" applyAlignment="1">
      <alignment vertical="top"/>
    </xf>
    <xf numFmtId="0" fontId="10" fillId="0" borderId="4" xfId="0" applyFont="1" applyBorder="1">
      <alignment vertical="top" wrapText="1"/>
    </xf>
    <xf numFmtId="178" fontId="12" fillId="0" borderId="4" xfId="0" applyNumberFormat="1" applyFont="1" applyBorder="1">
      <alignment vertical="top" wrapText="1"/>
    </xf>
    <xf numFmtId="0" fontId="8" fillId="3" borderId="4" xfId="0" applyFont="1" applyFill="1" applyBorder="1">
      <alignment vertical="top" wrapText="1"/>
    </xf>
    <xf numFmtId="0" fontId="13" fillId="4" borderId="4" xfId="0" applyFont="1" applyFill="1" applyBorder="1" applyAlignment="1">
      <alignment horizontal="center" vertical="center" wrapText="1"/>
    </xf>
    <xf numFmtId="178" fontId="14" fillId="12" borderId="4" xfId="0" applyNumberFormat="1" applyFont="1" applyFill="1" applyBorder="1" applyAlignment="1">
      <alignment horizontal="center" vertical="center" wrapText="1"/>
    </xf>
    <xf numFmtId="0" fontId="15" fillId="3" borderId="4" xfId="0" applyNumberFormat="1" applyFont="1" applyFill="1" applyBorder="1">
      <alignment vertical="top" wrapText="1"/>
    </xf>
    <xf numFmtId="178" fontId="16" fillId="13" borderId="4" xfId="0" applyNumberFormat="1" applyFont="1" applyFill="1" applyBorder="1" applyAlignment="1">
      <alignment horizontal="center" vertical="center"/>
    </xf>
    <xf numFmtId="178" fontId="8" fillId="3" borderId="4" xfId="0" applyNumberFormat="1" applyFont="1" applyFill="1" applyBorder="1">
      <alignment vertical="top" wrapText="1"/>
    </xf>
    <xf numFmtId="0" fontId="17" fillId="0" borderId="0" xfId="0" applyNumberFormat="1" applyFont="1" applyAlignment="1">
      <alignment vertical="top"/>
    </xf>
    <xf numFmtId="178" fontId="3" fillId="0" borderId="5" xfId="0" applyNumberFormat="1" applyFont="1" applyBorder="1" applyAlignment="1">
      <alignment vertical="top"/>
    </xf>
    <xf numFmtId="178" fontId="3" fillId="0" borderId="1" xfId="0" applyNumberFormat="1" applyFont="1" applyBorder="1" applyAlignment="1">
      <alignment vertical="top"/>
    </xf>
    <xf numFmtId="178" fontId="3" fillId="0" borderId="0" xfId="0" applyNumberFormat="1" applyFont="1" applyBorder="1" applyAlignment="1">
      <alignment vertical="top"/>
    </xf>
    <xf numFmtId="0" fontId="0" fillId="0" borderId="0" xfId="0" applyNumberFormat="1" applyFill="1" applyAlignment="1">
      <alignment vertical="top"/>
    </xf>
    <xf numFmtId="0" fontId="0" fillId="0" borderId="0" xfId="0" applyNumberFormat="1" applyAlignment="1">
      <alignment vertical="top"/>
    </xf>
    <xf numFmtId="0" fontId="18" fillId="0" borderId="0" xfId="0" applyNumberFormat="1" applyFont="1" applyAlignment="1">
      <alignment vertical="top"/>
    </xf>
    <xf numFmtId="0" fontId="0" fillId="0" borderId="0" xfId="0" applyNumberFormat="1">
      <alignment vertical="top" wrapText="1"/>
    </xf>
    <xf numFmtId="178" fontId="0" fillId="0" borderId="0" xfId="0" applyNumberFormat="1" applyAlignment="1">
      <alignment vertical="top"/>
    </xf>
    <xf numFmtId="177" fontId="0" fillId="0" borderId="0" xfId="0" applyNumberFormat="1" applyAlignment="1">
      <alignment vertical="top"/>
    </xf>
    <xf numFmtId="49" fontId="0" fillId="0" borderId="0" xfId="0" applyNumberFormat="1" applyAlignment="1">
      <alignment vertical="top"/>
    </xf>
    <xf numFmtId="178" fontId="19" fillId="4" borderId="6" xfId="0" applyNumberFormat="1" applyFont="1" applyFill="1" applyBorder="1" applyAlignment="1">
      <alignment horizontal="center" vertical="center" wrapText="1"/>
    </xf>
    <xf numFmtId="49" fontId="19" fillId="4" borderId="6" xfId="0" applyNumberFormat="1" applyFont="1" applyFill="1" applyBorder="1" applyAlignment="1">
      <alignment horizontal="center" vertical="center" wrapText="1"/>
    </xf>
    <xf numFmtId="49" fontId="19" fillId="4" borderId="6" xfId="0" applyNumberFormat="1" applyFont="1" applyFill="1" applyBorder="1" applyAlignment="1">
      <alignment horizontal="left" vertical="center" wrapText="1"/>
    </xf>
    <xf numFmtId="178" fontId="19" fillId="4" borderId="6" xfId="0" applyNumberFormat="1" applyFont="1" applyFill="1" applyBorder="1" applyAlignment="1">
      <alignment horizontal="left" vertical="center" wrapText="1"/>
    </xf>
    <xf numFmtId="0" fontId="19" fillId="4" borderId="6" xfId="0" applyNumberFormat="1" applyFont="1" applyFill="1" applyBorder="1" applyAlignment="1">
      <alignment horizontal="left" vertical="center" wrapText="1"/>
    </xf>
    <xf numFmtId="0" fontId="3" fillId="0" borderId="5" xfId="0" applyNumberFormat="1" applyFont="1" applyBorder="1" applyAlignment="1">
      <alignment vertical="top"/>
    </xf>
    <xf numFmtId="0" fontId="3" fillId="0" borderId="1" xfId="0" applyNumberFormat="1" applyFont="1" applyBorder="1" applyAlignment="1">
      <alignment vertical="top"/>
    </xf>
    <xf numFmtId="177" fontId="19" fillId="4" borderId="6" xfId="0" applyNumberFormat="1" applyFont="1" applyFill="1" applyBorder="1" applyAlignment="1">
      <alignment horizontal="left" vertical="center" wrapText="1"/>
    </xf>
    <xf numFmtId="178" fontId="3" fillId="0" borderId="7" xfId="0" applyNumberFormat="1" applyFont="1" applyBorder="1" applyAlignment="1">
      <alignment vertical="top"/>
    </xf>
    <xf numFmtId="178" fontId="3" fillId="0" borderId="7" xfId="0" applyNumberFormat="1" applyFont="1" applyFill="1" applyBorder="1" applyAlignment="1">
      <alignment horizontal="left" vertical="top"/>
    </xf>
    <xf numFmtId="0" fontId="3" fillId="0" borderId="7" xfId="0" applyNumberFormat="1" applyFont="1" applyBorder="1" applyAlignment="1">
      <alignment vertical="top"/>
    </xf>
    <xf numFmtId="178" fontId="4" fillId="0" borderId="5" xfId="0" applyNumberFormat="1" applyFont="1" applyBorder="1" applyAlignment="1">
      <alignment vertical="top"/>
    </xf>
    <xf numFmtId="178" fontId="4" fillId="0" borderId="7" xfId="0" applyNumberFormat="1" applyFont="1" applyBorder="1" applyAlignment="1">
      <alignment vertical="top"/>
    </xf>
    <xf numFmtId="178" fontId="20" fillId="0" borderId="7" xfId="0" applyNumberFormat="1" applyFont="1" applyBorder="1" applyAlignment="1">
      <alignment vertical="top"/>
    </xf>
    <xf numFmtId="178" fontId="3" fillId="0" borderId="8" xfId="0" applyNumberFormat="1" applyFont="1" applyBorder="1" applyAlignment="1">
      <alignment vertical="top"/>
    </xf>
    <xf numFmtId="178" fontId="3" fillId="0" borderId="5" xfId="0" applyNumberFormat="1" applyFont="1" applyBorder="1" applyAlignment="1">
      <alignment vertical="top"/>
    </xf>
    <xf numFmtId="0" fontId="3" fillId="0" borderId="5" xfId="0" applyNumberFormat="1" applyFont="1" applyBorder="1" applyAlignment="1">
      <alignment vertical="top"/>
    </xf>
    <xf numFmtId="178" fontId="3" fillId="0" borderId="7" xfId="0" applyNumberFormat="1" applyFont="1" applyBorder="1" applyAlignment="1">
      <alignment vertical="top"/>
    </xf>
    <xf numFmtId="178" fontId="21" fillId="12" borderId="1" xfId="0" applyNumberFormat="1" applyFont="1" applyFill="1" applyBorder="1" applyAlignment="1">
      <alignment horizontal="center" vertical="center" wrapText="1"/>
    </xf>
    <xf numFmtId="178" fontId="22" fillId="13" borderId="1" xfId="0" applyNumberFormat="1" applyFont="1" applyFill="1" applyBorder="1" applyAlignment="1">
      <alignment horizontal="center" vertical="center"/>
    </xf>
    <xf numFmtId="178" fontId="3" fillId="3" borderId="1" xfId="0" applyNumberFormat="1" applyFont="1" applyFill="1" applyBorder="1" applyAlignment="1">
      <alignment vertical="top"/>
    </xf>
    <xf numFmtId="49" fontId="3" fillId="3" borderId="1" xfId="0" applyNumberFormat="1" applyFont="1" applyFill="1" applyBorder="1" applyAlignment="1">
      <alignment vertical="top"/>
    </xf>
  </cellXfs>
  <cellStyles count="52">
    <cellStyle name="Normal" xfId="0" builtinId="0"/>
    <cellStyle name="Currency 2" xfId="1"/>
    <cellStyle name="Normal 2" xfId="2"/>
    <cellStyle name="60% - Accent6" xfId="3" builtinId="52"/>
    <cellStyle name="40% - Accent6" xfId="4" builtinId="51"/>
    <cellStyle name="60% - Accent5" xfId="5" builtinId="48"/>
    <cellStyle name="Accent6" xfId="6" builtinId="49"/>
    <cellStyle name="40% - Accent5" xfId="7" builtinId="47"/>
    <cellStyle name="20% - Accent5" xfId="8" builtinId="46"/>
    <cellStyle name="60% - Accent4" xfId="9" builtinId="44"/>
    <cellStyle name="Accent5" xfId="10" builtinId="45"/>
    <cellStyle name="40% - Accent4" xfId="11" builtinId="43"/>
    <cellStyle name="Accent4" xfId="12" builtinId="41"/>
    <cellStyle name="Linked Cell" xfId="13" builtinId="24"/>
    <cellStyle name="40% - Accent3" xfId="14" builtinId="39"/>
    <cellStyle name="60% - Accent2" xfId="15" builtinId="36"/>
    <cellStyle name="Accent3" xfId="16" builtinId="37"/>
    <cellStyle name="40% - Accent2" xfId="17" builtinId="35"/>
    <cellStyle name="20% - Accent2" xfId="18" builtinId="34"/>
    <cellStyle name="Accent2" xfId="19" builtinId="33"/>
    <cellStyle name="40% - Accent1" xfId="20" builtinId="31"/>
    <cellStyle name="Normal 3" xfId="21"/>
    <cellStyle name="20% - Accent1" xfId="22" builtinId="30"/>
    <cellStyle name="Accent1" xfId="23" builtinId="29"/>
    <cellStyle name="Neutral" xfId="24" builtinId="28"/>
    <cellStyle name="60% - Accent1" xfId="25" builtinId="32"/>
    <cellStyle name="Bad" xfId="26" builtinId="27"/>
    <cellStyle name="20% - Accent4" xfId="27" builtinId="42"/>
    <cellStyle name="Total" xfId="28" builtinId="25"/>
    <cellStyle name="Output" xfId="29" builtinId="21"/>
    <cellStyle name="Currency" xfId="30" builtinId="4"/>
    <cellStyle name="20% - Accent3" xfId="31" builtinId="38"/>
    <cellStyle name="Note" xfId="32" builtinId="10"/>
    <cellStyle name="Input" xfId="33" builtinId="20"/>
    <cellStyle name="Heading 4" xfId="34" builtinId="19"/>
    <cellStyle name="Calculation" xfId="35" builtinId="22"/>
    <cellStyle name="Good" xfId="36" builtinId="26"/>
    <cellStyle name="Heading 3" xfId="37" builtinId="18"/>
    <cellStyle name="CExplanatory Text" xfId="38" builtinId="53"/>
    <cellStyle name="Heading 1" xfId="39" builtinId="16"/>
    <cellStyle name="Comma [0]" xfId="40" builtinId="6"/>
    <cellStyle name="20% - Accent6" xfId="41" builtinId="50"/>
    <cellStyle name="Title" xfId="42" builtinId="15"/>
    <cellStyle name="Currency [0]" xfId="43" builtinId="7"/>
    <cellStyle name="Warning Text" xfId="44" builtinId="11"/>
    <cellStyle name="Followed Hyperlink" xfId="45" builtinId="9"/>
    <cellStyle name="Heading 2" xfId="46" builtinId="17"/>
    <cellStyle name="Comma" xfId="47" builtinId="3"/>
    <cellStyle name="Check Cell" xfId="48" builtinId="23"/>
    <cellStyle name="60% - Accent3" xfId="49" builtinId="40"/>
    <cellStyle name="Percent" xfId="50" builtinId="5"/>
    <cellStyle name="Hyperlink" xfId="51" builtinId="8"/>
  </cellStyles>
  <dxfs count="49">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fill>
        <patternFill patternType="solid">
          <fgColor rgb="FF000000"/>
          <bgColor rgb="FFFFFFFF"/>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1"/>
        <i val="0"/>
        <strike val="0"/>
        <u val="none"/>
        <sz val="10"/>
        <color rgb="FF000000"/>
      </font>
      <numFmt numFmtId="178" formatCode="&quot;$&quot;#,##0.00"/>
      <fill>
        <patternFill patternType="none"/>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theme="1"/>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fill>
        <patternFill patternType="solid">
          <bgColor theme="0"/>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49" formatCode="@"/>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ill>
        <patternFill patternType="solid">
          <bgColor theme="8" tint="0.399945066682943"/>
        </patternFill>
      </fill>
    </dxf>
    <dxf>
      <font>
        <color rgb="FF9C5700"/>
      </font>
      <fill>
        <patternFill patternType="solid">
          <bgColor rgb="FFFFEB9C"/>
        </patternFill>
      </fill>
    </dxf>
    <dxf>
      <font>
        <color rgb="FF9C0006"/>
      </font>
      <fill>
        <patternFill patternType="solid">
          <bgColor rgb="FFFFC7CE"/>
        </patternFill>
      </fill>
    </dxf>
    <dxf>
      <font>
        <color rgb="FF9C0006"/>
      </font>
    </dxf>
    <dxf>
      <font>
        <strike val="0"/>
        <u val="none"/>
        <sz val="9"/>
      </font>
      <border>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top style="thin">
          <color theme="3" tint="0.799981688894314"/>
        </top>
        <bottom style="thin">
          <color theme="3" tint="0.799981688894314"/>
        </bottom>
      </border>
    </dxf>
    <dxf>
      <font>
        <name val="Helvetica Neue"/>
        <scheme val="none"/>
        <family val="2"/>
        <b val="0"/>
        <i val="0"/>
        <strike val="0"/>
        <u val="none"/>
        <sz val="10"/>
        <color indexed="8"/>
      </font>
      <numFmt numFmtId="0" formatCode="General"/>
      <fill>
        <patternFill patternType="none"/>
      </fill>
      <alignment vertical="top"/>
      <border>
        <left style="thin">
          <color theme="0" tint="-0.0499893185216834"/>
        </left>
        <right style="thin">
          <color theme="0" tint="-0.0499893185216834"/>
        </right>
        <top style="thin">
          <color theme="0" tint="-0.0499893185216834"/>
        </top>
        <bottom style="thin">
          <color theme="0" tint="-0.0499893185216834"/>
        </bottom>
      </border>
    </dxf>
    <dxf>
      <font>
        <name val="Helvetica Neue"/>
        <scheme val="none"/>
        <family val="2"/>
        <b val="0"/>
        <i val="0"/>
        <strike val="0"/>
        <u val="none"/>
        <sz val="10"/>
        <color indexed="8"/>
      </font>
      <numFmt numFmtId="178" formatCode="&quot;$&quot;#,##0.00"/>
      <fill>
        <patternFill patternType="none"/>
      </fill>
      <alignment horizontal="left" vertical="top"/>
      <border>
        <left style="thin">
          <color theme="0" tint="-0.0499893185216834"/>
        </left>
        <right style="thin">
          <color theme="0" tint="-0.0499893185216834"/>
        </right>
        <top style="thin">
          <color theme="0" tint="-0.0499893185216834"/>
        </top>
        <bottom style="thin">
          <color theme="0" tint="-0.0499893185216834"/>
        </bottom>
      </border>
    </dxf>
    <dxf>
      <numFmt numFmtId="0" formatCode="General"/>
      <fill>
        <patternFill patternType="none"/>
      </fill>
    </dxf>
  </dxfs>
  <tableStyles count="0"/>
  <colors>
    <indexedColors>
      <rgbColor rgb="00000000"/>
      <rgbColor rgb="00FFFFFF"/>
      <rgbColor rgb="00FF0000"/>
      <rgbColor rgb="0000FF00"/>
      <rgbColor rgb="000000FF"/>
      <rgbColor rgb="00FFFF00"/>
      <rgbColor rgb="00FF00FF"/>
      <rgbColor rgb="0000FFFF"/>
      <rgbColor rgb="00000000"/>
      <rgbColor rgb="00BDC0BF"/>
      <rgbColor rgb="00A5A5A5"/>
      <rgbColor rgb="003F3F3F"/>
      <rgbColor rgb="00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00FACDFF"/>
      <color rgb="00DE9FFD"/>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1621.jpeg"/><Relationship Id="rId8" Type="http://schemas.openxmlformats.org/officeDocument/2006/relationships/image" Target="media/image1620.jpeg"/><Relationship Id="rId7" Type="http://schemas.openxmlformats.org/officeDocument/2006/relationships/image" Target="media/image1619.jpeg"/><Relationship Id="rId6" Type="http://schemas.openxmlformats.org/officeDocument/2006/relationships/image" Target="media/image1618.jpeg"/><Relationship Id="rId5" Type="http://schemas.openxmlformats.org/officeDocument/2006/relationships/image" Target="media/image1617.jpeg"/><Relationship Id="rId45" Type="http://schemas.openxmlformats.org/officeDocument/2006/relationships/image" Target="media/image1657.jpeg"/><Relationship Id="rId44" Type="http://schemas.openxmlformats.org/officeDocument/2006/relationships/image" Target="media/image1656.jpeg"/><Relationship Id="rId43" Type="http://schemas.openxmlformats.org/officeDocument/2006/relationships/image" Target="media/image1655.jpeg"/><Relationship Id="rId42" Type="http://schemas.openxmlformats.org/officeDocument/2006/relationships/image" Target="media/image1654.jpeg"/><Relationship Id="rId41" Type="http://schemas.openxmlformats.org/officeDocument/2006/relationships/image" Target="media/image1653.jpeg"/><Relationship Id="rId40" Type="http://schemas.openxmlformats.org/officeDocument/2006/relationships/image" Target="media/image1652.jpeg"/><Relationship Id="rId4" Type="http://schemas.openxmlformats.org/officeDocument/2006/relationships/image" Target="media/image1616.jpeg"/><Relationship Id="rId39" Type="http://schemas.openxmlformats.org/officeDocument/2006/relationships/image" Target="media/image1651.jpeg"/><Relationship Id="rId38" Type="http://schemas.openxmlformats.org/officeDocument/2006/relationships/image" Target="media/image1650.jpeg"/><Relationship Id="rId37" Type="http://schemas.openxmlformats.org/officeDocument/2006/relationships/image" Target="media/image1649.jpeg"/><Relationship Id="rId36" Type="http://schemas.openxmlformats.org/officeDocument/2006/relationships/image" Target="media/image1648.jpeg"/><Relationship Id="rId35" Type="http://schemas.openxmlformats.org/officeDocument/2006/relationships/image" Target="media/image1647.jpeg"/><Relationship Id="rId34" Type="http://schemas.openxmlformats.org/officeDocument/2006/relationships/image" Target="media/image1646.jpeg"/><Relationship Id="rId33" Type="http://schemas.openxmlformats.org/officeDocument/2006/relationships/image" Target="media/image1645.jpeg"/><Relationship Id="rId32" Type="http://schemas.openxmlformats.org/officeDocument/2006/relationships/image" Target="media/image1644.jpeg"/><Relationship Id="rId31" Type="http://schemas.openxmlformats.org/officeDocument/2006/relationships/image" Target="media/image1643.jpeg"/><Relationship Id="rId30" Type="http://schemas.openxmlformats.org/officeDocument/2006/relationships/image" Target="media/image1642.jpeg"/><Relationship Id="rId3" Type="http://schemas.openxmlformats.org/officeDocument/2006/relationships/image" Target="media/image1615.jpeg"/><Relationship Id="rId29" Type="http://schemas.openxmlformats.org/officeDocument/2006/relationships/image" Target="media/image1641.jpeg"/><Relationship Id="rId28" Type="http://schemas.openxmlformats.org/officeDocument/2006/relationships/image" Target="media/image1640.jpeg"/><Relationship Id="rId27" Type="http://schemas.openxmlformats.org/officeDocument/2006/relationships/image" Target="media/image1639.jpeg"/><Relationship Id="rId26" Type="http://schemas.openxmlformats.org/officeDocument/2006/relationships/image" Target="media/image1638.jpeg"/><Relationship Id="rId25" Type="http://schemas.openxmlformats.org/officeDocument/2006/relationships/image" Target="media/image1637.jpeg"/><Relationship Id="rId24" Type="http://schemas.openxmlformats.org/officeDocument/2006/relationships/image" Target="media/image1636.jpeg"/><Relationship Id="rId23" Type="http://schemas.openxmlformats.org/officeDocument/2006/relationships/image" Target="media/image1635.jpeg"/><Relationship Id="rId22" Type="http://schemas.openxmlformats.org/officeDocument/2006/relationships/image" Target="media/image1634.jpeg"/><Relationship Id="rId21" Type="http://schemas.openxmlformats.org/officeDocument/2006/relationships/image" Target="media/image1633.jpeg"/><Relationship Id="rId20" Type="http://schemas.openxmlformats.org/officeDocument/2006/relationships/image" Target="media/image1632.jpeg"/><Relationship Id="rId2" Type="http://schemas.openxmlformats.org/officeDocument/2006/relationships/image" Target="media/image1614.jpeg"/><Relationship Id="rId19" Type="http://schemas.openxmlformats.org/officeDocument/2006/relationships/image" Target="media/image1631.jpeg"/><Relationship Id="rId18" Type="http://schemas.openxmlformats.org/officeDocument/2006/relationships/image" Target="media/image1630.jpeg"/><Relationship Id="rId17" Type="http://schemas.openxmlformats.org/officeDocument/2006/relationships/image" Target="media/image1629.jpeg"/><Relationship Id="rId16" Type="http://schemas.openxmlformats.org/officeDocument/2006/relationships/image" Target="media/image1628.jpeg"/><Relationship Id="rId15" Type="http://schemas.openxmlformats.org/officeDocument/2006/relationships/image" Target="media/image1627.jpeg"/><Relationship Id="rId14" Type="http://schemas.openxmlformats.org/officeDocument/2006/relationships/image" Target="media/image1626.jpeg"/><Relationship Id="rId13" Type="http://schemas.openxmlformats.org/officeDocument/2006/relationships/image" Target="media/image1625.jpeg"/><Relationship Id="rId12" Type="http://schemas.openxmlformats.org/officeDocument/2006/relationships/image" Target="media/image1624.jpeg"/><Relationship Id="rId11" Type="http://schemas.openxmlformats.org/officeDocument/2006/relationships/image" Target="media/image1623.jpeg"/><Relationship Id="rId10" Type="http://schemas.openxmlformats.org/officeDocument/2006/relationships/image" Target="media/image1622.jpeg"/><Relationship Id="rId1" Type="http://schemas.openxmlformats.org/officeDocument/2006/relationships/image" Target="media/image1613.jpeg"/></Relationships>
</file>

<file path=xl/_rels/workbook.xml.rels><?xml version="1.0" encoding="UTF-8" standalone="yes"?>
<Relationships xmlns="http://schemas.openxmlformats.org/package/2006/relationships"><Relationship Id="rId8" Type="http://www.wps.cn/officeDocument/2020/cellImage" Target="cellimages.xml"/><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9" Type="http://schemas.openxmlformats.org/officeDocument/2006/relationships/image" Target="../media/image969.jpeg"/><Relationship Id="rId968" Type="http://schemas.openxmlformats.org/officeDocument/2006/relationships/image" Target="../media/image968.jpeg"/><Relationship Id="rId967" Type="http://schemas.openxmlformats.org/officeDocument/2006/relationships/image" Target="../media/image967.jpeg"/><Relationship Id="rId966" Type="http://schemas.openxmlformats.org/officeDocument/2006/relationships/image" Target="../media/image966.jpeg"/><Relationship Id="rId965" Type="http://schemas.openxmlformats.org/officeDocument/2006/relationships/image" Target="../media/image965.jpeg"/><Relationship Id="rId964" Type="http://schemas.openxmlformats.org/officeDocument/2006/relationships/image" Target="../media/image964.jpeg"/><Relationship Id="rId963" Type="http://schemas.openxmlformats.org/officeDocument/2006/relationships/image" Target="../media/image963.jpeg"/><Relationship Id="rId962" Type="http://schemas.openxmlformats.org/officeDocument/2006/relationships/image" Target="../media/image962.jpeg"/><Relationship Id="rId961" Type="http://schemas.openxmlformats.org/officeDocument/2006/relationships/image" Target="../media/image961.jpeg"/><Relationship Id="rId960" Type="http://schemas.openxmlformats.org/officeDocument/2006/relationships/image" Target="../media/image960.jpeg"/><Relationship Id="rId96" Type="http://schemas.openxmlformats.org/officeDocument/2006/relationships/image" Target="../media/image96.jpeg"/><Relationship Id="rId959" Type="http://schemas.openxmlformats.org/officeDocument/2006/relationships/image" Target="../media/image959.jpeg"/><Relationship Id="rId958" Type="http://schemas.openxmlformats.org/officeDocument/2006/relationships/image" Target="../media/image958.jpeg"/><Relationship Id="rId957" Type="http://schemas.openxmlformats.org/officeDocument/2006/relationships/image" Target="../media/image957.jpeg"/><Relationship Id="rId956" Type="http://schemas.openxmlformats.org/officeDocument/2006/relationships/image" Target="../media/image956.jpeg"/><Relationship Id="rId955" Type="http://schemas.openxmlformats.org/officeDocument/2006/relationships/image" Target="../media/image955.jpeg"/><Relationship Id="rId954" Type="http://schemas.openxmlformats.org/officeDocument/2006/relationships/image" Target="../media/image954.jpeg"/><Relationship Id="rId953" Type="http://schemas.openxmlformats.org/officeDocument/2006/relationships/image" Target="../media/image953.jpeg"/><Relationship Id="rId952" Type="http://schemas.openxmlformats.org/officeDocument/2006/relationships/image" Target="../media/image952.jpeg"/><Relationship Id="rId951" Type="http://schemas.openxmlformats.org/officeDocument/2006/relationships/image" Target="../media/image951.jpeg"/><Relationship Id="rId950" Type="http://schemas.openxmlformats.org/officeDocument/2006/relationships/image" Target="../media/image950.jpeg"/><Relationship Id="rId95" Type="http://schemas.openxmlformats.org/officeDocument/2006/relationships/image" Target="../media/image95.jpeg"/><Relationship Id="rId949" Type="http://schemas.openxmlformats.org/officeDocument/2006/relationships/image" Target="../media/image949.jpeg"/><Relationship Id="rId948" Type="http://schemas.openxmlformats.org/officeDocument/2006/relationships/image" Target="../media/image948.jpeg"/><Relationship Id="rId947" Type="http://schemas.openxmlformats.org/officeDocument/2006/relationships/image" Target="../media/image947.jpeg"/><Relationship Id="rId946" Type="http://schemas.openxmlformats.org/officeDocument/2006/relationships/image" Target="../media/image946.jpeg"/><Relationship Id="rId945" Type="http://schemas.openxmlformats.org/officeDocument/2006/relationships/image" Target="../media/image945.jpeg"/><Relationship Id="rId944" Type="http://schemas.openxmlformats.org/officeDocument/2006/relationships/image" Target="../media/image944.jpeg"/><Relationship Id="rId943" Type="http://schemas.openxmlformats.org/officeDocument/2006/relationships/image" Target="../media/image943.jpeg"/><Relationship Id="rId942" Type="http://schemas.openxmlformats.org/officeDocument/2006/relationships/image" Target="../media/image942.jpeg"/><Relationship Id="rId941" Type="http://schemas.openxmlformats.org/officeDocument/2006/relationships/image" Target="../media/image941.jpeg"/><Relationship Id="rId940" Type="http://schemas.openxmlformats.org/officeDocument/2006/relationships/image" Target="../media/image940.jpeg"/><Relationship Id="rId94" Type="http://schemas.openxmlformats.org/officeDocument/2006/relationships/image" Target="../media/image94.jpeg"/><Relationship Id="rId939" Type="http://schemas.openxmlformats.org/officeDocument/2006/relationships/image" Target="../media/image939.jpeg"/><Relationship Id="rId938" Type="http://schemas.openxmlformats.org/officeDocument/2006/relationships/image" Target="../media/image938.jpeg"/><Relationship Id="rId937" Type="http://schemas.openxmlformats.org/officeDocument/2006/relationships/image" Target="../media/image937.jpeg"/><Relationship Id="rId936" Type="http://schemas.openxmlformats.org/officeDocument/2006/relationships/image" Target="../media/image936.jpeg"/><Relationship Id="rId935" Type="http://schemas.openxmlformats.org/officeDocument/2006/relationships/image" Target="../media/image935.jpeg"/><Relationship Id="rId934" Type="http://schemas.openxmlformats.org/officeDocument/2006/relationships/image" Target="../media/image934.jpeg"/><Relationship Id="rId933" Type="http://schemas.openxmlformats.org/officeDocument/2006/relationships/image" Target="../media/image933.jpeg"/><Relationship Id="rId932" Type="http://schemas.openxmlformats.org/officeDocument/2006/relationships/image" Target="../media/image932.jpeg"/><Relationship Id="rId931" Type="http://schemas.openxmlformats.org/officeDocument/2006/relationships/image" Target="../media/image931.jpeg"/><Relationship Id="rId930" Type="http://schemas.openxmlformats.org/officeDocument/2006/relationships/image" Target="../media/image930.jpeg"/><Relationship Id="rId93" Type="http://schemas.openxmlformats.org/officeDocument/2006/relationships/image" Target="../media/image93.jpeg"/><Relationship Id="rId929" Type="http://schemas.openxmlformats.org/officeDocument/2006/relationships/image" Target="../media/image929.jpeg"/><Relationship Id="rId928" Type="http://schemas.openxmlformats.org/officeDocument/2006/relationships/image" Target="../media/image928.jpeg"/><Relationship Id="rId927" Type="http://schemas.openxmlformats.org/officeDocument/2006/relationships/image" Target="../media/image927.jpeg"/><Relationship Id="rId926" Type="http://schemas.openxmlformats.org/officeDocument/2006/relationships/image" Target="../media/image926.jpeg"/><Relationship Id="rId925" Type="http://schemas.openxmlformats.org/officeDocument/2006/relationships/image" Target="../media/image925.jpeg"/><Relationship Id="rId924" Type="http://schemas.openxmlformats.org/officeDocument/2006/relationships/image" Target="../media/image924.jpeg"/><Relationship Id="rId923" Type="http://schemas.openxmlformats.org/officeDocument/2006/relationships/image" Target="../media/image923.jpeg"/><Relationship Id="rId922" Type="http://schemas.openxmlformats.org/officeDocument/2006/relationships/image" Target="../media/image922.jpeg"/><Relationship Id="rId921" Type="http://schemas.openxmlformats.org/officeDocument/2006/relationships/image" Target="../media/image921.jpeg"/><Relationship Id="rId920" Type="http://schemas.openxmlformats.org/officeDocument/2006/relationships/image" Target="../media/image920.jpeg"/><Relationship Id="rId92" Type="http://schemas.openxmlformats.org/officeDocument/2006/relationships/image" Target="../media/image92.jpeg"/><Relationship Id="rId919" Type="http://schemas.openxmlformats.org/officeDocument/2006/relationships/image" Target="../media/image919.jpeg"/><Relationship Id="rId918" Type="http://schemas.openxmlformats.org/officeDocument/2006/relationships/image" Target="../media/image918.jpeg"/><Relationship Id="rId917" Type="http://schemas.openxmlformats.org/officeDocument/2006/relationships/image" Target="../media/image917.jpeg"/><Relationship Id="rId916" Type="http://schemas.openxmlformats.org/officeDocument/2006/relationships/image" Target="../media/image916.jpeg"/><Relationship Id="rId915" Type="http://schemas.openxmlformats.org/officeDocument/2006/relationships/image" Target="../media/image915.jpeg"/><Relationship Id="rId914" Type="http://schemas.openxmlformats.org/officeDocument/2006/relationships/image" Target="../media/image914.jpeg"/><Relationship Id="rId913" Type="http://schemas.openxmlformats.org/officeDocument/2006/relationships/image" Target="../media/image913.jpeg"/><Relationship Id="rId912" Type="http://schemas.openxmlformats.org/officeDocument/2006/relationships/image" Target="../media/image912.jpeg"/><Relationship Id="rId911" Type="http://schemas.openxmlformats.org/officeDocument/2006/relationships/image" Target="../media/image911.jpeg"/><Relationship Id="rId910" Type="http://schemas.openxmlformats.org/officeDocument/2006/relationships/image" Target="../media/image910.jpeg"/><Relationship Id="rId91" Type="http://schemas.openxmlformats.org/officeDocument/2006/relationships/image" Target="../media/image91.jpeg"/><Relationship Id="rId909" Type="http://schemas.openxmlformats.org/officeDocument/2006/relationships/image" Target="../media/image909.jpeg"/><Relationship Id="rId908" Type="http://schemas.openxmlformats.org/officeDocument/2006/relationships/image" Target="../media/image908.jpeg"/><Relationship Id="rId907" Type="http://schemas.openxmlformats.org/officeDocument/2006/relationships/image" Target="../media/image907.jpeg"/><Relationship Id="rId906" Type="http://schemas.openxmlformats.org/officeDocument/2006/relationships/image" Target="../media/image906.jpeg"/><Relationship Id="rId905" Type="http://schemas.openxmlformats.org/officeDocument/2006/relationships/image" Target="../media/image905.jpeg"/><Relationship Id="rId904" Type="http://schemas.openxmlformats.org/officeDocument/2006/relationships/image" Target="../media/image904.jpeg"/><Relationship Id="rId903" Type="http://schemas.openxmlformats.org/officeDocument/2006/relationships/image" Target="../media/image903.jpeg"/><Relationship Id="rId902" Type="http://schemas.openxmlformats.org/officeDocument/2006/relationships/image" Target="../media/image902.jpeg"/><Relationship Id="rId901" Type="http://schemas.openxmlformats.org/officeDocument/2006/relationships/image" Target="../media/image901.jpeg"/><Relationship Id="rId900" Type="http://schemas.openxmlformats.org/officeDocument/2006/relationships/image" Target="../media/image900.jpeg"/><Relationship Id="rId90" Type="http://schemas.openxmlformats.org/officeDocument/2006/relationships/image" Target="../media/image90.jpeg"/><Relationship Id="rId9" Type="http://schemas.openxmlformats.org/officeDocument/2006/relationships/image" Target="../media/image9.jpeg"/><Relationship Id="rId899" Type="http://schemas.openxmlformats.org/officeDocument/2006/relationships/image" Target="../media/image899.jpeg"/><Relationship Id="rId898" Type="http://schemas.openxmlformats.org/officeDocument/2006/relationships/image" Target="../media/image898.jpeg"/><Relationship Id="rId897" Type="http://schemas.openxmlformats.org/officeDocument/2006/relationships/image" Target="../media/image897.jpeg"/><Relationship Id="rId896" Type="http://schemas.openxmlformats.org/officeDocument/2006/relationships/image" Target="../media/image896.jpeg"/><Relationship Id="rId895" Type="http://schemas.openxmlformats.org/officeDocument/2006/relationships/image" Target="../media/image895.jpeg"/><Relationship Id="rId894" Type="http://schemas.openxmlformats.org/officeDocument/2006/relationships/image" Target="../media/image894.jpeg"/><Relationship Id="rId893" Type="http://schemas.openxmlformats.org/officeDocument/2006/relationships/image" Target="../media/image893.jpeg"/><Relationship Id="rId892" Type="http://schemas.openxmlformats.org/officeDocument/2006/relationships/image" Target="../media/image892.jpeg"/><Relationship Id="rId891" Type="http://schemas.openxmlformats.org/officeDocument/2006/relationships/image" Target="../media/image891.jpeg"/><Relationship Id="rId890" Type="http://schemas.openxmlformats.org/officeDocument/2006/relationships/image" Target="../media/image890.jpeg"/><Relationship Id="rId89" Type="http://schemas.openxmlformats.org/officeDocument/2006/relationships/image" Target="../media/image89.jpeg"/><Relationship Id="rId889" Type="http://schemas.openxmlformats.org/officeDocument/2006/relationships/image" Target="../media/image889.jpeg"/><Relationship Id="rId888" Type="http://schemas.openxmlformats.org/officeDocument/2006/relationships/image" Target="../media/image888.jpeg"/><Relationship Id="rId887" Type="http://schemas.openxmlformats.org/officeDocument/2006/relationships/image" Target="../media/image887.jpeg"/><Relationship Id="rId886" Type="http://schemas.openxmlformats.org/officeDocument/2006/relationships/image" Target="../media/image886.jpeg"/><Relationship Id="rId885" Type="http://schemas.openxmlformats.org/officeDocument/2006/relationships/image" Target="../media/image885.jpeg"/><Relationship Id="rId884" Type="http://schemas.openxmlformats.org/officeDocument/2006/relationships/image" Target="../media/image884.jpeg"/><Relationship Id="rId883" Type="http://schemas.openxmlformats.org/officeDocument/2006/relationships/image" Target="../media/image883.jpeg"/><Relationship Id="rId882" Type="http://schemas.openxmlformats.org/officeDocument/2006/relationships/image" Target="../media/image882.jpeg"/><Relationship Id="rId881" Type="http://schemas.openxmlformats.org/officeDocument/2006/relationships/image" Target="../media/image881.jpeg"/><Relationship Id="rId880" Type="http://schemas.openxmlformats.org/officeDocument/2006/relationships/image" Target="../media/image880.jpeg"/><Relationship Id="rId88" Type="http://schemas.openxmlformats.org/officeDocument/2006/relationships/image" Target="../media/image88.jpeg"/><Relationship Id="rId879" Type="http://schemas.openxmlformats.org/officeDocument/2006/relationships/image" Target="../media/image879.jpeg"/><Relationship Id="rId878" Type="http://schemas.openxmlformats.org/officeDocument/2006/relationships/image" Target="../media/image878.jpeg"/><Relationship Id="rId877" Type="http://schemas.openxmlformats.org/officeDocument/2006/relationships/image" Target="../media/image877.jpeg"/><Relationship Id="rId876" Type="http://schemas.openxmlformats.org/officeDocument/2006/relationships/image" Target="../media/image876.jpeg"/><Relationship Id="rId875" Type="http://schemas.openxmlformats.org/officeDocument/2006/relationships/image" Target="../media/image875.jpeg"/><Relationship Id="rId874" Type="http://schemas.openxmlformats.org/officeDocument/2006/relationships/image" Target="../media/image874.jpeg"/><Relationship Id="rId873" Type="http://schemas.openxmlformats.org/officeDocument/2006/relationships/image" Target="../media/image873.jpeg"/><Relationship Id="rId872" Type="http://schemas.openxmlformats.org/officeDocument/2006/relationships/image" Target="../media/image872.jpeg"/><Relationship Id="rId871" Type="http://schemas.openxmlformats.org/officeDocument/2006/relationships/image" Target="../media/image871.jpeg"/><Relationship Id="rId870" Type="http://schemas.openxmlformats.org/officeDocument/2006/relationships/image" Target="../media/image870.jpeg"/><Relationship Id="rId87" Type="http://schemas.openxmlformats.org/officeDocument/2006/relationships/image" Target="../media/image87.jpeg"/><Relationship Id="rId869" Type="http://schemas.openxmlformats.org/officeDocument/2006/relationships/image" Target="../media/image869.jpeg"/><Relationship Id="rId868" Type="http://schemas.openxmlformats.org/officeDocument/2006/relationships/image" Target="../media/image868.jpeg"/><Relationship Id="rId867" Type="http://schemas.openxmlformats.org/officeDocument/2006/relationships/image" Target="../media/image867.jpeg"/><Relationship Id="rId866" Type="http://schemas.openxmlformats.org/officeDocument/2006/relationships/image" Target="../media/image866.jpeg"/><Relationship Id="rId865" Type="http://schemas.openxmlformats.org/officeDocument/2006/relationships/image" Target="../media/image865.jpeg"/><Relationship Id="rId864" Type="http://schemas.openxmlformats.org/officeDocument/2006/relationships/image" Target="../media/image864.jpeg"/><Relationship Id="rId863" Type="http://schemas.openxmlformats.org/officeDocument/2006/relationships/image" Target="../media/image863.jpeg"/><Relationship Id="rId862" Type="http://schemas.openxmlformats.org/officeDocument/2006/relationships/image" Target="../media/image862.jpeg"/><Relationship Id="rId861" Type="http://schemas.openxmlformats.org/officeDocument/2006/relationships/image" Target="../media/image861.jpeg"/><Relationship Id="rId860" Type="http://schemas.openxmlformats.org/officeDocument/2006/relationships/image" Target="../media/image860.jpeg"/><Relationship Id="rId86" Type="http://schemas.openxmlformats.org/officeDocument/2006/relationships/image" Target="../media/image86.jpeg"/><Relationship Id="rId859" Type="http://schemas.openxmlformats.org/officeDocument/2006/relationships/image" Target="../media/image859.jpeg"/><Relationship Id="rId858" Type="http://schemas.openxmlformats.org/officeDocument/2006/relationships/image" Target="../media/image858.jpeg"/><Relationship Id="rId857" Type="http://schemas.openxmlformats.org/officeDocument/2006/relationships/image" Target="../media/image857.jpeg"/><Relationship Id="rId856" Type="http://schemas.openxmlformats.org/officeDocument/2006/relationships/image" Target="../media/image856.jpeg"/><Relationship Id="rId855" Type="http://schemas.openxmlformats.org/officeDocument/2006/relationships/image" Target="../media/image855.jpeg"/><Relationship Id="rId854" Type="http://schemas.openxmlformats.org/officeDocument/2006/relationships/image" Target="../media/image854.jpeg"/><Relationship Id="rId853" Type="http://schemas.openxmlformats.org/officeDocument/2006/relationships/image" Target="../media/image853.jpeg"/><Relationship Id="rId852" Type="http://schemas.openxmlformats.org/officeDocument/2006/relationships/image" Target="../media/image852.jpeg"/><Relationship Id="rId851" Type="http://schemas.openxmlformats.org/officeDocument/2006/relationships/image" Target="../media/image851.jpeg"/><Relationship Id="rId850" Type="http://schemas.openxmlformats.org/officeDocument/2006/relationships/image" Target="../media/image850.jpeg"/><Relationship Id="rId85" Type="http://schemas.openxmlformats.org/officeDocument/2006/relationships/image" Target="../media/image85.jpeg"/><Relationship Id="rId849" Type="http://schemas.openxmlformats.org/officeDocument/2006/relationships/image" Target="../media/image849.jpeg"/><Relationship Id="rId848" Type="http://schemas.openxmlformats.org/officeDocument/2006/relationships/image" Target="../media/image848.jpeg"/><Relationship Id="rId847" Type="http://schemas.openxmlformats.org/officeDocument/2006/relationships/image" Target="../media/image847.jpeg"/><Relationship Id="rId846" Type="http://schemas.openxmlformats.org/officeDocument/2006/relationships/image" Target="../media/image846.jpeg"/><Relationship Id="rId845" Type="http://schemas.openxmlformats.org/officeDocument/2006/relationships/image" Target="../media/image845.jpeg"/><Relationship Id="rId844" Type="http://schemas.openxmlformats.org/officeDocument/2006/relationships/image" Target="../media/image844.jpeg"/><Relationship Id="rId843" Type="http://schemas.openxmlformats.org/officeDocument/2006/relationships/image" Target="../media/image843.jpeg"/><Relationship Id="rId842" Type="http://schemas.openxmlformats.org/officeDocument/2006/relationships/image" Target="../media/image842.jpeg"/><Relationship Id="rId841" Type="http://schemas.openxmlformats.org/officeDocument/2006/relationships/image" Target="../media/image841.jpeg"/><Relationship Id="rId840" Type="http://schemas.openxmlformats.org/officeDocument/2006/relationships/image" Target="../media/image840.jpeg"/><Relationship Id="rId84" Type="http://schemas.openxmlformats.org/officeDocument/2006/relationships/image" Target="../media/image84.jpeg"/><Relationship Id="rId839" Type="http://schemas.openxmlformats.org/officeDocument/2006/relationships/image" Target="../media/image839.jpeg"/><Relationship Id="rId838" Type="http://schemas.openxmlformats.org/officeDocument/2006/relationships/image" Target="../media/image838.jpeg"/><Relationship Id="rId837" Type="http://schemas.openxmlformats.org/officeDocument/2006/relationships/image" Target="../media/image837.jpeg"/><Relationship Id="rId836" Type="http://schemas.openxmlformats.org/officeDocument/2006/relationships/image" Target="../media/image836.jpeg"/><Relationship Id="rId835" Type="http://schemas.openxmlformats.org/officeDocument/2006/relationships/image" Target="../media/image835.jpeg"/><Relationship Id="rId834" Type="http://schemas.openxmlformats.org/officeDocument/2006/relationships/image" Target="../media/image834.jpeg"/><Relationship Id="rId833" Type="http://schemas.openxmlformats.org/officeDocument/2006/relationships/image" Target="../media/image833.jpeg"/><Relationship Id="rId832" Type="http://schemas.openxmlformats.org/officeDocument/2006/relationships/image" Target="../media/image832.jpeg"/><Relationship Id="rId831" Type="http://schemas.openxmlformats.org/officeDocument/2006/relationships/image" Target="../media/image831.jpeg"/><Relationship Id="rId830" Type="http://schemas.openxmlformats.org/officeDocument/2006/relationships/image" Target="../media/image830.jpeg"/><Relationship Id="rId83" Type="http://schemas.openxmlformats.org/officeDocument/2006/relationships/image" Target="../media/image83.jpeg"/><Relationship Id="rId829" Type="http://schemas.openxmlformats.org/officeDocument/2006/relationships/image" Target="../media/image829.jpeg"/><Relationship Id="rId828" Type="http://schemas.openxmlformats.org/officeDocument/2006/relationships/image" Target="../media/image828.jpeg"/><Relationship Id="rId827" Type="http://schemas.openxmlformats.org/officeDocument/2006/relationships/image" Target="../media/image827.jpeg"/><Relationship Id="rId826" Type="http://schemas.openxmlformats.org/officeDocument/2006/relationships/image" Target="../media/image826.jpeg"/><Relationship Id="rId825" Type="http://schemas.openxmlformats.org/officeDocument/2006/relationships/image" Target="../media/image825.jpeg"/><Relationship Id="rId824" Type="http://schemas.openxmlformats.org/officeDocument/2006/relationships/image" Target="../media/image824.jpeg"/><Relationship Id="rId823" Type="http://schemas.openxmlformats.org/officeDocument/2006/relationships/image" Target="../media/image823.jpeg"/><Relationship Id="rId822" Type="http://schemas.openxmlformats.org/officeDocument/2006/relationships/image" Target="../media/image822.jpeg"/><Relationship Id="rId821" Type="http://schemas.openxmlformats.org/officeDocument/2006/relationships/image" Target="../media/image821.jpeg"/><Relationship Id="rId820" Type="http://schemas.openxmlformats.org/officeDocument/2006/relationships/image" Target="../media/image820.jpeg"/><Relationship Id="rId82" Type="http://schemas.openxmlformats.org/officeDocument/2006/relationships/image" Target="../media/image82.jpeg"/><Relationship Id="rId819" Type="http://schemas.openxmlformats.org/officeDocument/2006/relationships/image" Target="../media/image819.jpeg"/><Relationship Id="rId818" Type="http://schemas.openxmlformats.org/officeDocument/2006/relationships/image" Target="../media/image818.jpeg"/><Relationship Id="rId817" Type="http://schemas.openxmlformats.org/officeDocument/2006/relationships/image" Target="../media/image817.jpeg"/><Relationship Id="rId816" Type="http://schemas.openxmlformats.org/officeDocument/2006/relationships/image" Target="../media/image816.jpeg"/><Relationship Id="rId815" Type="http://schemas.openxmlformats.org/officeDocument/2006/relationships/image" Target="../media/image815.jpeg"/><Relationship Id="rId814" Type="http://schemas.openxmlformats.org/officeDocument/2006/relationships/image" Target="../media/image814.jpeg"/><Relationship Id="rId813" Type="http://schemas.openxmlformats.org/officeDocument/2006/relationships/image" Target="../media/image813.jpeg"/><Relationship Id="rId812" Type="http://schemas.openxmlformats.org/officeDocument/2006/relationships/image" Target="../media/image812.jpeg"/><Relationship Id="rId811" Type="http://schemas.openxmlformats.org/officeDocument/2006/relationships/image" Target="../media/image811.jpeg"/><Relationship Id="rId810" Type="http://schemas.openxmlformats.org/officeDocument/2006/relationships/image" Target="../media/image810.jpeg"/><Relationship Id="rId81" Type="http://schemas.openxmlformats.org/officeDocument/2006/relationships/image" Target="../media/image81.jpeg"/><Relationship Id="rId809" Type="http://schemas.openxmlformats.org/officeDocument/2006/relationships/image" Target="../media/image809.jpeg"/><Relationship Id="rId808" Type="http://schemas.openxmlformats.org/officeDocument/2006/relationships/image" Target="../media/image808.jpeg"/><Relationship Id="rId807" Type="http://schemas.openxmlformats.org/officeDocument/2006/relationships/image" Target="../media/image807.jpeg"/><Relationship Id="rId806" Type="http://schemas.openxmlformats.org/officeDocument/2006/relationships/image" Target="../media/image806.jpeg"/><Relationship Id="rId805" Type="http://schemas.openxmlformats.org/officeDocument/2006/relationships/image" Target="../media/image805.jpeg"/><Relationship Id="rId804" Type="http://schemas.openxmlformats.org/officeDocument/2006/relationships/image" Target="../media/image804.jpeg"/><Relationship Id="rId803" Type="http://schemas.openxmlformats.org/officeDocument/2006/relationships/image" Target="../media/image803.jpeg"/><Relationship Id="rId802" Type="http://schemas.openxmlformats.org/officeDocument/2006/relationships/image" Target="../media/image802.jpeg"/><Relationship Id="rId801" Type="http://schemas.openxmlformats.org/officeDocument/2006/relationships/image" Target="../media/image801.jpeg"/><Relationship Id="rId800" Type="http://schemas.openxmlformats.org/officeDocument/2006/relationships/image" Target="../media/image800.jpeg"/><Relationship Id="rId80" Type="http://schemas.openxmlformats.org/officeDocument/2006/relationships/image" Target="../media/image80.jpeg"/><Relationship Id="rId8" Type="http://schemas.openxmlformats.org/officeDocument/2006/relationships/image" Target="../media/image8.jpeg"/><Relationship Id="rId799" Type="http://schemas.openxmlformats.org/officeDocument/2006/relationships/image" Target="../media/image799.jpeg"/><Relationship Id="rId798" Type="http://schemas.openxmlformats.org/officeDocument/2006/relationships/image" Target="../media/image798.jpeg"/><Relationship Id="rId797" Type="http://schemas.openxmlformats.org/officeDocument/2006/relationships/image" Target="../media/image797.jpeg"/><Relationship Id="rId796" Type="http://schemas.openxmlformats.org/officeDocument/2006/relationships/image" Target="../media/image796.jpeg"/><Relationship Id="rId795" Type="http://schemas.openxmlformats.org/officeDocument/2006/relationships/image" Target="../media/image795.jpeg"/><Relationship Id="rId794" Type="http://schemas.openxmlformats.org/officeDocument/2006/relationships/image" Target="../media/image794.jpeg"/><Relationship Id="rId793" Type="http://schemas.openxmlformats.org/officeDocument/2006/relationships/image" Target="../media/image793.jpeg"/><Relationship Id="rId792" Type="http://schemas.openxmlformats.org/officeDocument/2006/relationships/image" Target="../media/image792.jpeg"/><Relationship Id="rId791" Type="http://schemas.openxmlformats.org/officeDocument/2006/relationships/image" Target="../media/image791.jpeg"/><Relationship Id="rId790" Type="http://schemas.openxmlformats.org/officeDocument/2006/relationships/image" Target="../media/image790.jpeg"/><Relationship Id="rId79" Type="http://schemas.openxmlformats.org/officeDocument/2006/relationships/image" Target="../media/image79.jpeg"/><Relationship Id="rId789" Type="http://schemas.openxmlformats.org/officeDocument/2006/relationships/image" Target="../media/image789.jpeg"/><Relationship Id="rId788" Type="http://schemas.openxmlformats.org/officeDocument/2006/relationships/image" Target="../media/image788.jpeg"/><Relationship Id="rId787" Type="http://schemas.openxmlformats.org/officeDocument/2006/relationships/image" Target="../media/image787.jpeg"/><Relationship Id="rId786" Type="http://schemas.openxmlformats.org/officeDocument/2006/relationships/image" Target="../media/image786.jpeg"/><Relationship Id="rId785" Type="http://schemas.openxmlformats.org/officeDocument/2006/relationships/image" Target="../media/image785.jpeg"/><Relationship Id="rId784" Type="http://schemas.openxmlformats.org/officeDocument/2006/relationships/image" Target="../media/image784.jpeg"/><Relationship Id="rId783" Type="http://schemas.openxmlformats.org/officeDocument/2006/relationships/image" Target="../media/image783.jpeg"/><Relationship Id="rId782" Type="http://schemas.openxmlformats.org/officeDocument/2006/relationships/image" Target="../media/image782.jpeg"/><Relationship Id="rId781" Type="http://schemas.openxmlformats.org/officeDocument/2006/relationships/image" Target="../media/image781.jpeg"/><Relationship Id="rId780" Type="http://schemas.openxmlformats.org/officeDocument/2006/relationships/image" Target="../media/image780.jpeg"/><Relationship Id="rId78" Type="http://schemas.openxmlformats.org/officeDocument/2006/relationships/image" Target="../media/image78.jpeg"/><Relationship Id="rId779" Type="http://schemas.openxmlformats.org/officeDocument/2006/relationships/image" Target="../media/image779.jpeg"/><Relationship Id="rId778" Type="http://schemas.openxmlformats.org/officeDocument/2006/relationships/image" Target="../media/image778.jpeg"/><Relationship Id="rId777" Type="http://schemas.openxmlformats.org/officeDocument/2006/relationships/image" Target="../media/image777.jpeg"/><Relationship Id="rId776" Type="http://schemas.openxmlformats.org/officeDocument/2006/relationships/image" Target="../media/image776.jpeg"/><Relationship Id="rId775" Type="http://schemas.openxmlformats.org/officeDocument/2006/relationships/image" Target="../media/image775.jpeg"/><Relationship Id="rId774" Type="http://schemas.openxmlformats.org/officeDocument/2006/relationships/image" Target="../media/image774.jpeg"/><Relationship Id="rId773" Type="http://schemas.openxmlformats.org/officeDocument/2006/relationships/image" Target="../media/image773.jpeg"/><Relationship Id="rId772" Type="http://schemas.openxmlformats.org/officeDocument/2006/relationships/image" Target="../media/image772.jpeg"/><Relationship Id="rId771" Type="http://schemas.openxmlformats.org/officeDocument/2006/relationships/image" Target="../media/image771.jpeg"/><Relationship Id="rId770" Type="http://schemas.openxmlformats.org/officeDocument/2006/relationships/image" Target="../media/image770.jpeg"/><Relationship Id="rId77" Type="http://schemas.openxmlformats.org/officeDocument/2006/relationships/image" Target="../media/image77.jpeg"/><Relationship Id="rId769" Type="http://schemas.openxmlformats.org/officeDocument/2006/relationships/image" Target="../media/image769.jpeg"/><Relationship Id="rId768" Type="http://schemas.openxmlformats.org/officeDocument/2006/relationships/image" Target="../media/image768.jpeg"/><Relationship Id="rId767" Type="http://schemas.openxmlformats.org/officeDocument/2006/relationships/image" Target="../media/image767.jpeg"/><Relationship Id="rId766" Type="http://schemas.openxmlformats.org/officeDocument/2006/relationships/image" Target="../media/image766.jpeg"/><Relationship Id="rId765" Type="http://schemas.openxmlformats.org/officeDocument/2006/relationships/image" Target="../media/image765.jpeg"/><Relationship Id="rId764" Type="http://schemas.openxmlformats.org/officeDocument/2006/relationships/image" Target="../media/image764.jpeg"/><Relationship Id="rId763" Type="http://schemas.openxmlformats.org/officeDocument/2006/relationships/image" Target="../media/image763.jpeg"/><Relationship Id="rId762" Type="http://schemas.openxmlformats.org/officeDocument/2006/relationships/image" Target="../media/image762.jpeg"/><Relationship Id="rId761" Type="http://schemas.openxmlformats.org/officeDocument/2006/relationships/image" Target="../media/image761.jpeg"/><Relationship Id="rId760" Type="http://schemas.openxmlformats.org/officeDocument/2006/relationships/image" Target="../media/image760.jpeg"/><Relationship Id="rId76" Type="http://schemas.openxmlformats.org/officeDocument/2006/relationships/image" Target="../media/image76.jpeg"/><Relationship Id="rId759" Type="http://schemas.openxmlformats.org/officeDocument/2006/relationships/image" Target="../media/image759.jpeg"/><Relationship Id="rId758" Type="http://schemas.openxmlformats.org/officeDocument/2006/relationships/image" Target="../media/image758.jpeg"/><Relationship Id="rId757" Type="http://schemas.openxmlformats.org/officeDocument/2006/relationships/image" Target="../media/image757.jpeg"/><Relationship Id="rId756" Type="http://schemas.openxmlformats.org/officeDocument/2006/relationships/image" Target="../media/image756.jpeg"/><Relationship Id="rId755" Type="http://schemas.openxmlformats.org/officeDocument/2006/relationships/image" Target="../media/image755.jpeg"/><Relationship Id="rId754" Type="http://schemas.openxmlformats.org/officeDocument/2006/relationships/image" Target="../media/image754.jpeg"/><Relationship Id="rId753" Type="http://schemas.openxmlformats.org/officeDocument/2006/relationships/image" Target="../media/image753.jpeg"/><Relationship Id="rId752" Type="http://schemas.openxmlformats.org/officeDocument/2006/relationships/image" Target="../media/image752.jpeg"/><Relationship Id="rId751" Type="http://schemas.openxmlformats.org/officeDocument/2006/relationships/image" Target="../media/image751.jpeg"/><Relationship Id="rId750" Type="http://schemas.openxmlformats.org/officeDocument/2006/relationships/image" Target="../media/image750.jpeg"/><Relationship Id="rId75" Type="http://schemas.openxmlformats.org/officeDocument/2006/relationships/image" Target="../media/image75.jpeg"/><Relationship Id="rId749" Type="http://schemas.openxmlformats.org/officeDocument/2006/relationships/image" Target="../media/image749.jpeg"/><Relationship Id="rId748" Type="http://schemas.openxmlformats.org/officeDocument/2006/relationships/image" Target="../media/image748.jpeg"/><Relationship Id="rId747" Type="http://schemas.openxmlformats.org/officeDocument/2006/relationships/image" Target="../media/image747.jpeg"/><Relationship Id="rId746" Type="http://schemas.openxmlformats.org/officeDocument/2006/relationships/image" Target="../media/image746.jpeg"/><Relationship Id="rId745" Type="http://schemas.openxmlformats.org/officeDocument/2006/relationships/image" Target="../media/image745.jpeg"/><Relationship Id="rId744" Type="http://schemas.openxmlformats.org/officeDocument/2006/relationships/image" Target="../media/image744.jpeg"/><Relationship Id="rId743" Type="http://schemas.openxmlformats.org/officeDocument/2006/relationships/image" Target="../media/image743.jpeg"/><Relationship Id="rId742" Type="http://schemas.openxmlformats.org/officeDocument/2006/relationships/image" Target="../media/image742.jpeg"/><Relationship Id="rId741" Type="http://schemas.openxmlformats.org/officeDocument/2006/relationships/image" Target="../media/image741.jpeg"/><Relationship Id="rId740" Type="http://schemas.openxmlformats.org/officeDocument/2006/relationships/image" Target="../media/image740.jpeg"/><Relationship Id="rId74" Type="http://schemas.openxmlformats.org/officeDocument/2006/relationships/image" Target="../media/image74.jpeg"/><Relationship Id="rId739" Type="http://schemas.openxmlformats.org/officeDocument/2006/relationships/image" Target="../media/image739.jpeg"/><Relationship Id="rId738" Type="http://schemas.openxmlformats.org/officeDocument/2006/relationships/image" Target="../media/image738.jpeg"/><Relationship Id="rId737" Type="http://schemas.openxmlformats.org/officeDocument/2006/relationships/image" Target="../media/image737.jpeg"/><Relationship Id="rId736" Type="http://schemas.openxmlformats.org/officeDocument/2006/relationships/image" Target="../media/image736.jpeg"/><Relationship Id="rId735" Type="http://schemas.openxmlformats.org/officeDocument/2006/relationships/image" Target="../media/image735.jpeg"/><Relationship Id="rId734" Type="http://schemas.openxmlformats.org/officeDocument/2006/relationships/image" Target="../media/image734.jpeg"/><Relationship Id="rId733" Type="http://schemas.openxmlformats.org/officeDocument/2006/relationships/image" Target="../media/image733.jpeg"/><Relationship Id="rId732" Type="http://schemas.openxmlformats.org/officeDocument/2006/relationships/image" Target="../media/image732.jpeg"/><Relationship Id="rId731" Type="http://schemas.openxmlformats.org/officeDocument/2006/relationships/image" Target="../media/image731.jpeg"/><Relationship Id="rId730" Type="http://schemas.openxmlformats.org/officeDocument/2006/relationships/image" Target="../media/image730.jpeg"/><Relationship Id="rId73" Type="http://schemas.openxmlformats.org/officeDocument/2006/relationships/image" Target="../media/image73.jpeg"/><Relationship Id="rId729" Type="http://schemas.openxmlformats.org/officeDocument/2006/relationships/image" Target="../media/image729.jpeg"/><Relationship Id="rId728" Type="http://schemas.openxmlformats.org/officeDocument/2006/relationships/image" Target="../media/image728.jpeg"/><Relationship Id="rId727" Type="http://schemas.openxmlformats.org/officeDocument/2006/relationships/image" Target="../media/image727.jpeg"/><Relationship Id="rId726" Type="http://schemas.openxmlformats.org/officeDocument/2006/relationships/image" Target="../media/image726.jpeg"/><Relationship Id="rId725" Type="http://schemas.openxmlformats.org/officeDocument/2006/relationships/image" Target="../media/image725.jpeg"/><Relationship Id="rId724" Type="http://schemas.openxmlformats.org/officeDocument/2006/relationships/image" Target="../media/image724.jpeg"/><Relationship Id="rId723" Type="http://schemas.openxmlformats.org/officeDocument/2006/relationships/image" Target="../media/image723.jpeg"/><Relationship Id="rId722" Type="http://schemas.openxmlformats.org/officeDocument/2006/relationships/image" Target="../media/image722.jpeg"/><Relationship Id="rId721" Type="http://schemas.openxmlformats.org/officeDocument/2006/relationships/image" Target="../media/image721.jpeg"/><Relationship Id="rId720" Type="http://schemas.openxmlformats.org/officeDocument/2006/relationships/image" Target="../media/image720.jpeg"/><Relationship Id="rId72" Type="http://schemas.openxmlformats.org/officeDocument/2006/relationships/image" Target="../media/image72.jpeg"/><Relationship Id="rId719" Type="http://schemas.openxmlformats.org/officeDocument/2006/relationships/image" Target="../media/image719.jpeg"/><Relationship Id="rId718" Type="http://schemas.openxmlformats.org/officeDocument/2006/relationships/image" Target="../media/image718.jpeg"/><Relationship Id="rId717" Type="http://schemas.openxmlformats.org/officeDocument/2006/relationships/image" Target="../media/image717.jpeg"/><Relationship Id="rId716" Type="http://schemas.openxmlformats.org/officeDocument/2006/relationships/image" Target="../media/image716.jpeg"/><Relationship Id="rId715" Type="http://schemas.openxmlformats.org/officeDocument/2006/relationships/image" Target="../media/image715.jpeg"/><Relationship Id="rId714" Type="http://schemas.openxmlformats.org/officeDocument/2006/relationships/image" Target="../media/image714.jpeg"/><Relationship Id="rId713" Type="http://schemas.openxmlformats.org/officeDocument/2006/relationships/image" Target="../media/image713.jpeg"/><Relationship Id="rId712" Type="http://schemas.openxmlformats.org/officeDocument/2006/relationships/image" Target="../media/image712.jpeg"/><Relationship Id="rId711" Type="http://schemas.openxmlformats.org/officeDocument/2006/relationships/image" Target="../media/image711.jpeg"/><Relationship Id="rId710" Type="http://schemas.openxmlformats.org/officeDocument/2006/relationships/image" Target="../media/image710.jpeg"/><Relationship Id="rId71" Type="http://schemas.openxmlformats.org/officeDocument/2006/relationships/image" Target="../media/image71.jpeg"/><Relationship Id="rId709" Type="http://schemas.openxmlformats.org/officeDocument/2006/relationships/image" Target="../media/image709.jpeg"/><Relationship Id="rId708" Type="http://schemas.openxmlformats.org/officeDocument/2006/relationships/image" Target="../media/image708.jpeg"/><Relationship Id="rId707" Type="http://schemas.openxmlformats.org/officeDocument/2006/relationships/image" Target="../media/image707.jpeg"/><Relationship Id="rId706" Type="http://schemas.openxmlformats.org/officeDocument/2006/relationships/image" Target="../media/image706.jpeg"/><Relationship Id="rId705" Type="http://schemas.openxmlformats.org/officeDocument/2006/relationships/image" Target="../media/image705.jpeg"/><Relationship Id="rId704" Type="http://schemas.openxmlformats.org/officeDocument/2006/relationships/image" Target="../media/image704.jpeg"/><Relationship Id="rId703" Type="http://schemas.openxmlformats.org/officeDocument/2006/relationships/image" Target="../media/image703.jpeg"/><Relationship Id="rId702" Type="http://schemas.openxmlformats.org/officeDocument/2006/relationships/image" Target="../media/image702.jpeg"/><Relationship Id="rId701" Type="http://schemas.openxmlformats.org/officeDocument/2006/relationships/image" Target="../media/image701.jpeg"/><Relationship Id="rId700" Type="http://schemas.openxmlformats.org/officeDocument/2006/relationships/image" Target="../media/image700.jpeg"/><Relationship Id="rId70" Type="http://schemas.openxmlformats.org/officeDocument/2006/relationships/image" Target="../media/image70.jpeg"/><Relationship Id="rId7" Type="http://schemas.openxmlformats.org/officeDocument/2006/relationships/image" Target="../media/image7.jpeg"/><Relationship Id="rId699" Type="http://schemas.openxmlformats.org/officeDocument/2006/relationships/image" Target="../media/image699.jpeg"/><Relationship Id="rId698" Type="http://schemas.openxmlformats.org/officeDocument/2006/relationships/image" Target="../media/image698.jpeg"/><Relationship Id="rId697" Type="http://schemas.openxmlformats.org/officeDocument/2006/relationships/image" Target="../media/image697.jpeg"/><Relationship Id="rId696" Type="http://schemas.openxmlformats.org/officeDocument/2006/relationships/image" Target="../media/image696.jpeg"/><Relationship Id="rId695" Type="http://schemas.openxmlformats.org/officeDocument/2006/relationships/image" Target="../media/image695.jpeg"/><Relationship Id="rId694" Type="http://schemas.openxmlformats.org/officeDocument/2006/relationships/image" Target="../media/image694.jpeg"/><Relationship Id="rId693" Type="http://schemas.openxmlformats.org/officeDocument/2006/relationships/image" Target="../media/image693.jpeg"/><Relationship Id="rId692" Type="http://schemas.openxmlformats.org/officeDocument/2006/relationships/image" Target="../media/image692.jpeg"/><Relationship Id="rId691" Type="http://schemas.openxmlformats.org/officeDocument/2006/relationships/image" Target="../media/image691.png"/><Relationship Id="rId690" Type="http://schemas.openxmlformats.org/officeDocument/2006/relationships/image" Target="../media/image690.jpeg"/><Relationship Id="rId69" Type="http://schemas.openxmlformats.org/officeDocument/2006/relationships/image" Target="../media/image69.jpeg"/><Relationship Id="rId689" Type="http://schemas.openxmlformats.org/officeDocument/2006/relationships/image" Target="../media/image689.jpeg"/><Relationship Id="rId688" Type="http://schemas.openxmlformats.org/officeDocument/2006/relationships/image" Target="../media/image688.jpeg"/><Relationship Id="rId687" Type="http://schemas.openxmlformats.org/officeDocument/2006/relationships/image" Target="../media/image687.jpeg"/><Relationship Id="rId686" Type="http://schemas.openxmlformats.org/officeDocument/2006/relationships/image" Target="../media/image686.jpeg"/><Relationship Id="rId685" Type="http://schemas.openxmlformats.org/officeDocument/2006/relationships/image" Target="../media/image685.jpeg"/><Relationship Id="rId684" Type="http://schemas.openxmlformats.org/officeDocument/2006/relationships/image" Target="../media/image684.jpeg"/><Relationship Id="rId683" Type="http://schemas.openxmlformats.org/officeDocument/2006/relationships/image" Target="../media/image683.jpeg"/><Relationship Id="rId682" Type="http://schemas.openxmlformats.org/officeDocument/2006/relationships/image" Target="../media/image682.jpeg"/><Relationship Id="rId681" Type="http://schemas.openxmlformats.org/officeDocument/2006/relationships/image" Target="../media/image681.jpeg"/><Relationship Id="rId680" Type="http://schemas.openxmlformats.org/officeDocument/2006/relationships/image" Target="../media/image680.jpeg"/><Relationship Id="rId68" Type="http://schemas.openxmlformats.org/officeDocument/2006/relationships/image" Target="../media/image68.jpeg"/><Relationship Id="rId679" Type="http://schemas.openxmlformats.org/officeDocument/2006/relationships/image" Target="../media/image679.jpeg"/><Relationship Id="rId678" Type="http://schemas.openxmlformats.org/officeDocument/2006/relationships/image" Target="../media/image678.jpeg"/><Relationship Id="rId677" Type="http://schemas.openxmlformats.org/officeDocument/2006/relationships/image" Target="../media/image677.jpeg"/><Relationship Id="rId676" Type="http://schemas.openxmlformats.org/officeDocument/2006/relationships/image" Target="../media/image676.jpeg"/><Relationship Id="rId675" Type="http://schemas.openxmlformats.org/officeDocument/2006/relationships/image" Target="../media/image675.jpeg"/><Relationship Id="rId674" Type="http://schemas.openxmlformats.org/officeDocument/2006/relationships/image" Target="../media/image674.jpeg"/><Relationship Id="rId673" Type="http://schemas.openxmlformats.org/officeDocument/2006/relationships/image" Target="../media/image673.jpeg"/><Relationship Id="rId672" Type="http://schemas.openxmlformats.org/officeDocument/2006/relationships/image" Target="../media/image672.jpeg"/><Relationship Id="rId671" Type="http://schemas.openxmlformats.org/officeDocument/2006/relationships/image" Target="../media/image671.jpeg"/><Relationship Id="rId670" Type="http://schemas.openxmlformats.org/officeDocument/2006/relationships/image" Target="../media/image670.jpeg"/><Relationship Id="rId67" Type="http://schemas.openxmlformats.org/officeDocument/2006/relationships/image" Target="../media/image67.jpeg"/><Relationship Id="rId669" Type="http://schemas.openxmlformats.org/officeDocument/2006/relationships/image" Target="../media/image669.jpeg"/><Relationship Id="rId668" Type="http://schemas.openxmlformats.org/officeDocument/2006/relationships/image" Target="../media/image668.jpeg"/><Relationship Id="rId667" Type="http://schemas.openxmlformats.org/officeDocument/2006/relationships/image" Target="../media/image667.jpeg"/><Relationship Id="rId666" Type="http://schemas.openxmlformats.org/officeDocument/2006/relationships/image" Target="../media/image666.jpeg"/><Relationship Id="rId665" Type="http://schemas.openxmlformats.org/officeDocument/2006/relationships/image" Target="../media/image665.jpeg"/><Relationship Id="rId664" Type="http://schemas.openxmlformats.org/officeDocument/2006/relationships/image" Target="../media/image664.jpeg"/><Relationship Id="rId663" Type="http://schemas.openxmlformats.org/officeDocument/2006/relationships/image" Target="../media/image663.jpeg"/><Relationship Id="rId662" Type="http://schemas.openxmlformats.org/officeDocument/2006/relationships/image" Target="../media/image662.jpeg"/><Relationship Id="rId661" Type="http://schemas.openxmlformats.org/officeDocument/2006/relationships/image" Target="../media/image661.jpeg"/><Relationship Id="rId660" Type="http://schemas.openxmlformats.org/officeDocument/2006/relationships/image" Target="../media/image660.jpeg"/><Relationship Id="rId66" Type="http://schemas.openxmlformats.org/officeDocument/2006/relationships/image" Target="../media/image66.jpeg"/><Relationship Id="rId659" Type="http://schemas.openxmlformats.org/officeDocument/2006/relationships/image" Target="../media/image659.jpeg"/><Relationship Id="rId658" Type="http://schemas.openxmlformats.org/officeDocument/2006/relationships/image" Target="../media/image658.jpeg"/><Relationship Id="rId657" Type="http://schemas.openxmlformats.org/officeDocument/2006/relationships/image" Target="../media/image657.jpeg"/><Relationship Id="rId656" Type="http://schemas.openxmlformats.org/officeDocument/2006/relationships/image" Target="../media/image656.jpeg"/><Relationship Id="rId655" Type="http://schemas.openxmlformats.org/officeDocument/2006/relationships/image" Target="../media/image655.jpeg"/><Relationship Id="rId654" Type="http://schemas.openxmlformats.org/officeDocument/2006/relationships/image" Target="../media/image654.jpeg"/><Relationship Id="rId653" Type="http://schemas.openxmlformats.org/officeDocument/2006/relationships/image" Target="../media/image653.jpeg"/><Relationship Id="rId652" Type="http://schemas.openxmlformats.org/officeDocument/2006/relationships/image" Target="../media/image652.jpeg"/><Relationship Id="rId651" Type="http://schemas.openxmlformats.org/officeDocument/2006/relationships/image" Target="../media/image651.jpeg"/><Relationship Id="rId650" Type="http://schemas.openxmlformats.org/officeDocument/2006/relationships/image" Target="../media/image650.jpeg"/><Relationship Id="rId65" Type="http://schemas.openxmlformats.org/officeDocument/2006/relationships/image" Target="../media/image65.jpeg"/><Relationship Id="rId649" Type="http://schemas.openxmlformats.org/officeDocument/2006/relationships/image" Target="../media/image649.jpeg"/><Relationship Id="rId648" Type="http://schemas.openxmlformats.org/officeDocument/2006/relationships/image" Target="../media/image648.jpeg"/><Relationship Id="rId647" Type="http://schemas.openxmlformats.org/officeDocument/2006/relationships/image" Target="../media/image647.jpeg"/><Relationship Id="rId646" Type="http://schemas.openxmlformats.org/officeDocument/2006/relationships/image" Target="../media/image646.jpeg"/><Relationship Id="rId645" Type="http://schemas.openxmlformats.org/officeDocument/2006/relationships/image" Target="../media/image645.jpeg"/><Relationship Id="rId644" Type="http://schemas.openxmlformats.org/officeDocument/2006/relationships/image" Target="../media/image644.jpeg"/><Relationship Id="rId643" Type="http://schemas.openxmlformats.org/officeDocument/2006/relationships/image" Target="../media/image643.jpeg"/><Relationship Id="rId642" Type="http://schemas.openxmlformats.org/officeDocument/2006/relationships/image" Target="../media/image642.jpeg"/><Relationship Id="rId641" Type="http://schemas.openxmlformats.org/officeDocument/2006/relationships/image" Target="../media/image641.jpeg"/><Relationship Id="rId640" Type="http://schemas.openxmlformats.org/officeDocument/2006/relationships/image" Target="../media/image640.jpeg"/><Relationship Id="rId64" Type="http://schemas.openxmlformats.org/officeDocument/2006/relationships/image" Target="../media/image64.jpeg"/><Relationship Id="rId639" Type="http://schemas.openxmlformats.org/officeDocument/2006/relationships/image" Target="../media/image639.jpeg"/><Relationship Id="rId638" Type="http://schemas.openxmlformats.org/officeDocument/2006/relationships/image" Target="../media/image638.jpeg"/><Relationship Id="rId637" Type="http://schemas.openxmlformats.org/officeDocument/2006/relationships/image" Target="../media/image637.jpeg"/><Relationship Id="rId636" Type="http://schemas.openxmlformats.org/officeDocument/2006/relationships/image" Target="../media/image636.jpeg"/><Relationship Id="rId635" Type="http://schemas.openxmlformats.org/officeDocument/2006/relationships/image" Target="../media/image635.jpeg"/><Relationship Id="rId634" Type="http://schemas.openxmlformats.org/officeDocument/2006/relationships/image" Target="../media/image634.jpeg"/><Relationship Id="rId633" Type="http://schemas.openxmlformats.org/officeDocument/2006/relationships/image" Target="../media/image633.jpeg"/><Relationship Id="rId632" Type="http://schemas.openxmlformats.org/officeDocument/2006/relationships/image" Target="../media/image632.jpeg"/><Relationship Id="rId631" Type="http://schemas.openxmlformats.org/officeDocument/2006/relationships/image" Target="../media/image631.jpeg"/><Relationship Id="rId630" Type="http://schemas.openxmlformats.org/officeDocument/2006/relationships/image" Target="../media/image630.jpeg"/><Relationship Id="rId63" Type="http://schemas.openxmlformats.org/officeDocument/2006/relationships/image" Target="../media/image63.jpeg"/><Relationship Id="rId629" Type="http://schemas.openxmlformats.org/officeDocument/2006/relationships/image" Target="../media/image629.jpeg"/><Relationship Id="rId628" Type="http://schemas.openxmlformats.org/officeDocument/2006/relationships/image" Target="../media/image628.jpeg"/><Relationship Id="rId627" Type="http://schemas.openxmlformats.org/officeDocument/2006/relationships/image" Target="../media/image627.jpeg"/><Relationship Id="rId626" Type="http://schemas.openxmlformats.org/officeDocument/2006/relationships/image" Target="../media/image626.jpeg"/><Relationship Id="rId625" Type="http://schemas.openxmlformats.org/officeDocument/2006/relationships/image" Target="../media/image625.jpeg"/><Relationship Id="rId624" Type="http://schemas.openxmlformats.org/officeDocument/2006/relationships/image" Target="../media/image624.jpeg"/><Relationship Id="rId623" Type="http://schemas.openxmlformats.org/officeDocument/2006/relationships/image" Target="../media/image623.jpeg"/><Relationship Id="rId622" Type="http://schemas.openxmlformats.org/officeDocument/2006/relationships/image" Target="../media/image622.jpeg"/><Relationship Id="rId621" Type="http://schemas.openxmlformats.org/officeDocument/2006/relationships/image" Target="../media/image621.jpeg"/><Relationship Id="rId620" Type="http://schemas.openxmlformats.org/officeDocument/2006/relationships/image" Target="../media/image620.jpeg"/><Relationship Id="rId62" Type="http://schemas.openxmlformats.org/officeDocument/2006/relationships/image" Target="../media/image62.jpeg"/><Relationship Id="rId619" Type="http://schemas.openxmlformats.org/officeDocument/2006/relationships/image" Target="../media/image619.jpeg"/><Relationship Id="rId618" Type="http://schemas.openxmlformats.org/officeDocument/2006/relationships/image" Target="../media/image618.jpeg"/><Relationship Id="rId617" Type="http://schemas.openxmlformats.org/officeDocument/2006/relationships/image" Target="../media/image617.jpeg"/><Relationship Id="rId616" Type="http://schemas.openxmlformats.org/officeDocument/2006/relationships/image" Target="../media/image616.jpeg"/><Relationship Id="rId615" Type="http://schemas.openxmlformats.org/officeDocument/2006/relationships/image" Target="../media/image615.jpeg"/><Relationship Id="rId614" Type="http://schemas.openxmlformats.org/officeDocument/2006/relationships/image" Target="../media/image614.jpeg"/><Relationship Id="rId613" Type="http://schemas.openxmlformats.org/officeDocument/2006/relationships/image" Target="../media/image613.jpeg"/><Relationship Id="rId612" Type="http://schemas.openxmlformats.org/officeDocument/2006/relationships/image" Target="../media/image612.jpeg"/><Relationship Id="rId611" Type="http://schemas.openxmlformats.org/officeDocument/2006/relationships/image" Target="../media/image611.jpeg"/><Relationship Id="rId610" Type="http://schemas.openxmlformats.org/officeDocument/2006/relationships/image" Target="../media/image610.jpeg"/><Relationship Id="rId61" Type="http://schemas.openxmlformats.org/officeDocument/2006/relationships/image" Target="../media/image61.jpeg"/><Relationship Id="rId609" Type="http://schemas.openxmlformats.org/officeDocument/2006/relationships/image" Target="../media/image609.jpeg"/><Relationship Id="rId608" Type="http://schemas.openxmlformats.org/officeDocument/2006/relationships/image" Target="../media/image608.jpeg"/><Relationship Id="rId607" Type="http://schemas.openxmlformats.org/officeDocument/2006/relationships/image" Target="../media/image607.jpeg"/><Relationship Id="rId606" Type="http://schemas.openxmlformats.org/officeDocument/2006/relationships/image" Target="../media/image606.jpeg"/><Relationship Id="rId605" Type="http://schemas.openxmlformats.org/officeDocument/2006/relationships/image" Target="../media/image605.jpeg"/><Relationship Id="rId604" Type="http://schemas.openxmlformats.org/officeDocument/2006/relationships/image" Target="../media/image604.jpeg"/><Relationship Id="rId603" Type="http://schemas.openxmlformats.org/officeDocument/2006/relationships/image" Target="../media/image603.jpeg"/><Relationship Id="rId602" Type="http://schemas.openxmlformats.org/officeDocument/2006/relationships/image" Target="../media/image602.jpeg"/><Relationship Id="rId601" Type="http://schemas.openxmlformats.org/officeDocument/2006/relationships/image" Target="../media/image601.jpeg"/><Relationship Id="rId600" Type="http://schemas.openxmlformats.org/officeDocument/2006/relationships/image" Target="../media/image600.jpeg"/><Relationship Id="rId60" Type="http://schemas.openxmlformats.org/officeDocument/2006/relationships/image" Target="../media/image60.jpeg"/><Relationship Id="rId6" Type="http://schemas.openxmlformats.org/officeDocument/2006/relationships/image" Target="../media/image6.jpeg"/><Relationship Id="rId599" Type="http://schemas.openxmlformats.org/officeDocument/2006/relationships/image" Target="../media/image599.jpeg"/><Relationship Id="rId598" Type="http://schemas.openxmlformats.org/officeDocument/2006/relationships/image" Target="../media/image598.jpeg"/><Relationship Id="rId597" Type="http://schemas.openxmlformats.org/officeDocument/2006/relationships/image" Target="../media/image597.jpeg"/><Relationship Id="rId596" Type="http://schemas.openxmlformats.org/officeDocument/2006/relationships/image" Target="../media/image596.jpeg"/><Relationship Id="rId595" Type="http://schemas.openxmlformats.org/officeDocument/2006/relationships/image" Target="../media/image595.jpeg"/><Relationship Id="rId594" Type="http://schemas.openxmlformats.org/officeDocument/2006/relationships/image" Target="../media/image594.jpeg"/><Relationship Id="rId593" Type="http://schemas.openxmlformats.org/officeDocument/2006/relationships/image" Target="../media/image593.jpeg"/><Relationship Id="rId592" Type="http://schemas.openxmlformats.org/officeDocument/2006/relationships/image" Target="../media/image592.jpeg"/><Relationship Id="rId591" Type="http://schemas.openxmlformats.org/officeDocument/2006/relationships/image" Target="../media/image591.jpeg"/><Relationship Id="rId590" Type="http://schemas.openxmlformats.org/officeDocument/2006/relationships/image" Target="../media/image590.jpeg"/><Relationship Id="rId59" Type="http://schemas.openxmlformats.org/officeDocument/2006/relationships/image" Target="../media/image59.jpeg"/><Relationship Id="rId589" Type="http://schemas.openxmlformats.org/officeDocument/2006/relationships/image" Target="../media/image589.jpeg"/><Relationship Id="rId588" Type="http://schemas.openxmlformats.org/officeDocument/2006/relationships/image" Target="../media/image588.jpeg"/><Relationship Id="rId587" Type="http://schemas.openxmlformats.org/officeDocument/2006/relationships/image" Target="../media/image587.jpeg"/><Relationship Id="rId586" Type="http://schemas.openxmlformats.org/officeDocument/2006/relationships/image" Target="../media/image586.jpeg"/><Relationship Id="rId585" Type="http://schemas.openxmlformats.org/officeDocument/2006/relationships/image" Target="../media/image585.jpeg"/><Relationship Id="rId584" Type="http://schemas.openxmlformats.org/officeDocument/2006/relationships/image" Target="../media/image584.jpeg"/><Relationship Id="rId583" Type="http://schemas.openxmlformats.org/officeDocument/2006/relationships/image" Target="../media/image583.jpeg"/><Relationship Id="rId582" Type="http://schemas.openxmlformats.org/officeDocument/2006/relationships/image" Target="../media/image582.jpeg"/><Relationship Id="rId581" Type="http://schemas.openxmlformats.org/officeDocument/2006/relationships/image" Target="../media/image581.jpeg"/><Relationship Id="rId580" Type="http://schemas.openxmlformats.org/officeDocument/2006/relationships/image" Target="../media/image580.jpeg"/><Relationship Id="rId58" Type="http://schemas.openxmlformats.org/officeDocument/2006/relationships/image" Target="../media/image58.jpeg"/><Relationship Id="rId579" Type="http://schemas.openxmlformats.org/officeDocument/2006/relationships/image" Target="../media/image579.jpeg"/><Relationship Id="rId578" Type="http://schemas.openxmlformats.org/officeDocument/2006/relationships/image" Target="../media/image578.jpeg"/><Relationship Id="rId577" Type="http://schemas.openxmlformats.org/officeDocument/2006/relationships/image" Target="../media/image577.jpeg"/><Relationship Id="rId576" Type="http://schemas.openxmlformats.org/officeDocument/2006/relationships/image" Target="../media/image576.jpeg"/><Relationship Id="rId575" Type="http://schemas.openxmlformats.org/officeDocument/2006/relationships/image" Target="../media/image575.jpeg"/><Relationship Id="rId574" Type="http://schemas.openxmlformats.org/officeDocument/2006/relationships/image" Target="../media/image574.jpeg"/><Relationship Id="rId573" Type="http://schemas.openxmlformats.org/officeDocument/2006/relationships/image" Target="../media/image573.jpeg"/><Relationship Id="rId572" Type="http://schemas.openxmlformats.org/officeDocument/2006/relationships/image" Target="../media/image572.jpeg"/><Relationship Id="rId571" Type="http://schemas.openxmlformats.org/officeDocument/2006/relationships/image" Target="../media/image571.jpeg"/><Relationship Id="rId570" Type="http://schemas.openxmlformats.org/officeDocument/2006/relationships/image" Target="../media/image570.jpeg"/><Relationship Id="rId57" Type="http://schemas.openxmlformats.org/officeDocument/2006/relationships/image" Target="../media/image57.jpeg"/><Relationship Id="rId569" Type="http://schemas.openxmlformats.org/officeDocument/2006/relationships/image" Target="../media/image569.jpeg"/><Relationship Id="rId568" Type="http://schemas.openxmlformats.org/officeDocument/2006/relationships/image" Target="../media/image568.jpeg"/><Relationship Id="rId567" Type="http://schemas.openxmlformats.org/officeDocument/2006/relationships/image" Target="../media/image567.jpeg"/><Relationship Id="rId566" Type="http://schemas.openxmlformats.org/officeDocument/2006/relationships/image" Target="../media/image566.jpeg"/><Relationship Id="rId565" Type="http://schemas.openxmlformats.org/officeDocument/2006/relationships/image" Target="../media/image565.jpeg"/><Relationship Id="rId564" Type="http://schemas.openxmlformats.org/officeDocument/2006/relationships/image" Target="../media/image564.jpeg"/><Relationship Id="rId563" Type="http://schemas.openxmlformats.org/officeDocument/2006/relationships/image" Target="../media/image563.jpeg"/><Relationship Id="rId562" Type="http://schemas.openxmlformats.org/officeDocument/2006/relationships/image" Target="../media/image562.jpeg"/><Relationship Id="rId561" Type="http://schemas.openxmlformats.org/officeDocument/2006/relationships/image" Target="../media/image561.jpeg"/><Relationship Id="rId560" Type="http://schemas.openxmlformats.org/officeDocument/2006/relationships/image" Target="../media/image560.jpeg"/><Relationship Id="rId56" Type="http://schemas.openxmlformats.org/officeDocument/2006/relationships/image" Target="../media/image56.jpeg"/><Relationship Id="rId559" Type="http://schemas.openxmlformats.org/officeDocument/2006/relationships/image" Target="../media/image559.jpeg"/><Relationship Id="rId558" Type="http://schemas.openxmlformats.org/officeDocument/2006/relationships/image" Target="../media/image558.jpeg"/><Relationship Id="rId557" Type="http://schemas.openxmlformats.org/officeDocument/2006/relationships/image" Target="../media/image557.jpeg"/><Relationship Id="rId556" Type="http://schemas.openxmlformats.org/officeDocument/2006/relationships/image" Target="../media/image556.jpeg"/><Relationship Id="rId555" Type="http://schemas.openxmlformats.org/officeDocument/2006/relationships/image" Target="../media/image555.jpeg"/><Relationship Id="rId554" Type="http://schemas.openxmlformats.org/officeDocument/2006/relationships/image" Target="../media/image554.jpeg"/><Relationship Id="rId553" Type="http://schemas.openxmlformats.org/officeDocument/2006/relationships/image" Target="../media/image553.jpeg"/><Relationship Id="rId552" Type="http://schemas.openxmlformats.org/officeDocument/2006/relationships/image" Target="../media/image552.jpeg"/><Relationship Id="rId551" Type="http://schemas.openxmlformats.org/officeDocument/2006/relationships/image" Target="../media/image551.jpeg"/><Relationship Id="rId550" Type="http://schemas.openxmlformats.org/officeDocument/2006/relationships/image" Target="../media/image550.jpeg"/><Relationship Id="rId55" Type="http://schemas.openxmlformats.org/officeDocument/2006/relationships/image" Target="../media/image55.jpeg"/><Relationship Id="rId549" Type="http://schemas.openxmlformats.org/officeDocument/2006/relationships/image" Target="../media/image549.jpeg"/><Relationship Id="rId548" Type="http://schemas.openxmlformats.org/officeDocument/2006/relationships/image" Target="../media/image548.jpeg"/><Relationship Id="rId547" Type="http://schemas.openxmlformats.org/officeDocument/2006/relationships/image" Target="../media/image547.jpeg"/><Relationship Id="rId546" Type="http://schemas.openxmlformats.org/officeDocument/2006/relationships/image" Target="../media/image546.jpeg"/><Relationship Id="rId545" Type="http://schemas.openxmlformats.org/officeDocument/2006/relationships/image" Target="../media/image545.jpeg"/><Relationship Id="rId544" Type="http://schemas.openxmlformats.org/officeDocument/2006/relationships/image" Target="../media/image544.jpeg"/><Relationship Id="rId543" Type="http://schemas.openxmlformats.org/officeDocument/2006/relationships/image" Target="../media/image543.jpeg"/><Relationship Id="rId542" Type="http://schemas.openxmlformats.org/officeDocument/2006/relationships/image" Target="../media/image542.jpeg"/><Relationship Id="rId541" Type="http://schemas.openxmlformats.org/officeDocument/2006/relationships/image" Target="../media/image541.jpeg"/><Relationship Id="rId540" Type="http://schemas.openxmlformats.org/officeDocument/2006/relationships/image" Target="../media/image540.jpeg"/><Relationship Id="rId54" Type="http://schemas.openxmlformats.org/officeDocument/2006/relationships/image" Target="../media/image54.jpeg"/><Relationship Id="rId539" Type="http://schemas.openxmlformats.org/officeDocument/2006/relationships/image" Target="../media/image539.jpeg"/><Relationship Id="rId538" Type="http://schemas.openxmlformats.org/officeDocument/2006/relationships/image" Target="../media/image538.jpeg"/><Relationship Id="rId537" Type="http://schemas.openxmlformats.org/officeDocument/2006/relationships/image" Target="../media/image537.jpeg"/><Relationship Id="rId536" Type="http://schemas.openxmlformats.org/officeDocument/2006/relationships/image" Target="../media/image536.jpeg"/><Relationship Id="rId535" Type="http://schemas.openxmlformats.org/officeDocument/2006/relationships/image" Target="../media/image535.jpeg"/><Relationship Id="rId534" Type="http://schemas.openxmlformats.org/officeDocument/2006/relationships/image" Target="../media/image534.jpeg"/><Relationship Id="rId533" Type="http://schemas.openxmlformats.org/officeDocument/2006/relationships/image" Target="../media/image533.jpeg"/><Relationship Id="rId532" Type="http://schemas.openxmlformats.org/officeDocument/2006/relationships/image" Target="../media/image532.jpeg"/><Relationship Id="rId531" Type="http://schemas.openxmlformats.org/officeDocument/2006/relationships/image" Target="../media/image531.jpeg"/><Relationship Id="rId530" Type="http://schemas.openxmlformats.org/officeDocument/2006/relationships/image" Target="../media/image530.jpeg"/><Relationship Id="rId53" Type="http://schemas.openxmlformats.org/officeDocument/2006/relationships/image" Target="../media/image53.jpeg"/><Relationship Id="rId529" Type="http://schemas.openxmlformats.org/officeDocument/2006/relationships/image" Target="../media/image529.jpeg"/><Relationship Id="rId528" Type="http://schemas.openxmlformats.org/officeDocument/2006/relationships/image" Target="../media/image528.jpeg"/><Relationship Id="rId527" Type="http://schemas.openxmlformats.org/officeDocument/2006/relationships/image" Target="../media/image527.jpeg"/><Relationship Id="rId526" Type="http://schemas.openxmlformats.org/officeDocument/2006/relationships/image" Target="../media/image526.jpeg"/><Relationship Id="rId525" Type="http://schemas.openxmlformats.org/officeDocument/2006/relationships/image" Target="../media/image525.jpeg"/><Relationship Id="rId524" Type="http://schemas.openxmlformats.org/officeDocument/2006/relationships/image" Target="../media/image524.jpeg"/><Relationship Id="rId523" Type="http://schemas.openxmlformats.org/officeDocument/2006/relationships/image" Target="../media/image523.jpeg"/><Relationship Id="rId522" Type="http://schemas.openxmlformats.org/officeDocument/2006/relationships/image" Target="../media/image522.jpeg"/><Relationship Id="rId521" Type="http://schemas.openxmlformats.org/officeDocument/2006/relationships/image" Target="../media/image521.jpeg"/><Relationship Id="rId520" Type="http://schemas.openxmlformats.org/officeDocument/2006/relationships/image" Target="../media/image520.jpeg"/><Relationship Id="rId52" Type="http://schemas.openxmlformats.org/officeDocument/2006/relationships/image" Target="../media/image52.jpeg"/><Relationship Id="rId519" Type="http://schemas.openxmlformats.org/officeDocument/2006/relationships/image" Target="../media/image519.jpeg"/><Relationship Id="rId518" Type="http://schemas.openxmlformats.org/officeDocument/2006/relationships/image" Target="../media/image518.jpeg"/><Relationship Id="rId517" Type="http://schemas.openxmlformats.org/officeDocument/2006/relationships/image" Target="../media/image517.jpeg"/><Relationship Id="rId516" Type="http://schemas.openxmlformats.org/officeDocument/2006/relationships/image" Target="../media/image516.jpeg"/><Relationship Id="rId515" Type="http://schemas.openxmlformats.org/officeDocument/2006/relationships/image" Target="../media/image515.jpeg"/><Relationship Id="rId514" Type="http://schemas.openxmlformats.org/officeDocument/2006/relationships/image" Target="../media/image514.jpeg"/><Relationship Id="rId513" Type="http://schemas.openxmlformats.org/officeDocument/2006/relationships/image" Target="../media/image513.jpeg"/><Relationship Id="rId512" Type="http://schemas.openxmlformats.org/officeDocument/2006/relationships/image" Target="../media/image512.jpeg"/><Relationship Id="rId511" Type="http://schemas.openxmlformats.org/officeDocument/2006/relationships/image" Target="../media/image511.jpeg"/><Relationship Id="rId510" Type="http://schemas.openxmlformats.org/officeDocument/2006/relationships/image" Target="../media/image510.jpeg"/><Relationship Id="rId51" Type="http://schemas.openxmlformats.org/officeDocument/2006/relationships/image" Target="../media/image51.jpeg"/><Relationship Id="rId509" Type="http://schemas.openxmlformats.org/officeDocument/2006/relationships/image" Target="../media/image509.jpeg"/><Relationship Id="rId508" Type="http://schemas.openxmlformats.org/officeDocument/2006/relationships/image" Target="../media/image508.jpeg"/><Relationship Id="rId507" Type="http://schemas.openxmlformats.org/officeDocument/2006/relationships/image" Target="../media/image507.jpeg"/><Relationship Id="rId506" Type="http://schemas.openxmlformats.org/officeDocument/2006/relationships/image" Target="../media/image506.jpeg"/><Relationship Id="rId505" Type="http://schemas.openxmlformats.org/officeDocument/2006/relationships/image" Target="../media/image505.jpeg"/><Relationship Id="rId504" Type="http://schemas.openxmlformats.org/officeDocument/2006/relationships/image" Target="../media/image504.jpeg"/><Relationship Id="rId503" Type="http://schemas.openxmlformats.org/officeDocument/2006/relationships/image" Target="../media/image503.jpeg"/><Relationship Id="rId502" Type="http://schemas.openxmlformats.org/officeDocument/2006/relationships/image" Target="../media/image502.jpeg"/><Relationship Id="rId501" Type="http://schemas.openxmlformats.org/officeDocument/2006/relationships/image" Target="../media/image501.jpeg"/><Relationship Id="rId500" Type="http://schemas.openxmlformats.org/officeDocument/2006/relationships/image" Target="../media/image500.jpeg"/><Relationship Id="rId50" Type="http://schemas.openxmlformats.org/officeDocument/2006/relationships/image" Target="../media/image50.jpeg"/><Relationship Id="rId5" Type="http://schemas.openxmlformats.org/officeDocument/2006/relationships/image" Target="../media/image5.jpeg"/><Relationship Id="rId499" Type="http://schemas.openxmlformats.org/officeDocument/2006/relationships/image" Target="../media/image499.jpeg"/><Relationship Id="rId498" Type="http://schemas.openxmlformats.org/officeDocument/2006/relationships/image" Target="../media/image498.jpeg"/><Relationship Id="rId497" Type="http://schemas.openxmlformats.org/officeDocument/2006/relationships/image" Target="../media/image497.jpeg"/><Relationship Id="rId496" Type="http://schemas.openxmlformats.org/officeDocument/2006/relationships/image" Target="../media/image496.jpeg"/><Relationship Id="rId495" Type="http://schemas.openxmlformats.org/officeDocument/2006/relationships/image" Target="../media/image495.jpeg"/><Relationship Id="rId494" Type="http://schemas.openxmlformats.org/officeDocument/2006/relationships/image" Target="../media/image494.jpeg"/><Relationship Id="rId493" Type="http://schemas.openxmlformats.org/officeDocument/2006/relationships/image" Target="../media/image493.jpeg"/><Relationship Id="rId492" Type="http://schemas.openxmlformats.org/officeDocument/2006/relationships/image" Target="../media/image492.jpeg"/><Relationship Id="rId491" Type="http://schemas.openxmlformats.org/officeDocument/2006/relationships/image" Target="../media/image491.jpeg"/><Relationship Id="rId490" Type="http://schemas.openxmlformats.org/officeDocument/2006/relationships/image" Target="../media/image490.jpeg"/><Relationship Id="rId49" Type="http://schemas.openxmlformats.org/officeDocument/2006/relationships/image" Target="../media/image49.jpeg"/><Relationship Id="rId489" Type="http://schemas.openxmlformats.org/officeDocument/2006/relationships/image" Target="../media/image489.jpeg"/><Relationship Id="rId488" Type="http://schemas.openxmlformats.org/officeDocument/2006/relationships/image" Target="../media/image488.jpeg"/><Relationship Id="rId487" Type="http://schemas.openxmlformats.org/officeDocument/2006/relationships/image" Target="../media/image487.jpeg"/><Relationship Id="rId486" Type="http://schemas.openxmlformats.org/officeDocument/2006/relationships/image" Target="../media/image486.jpeg"/><Relationship Id="rId485" Type="http://schemas.openxmlformats.org/officeDocument/2006/relationships/image" Target="../media/image485.jpeg"/><Relationship Id="rId484" Type="http://schemas.openxmlformats.org/officeDocument/2006/relationships/image" Target="../media/image484.jpeg"/><Relationship Id="rId483" Type="http://schemas.openxmlformats.org/officeDocument/2006/relationships/image" Target="../media/image483.jpeg"/><Relationship Id="rId482" Type="http://schemas.openxmlformats.org/officeDocument/2006/relationships/image" Target="../media/image482.jpeg"/><Relationship Id="rId481" Type="http://schemas.openxmlformats.org/officeDocument/2006/relationships/image" Target="../media/image481.jpeg"/><Relationship Id="rId480" Type="http://schemas.openxmlformats.org/officeDocument/2006/relationships/image" Target="../media/image480.jpeg"/><Relationship Id="rId48" Type="http://schemas.openxmlformats.org/officeDocument/2006/relationships/image" Target="../media/image48.jpeg"/><Relationship Id="rId479" Type="http://schemas.openxmlformats.org/officeDocument/2006/relationships/image" Target="../media/image479.jpeg"/><Relationship Id="rId478" Type="http://schemas.openxmlformats.org/officeDocument/2006/relationships/image" Target="../media/image478.jpeg"/><Relationship Id="rId477" Type="http://schemas.openxmlformats.org/officeDocument/2006/relationships/image" Target="../media/image477.jpeg"/><Relationship Id="rId476" Type="http://schemas.openxmlformats.org/officeDocument/2006/relationships/image" Target="../media/image476.jpeg"/><Relationship Id="rId475" Type="http://schemas.openxmlformats.org/officeDocument/2006/relationships/image" Target="../media/image475.jpeg"/><Relationship Id="rId474" Type="http://schemas.openxmlformats.org/officeDocument/2006/relationships/image" Target="../media/image474.jpeg"/><Relationship Id="rId473" Type="http://schemas.openxmlformats.org/officeDocument/2006/relationships/image" Target="../media/image473.jpeg"/><Relationship Id="rId472" Type="http://schemas.openxmlformats.org/officeDocument/2006/relationships/image" Target="../media/image472.jpeg"/><Relationship Id="rId471" Type="http://schemas.openxmlformats.org/officeDocument/2006/relationships/image" Target="../media/image471.jpeg"/><Relationship Id="rId470" Type="http://schemas.openxmlformats.org/officeDocument/2006/relationships/image" Target="../media/image470.jpeg"/><Relationship Id="rId47" Type="http://schemas.openxmlformats.org/officeDocument/2006/relationships/image" Target="../media/image47.jpeg"/><Relationship Id="rId469" Type="http://schemas.openxmlformats.org/officeDocument/2006/relationships/image" Target="../media/image469.jpeg"/><Relationship Id="rId468" Type="http://schemas.openxmlformats.org/officeDocument/2006/relationships/image" Target="../media/image468.jpeg"/><Relationship Id="rId467" Type="http://schemas.openxmlformats.org/officeDocument/2006/relationships/image" Target="../media/image467.jpeg"/><Relationship Id="rId466" Type="http://schemas.openxmlformats.org/officeDocument/2006/relationships/image" Target="../media/image466.jpeg"/><Relationship Id="rId465" Type="http://schemas.openxmlformats.org/officeDocument/2006/relationships/image" Target="../media/image465.jpeg"/><Relationship Id="rId464" Type="http://schemas.openxmlformats.org/officeDocument/2006/relationships/image" Target="../media/image464.jpeg"/><Relationship Id="rId463" Type="http://schemas.openxmlformats.org/officeDocument/2006/relationships/image" Target="../media/image463.jpeg"/><Relationship Id="rId462" Type="http://schemas.openxmlformats.org/officeDocument/2006/relationships/image" Target="../media/image462.jpeg"/><Relationship Id="rId461" Type="http://schemas.openxmlformats.org/officeDocument/2006/relationships/image" Target="../media/image461.jpeg"/><Relationship Id="rId460" Type="http://schemas.openxmlformats.org/officeDocument/2006/relationships/image" Target="../media/image460.jpeg"/><Relationship Id="rId46" Type="http://schemas.openxmlformats.org/officeDocument/2006/relationships/image" Target="../media/image46.jpeg"/><Relationship Id="rId459" Type="http://schemas.openxmlformats.org/officeDocument/2006/relationships/image" Target="../media/image459.jpeg"/><Relationship Id="rId458" Type="http://schemas.openxmlformats.org/officeDocument/2006/relationships/image" Target="../media/image458.jpeg"/><Relationship Id="rId457" Type="http://schemas.openxmlformats.org/officeDocument/2006/relationships/image" Target="../media/image457.png"/><Relationship Id="rId456" Type="http://schemas.openxmlformats.org/officeDocument/2006/relationships/image" Target="../media/image456.jpeg"/><Relationship Id="rId455" Type="http://schemas.openxmlformats.org/officeDocument/2006/relationships/image" Target="../media/image455.jpeg"/><Relationship Id="rId454" Type="http://schemas.openxmlformats.org/officeDocument/2006/relationships/image" Target="../media/image454.jpeg"/><Relationship Id="rId453" Type="http://schemas.openxmlformats.org/officeDocument/2006/relationships/image" Target="../media/image453.jpeg"/><Relationship Id="rId452" Type="http://schemas.openxmlformats.org/officeDocument/2006/relationships/image" Target="../media/image452.jpeg"/><Relationship Id="rId451" Type="http://schemas.openxmlformats.org/officeDocument/2006/relationships/image" Target="../media/image451.jpeg"/><Relationship Id="rId450" Type="http://schemas.openxmlformats.org/officeDocument/2006/relationships/image" Target="../media/image450.jpeg"/><Relationship Id="rId45" Type="http://schemas.openxmlformats.org/officeDocument/2006/relationships/image" Target="../media/image45.jpeg"/><Relationship Id="rId449" Type="http://schemas.openxmlformats.org/officeDocument/2006/relationships/image" Target="../media/image449.jpeg"/><Relationship Id="rId448" Type="http://schemas.openxmlformats.org/officeDocument/2006/relationships/image" Target="../media/image448.jpeg"/><Relationship Id="rId447" Type="http://schemas.openxmlformats.org/officeDocument/2006/relationships/image" Target="../media/image447.jpeg"/><Relationship Id="rId446" Type="http://schemas.openxmlformats.org/officeDocument/2006/relationships/image" Target="../media/image446.jpeg"/><Relationship Id="rId445" Type="http://schemas.openxmlformats.org/officeDocument/2006/relationships/image" Target="../media/image445.jpeg"/><Relationship Id="rId444" Type="http://schemas.openxmlformats.org/officeDocument/2006/relationships/image" Target="../media/image444.jpeg"/><Relationship Id="rId443" Type="http://schemas.openxmlformats.org/officeDocument/2006/relationships/image" Target="../media/image443.jpeg"/><Relationship Id="rId442" Type="http://schemas.openxmlformats.org/officeDocument/2006/relationships/image" Target="../media/image442.jpeg"/><Relationship Id="rId441" Type="http://schemas.openxmlformats.org/officeDocument/2006/relationships/image" Target="../media/image441.jpeg"/><Relationship Id="rId440" Type="http://schemas.openxmlformats.org/officeDocument/2006/relationships/image" Target="../media/image440.jpeg"/><Relationship Id="rId44" Type="http://schemas.openxmlformats.org/officeDocument/2006/relationships/image" Target="../media/image44.jpeg"/><Relationship Id="rId439" Type="http://schemas.openxmlformats.org/officeDocument/2006/relationships/image" Target="../media/image439.jpeg"/><Relationship Id="rId438" Type="http://schemas.openxmlformats.org/officeDocument/2006/relationships/image" Target="../media/image438.jpeg"/><Relationship Id="rId437" Type="http://schemas.openxmlformats.org/officeDocument/2006/relationships/image" Target="../media/image437.jpeg"/><Relationship Id="rId436" Type="http://schemas.openxmlformats.org/officeDocument/2006/relationships/image" Target="../media/image436.jpeg"/><Relationship Id="rId435" Type="http://schemas.openxmlformats.org/officeDocument/2006/relationships/image" Target="../media/image435.jpeg"/><Relationship Id="rId434" Type="http://schemas.openxmlformats.org/officeDocument/2006/relationships/image" Target="../media/image434.jpeg"/><Relationship Id="rId433" Type="http://schemas.openxmlformats.org/officeDocument/2006/relationships/image" Target="../media/image433.jpeg"/><Relationship Id="rId432" Type="http://schemas.openxmlformats.org/officeDocument/2006/relationships/image" Target="../media/image432.jpeg"/><Relationship Id="rId431" Type="http://schemas.openxmlformats.org/officeDocument/2006/relationships/image" Target="../media/image431.jpeg"/><Relationship Id="rId430" Type="http://schemas.openxmlformats.org/officeDocument/2006/relationships/image" Target="../media/image430.jpeg"/><Relationship Id="rId43" Type="http://schemas.openxmlformats.org/officeDocument/2006/relationships/image" Target="../media/image43.jpeg"/><Relationship Id="rId429" Type="http://schemas.openxmlformats.org/officeDocument/2006/relationships/image" Target="../media/image429.jpeg"/><Relationship Id="rId428" Type="http://schemas.openxmlformats.org/officeDocument/2006/relationships/image" Target="../media/image428.jpeg"/><Relationship Id="rId427" Type="http://schemas.openxmlformats.org/officeDocument/2006/relationships/image" Target="../media/image427.jpeg"/><Relationship Id="rId426" Type="http://schemas.openxmlformats.org/officeDocument/2006/relationships/image" Target="../media/image426.jpeg"/><Relationship Id="rId425" Type="http://schemas.openxmlformats.org/officeDocument/2006/relationships/image" Target="../media/image425.jpeg"/><Relationship Id="rId424" Type="http://schemas.openxmlformats.org/officeDocument/2006/relationships/image" Target="../media/image424.jpeg"/><Relationship Id="rId423" Type="http://schemas.openxmlformats.org/officeDocument/2006/relationships/image" Target="../media/image423.jpeg"/><Relationship Id="rId422" Type="http://schemas.openxmlformats.org/officeDocument/2006/relationships/image" Target="../media/image422.jpeg"/><Relationship Id="rId421" Type="http://schemas.openxmlformats.org/officeDocument/2006/relationships/image" Target="../media/image421.jpeg"/><Relationship Id="rId420" Type="http://schemas.openxmlformats.org/officeDocument/2006/relationships/image" Target="../media/image420.jpeg"/><Relationship Id="rId42" Type="http://schemas.openxmlformats.org/officeDocument/2006/relationships/image" Target="../media/image42.jpeg"/><Relationship Id="rId419" Type="http://schemas.openxmlformats.org/officeDocument/2006/relationships/image" Target="../media/image419.jpeg"/><Relationship Id="rId418" Type="http://schemas.openxmlformats.org/officeDocument/2006/relationships/image" Target="../media/image418.jpeg"/><Relationship Id="rId417" Type="http://schemas.openxmlformats.org/officeDocument/2006/relationships/image" Target="../media/image417.jpeg"/><Relationship Id="rId416" Type="http://schemas.openxmlformats.org/officeDocument/2006/relationships/image" Target="../media/image416.jpeg"/><Relationship Id="rId415" Type="http://schemas.openxmlformats.org/officeDocument/2006/relationships/image" Target="../media/image415.jpeg"/><Relationship Id="rId414" Type="http://schemas.openxmlformats.org/officeDocument/2006/relationships/image" Target="../media/image414.jpeg"/><Relationship Id="rId413" Type="http://schemas.openxmlformats.org/officeDocument/2006/relationships/image" Target="../media/image413.jpeg"/><Relationship Id="rId412" Type="http://schemas.openxmlformats.org/officeDocument/2006/relationships/image" Target="../media/image412.jpeg"/><Relationship Id="rId411" Type="http://schemas.openxmlformats.org/officeDocument/2006/relationships/image" Target="../media/image411.jpeg"/><Relationship Id="rId410" Type="http://schemas.openxmlformats.org/officeDocument/2006/relationships/image" Target="../media/image410.jpeg"/><Relationship Id="rId41" Type="http://schemas.openxmlformats.org/officeDocument/2006/relationships/image" Target="../media/image41.jpeg"/><Relationship Id="rId409" Type="http://schemas.openxmlformats.org/officeDocument/2006/relationships/image" Target="../media/image409.jpeg"/><Relationship Id="rId408" Type="http://schemas.openxmlformats.org/officeDocument/2006/relationships/image" Target="../media/image408.jpeg"/><Relationship Id="rId407" Type="http://schemas.openxmlformats.org/officeDocument/2006/relationships/image" Target="../media/image407.png"/><Relationship Id="rId406" Type="http://schemas.openxmlformats.org/officeDocument/2006/relationships/image" Target="../media/image406.png"/><Relationship Id="rId405" Type="http://schemas.openxmlformats.org/officeDocument/2006/relationships/image" Target="../media/image405.png"/><Relationship Id="rId404" Type="http://schemas.openxmlformats.org/officeDocument/2006/relationships/image" Target="../media/image404.jpeg"/><Relationship Id="rId403" Type="http://schemas.openxmlformats.org/officeDocument/2006/relationships/image" Target="../media/image403.jpeg"/><Relationship Id="rId402" Type="http://schemas.openxmlformats.org/officeDocument/2006/relationships/image" Target="../media/image402.jpeg"/><Relationship Id="rId401" Type="http://schemas.openxmlformats.org/officeDocument/2006/relationships/image" Target="../media/image401.jpeg"/><Relationship Id="rId400" Type="http://schemas.openxmlformats.org/officeDocument/2006/relationships/image" Target="../media/image400.jpeg"/><Relationship Id="rId40" Type="http://schemas.openxmlformats.org/officeDocument/2006/relationships/image" Target="../media/image40.jpeg"/><Relationship Id="rId4" Type="http://schemas.openxmlformats.org/officeDocument/2006/relationships/image" Target="../media/image4.jpeg"/><Relationship Id="rId399" Type="http://schemas.openxmlformats.org/officeDocument/2006/relationships/image" Target="../media/image399.jpeg"/><Relationship Id="rId398" Type="http://schemas.openxmlformats.org/officeDocument/2006/relationships/image" Target="../media/image398.jpeg"/><Relationship Id="rId397" Type="http://schemas.openxmlformats.org/officeDocument/2006/relationships/image" Target="../media/image397.jpeg"/><Relationship Id="rId396" Type="http://schemas.openxmlformats.org/officeDocument/2006/relationships/image" Target="../media/image396.jpeg"/><Relationship Id="rId395" Type="http://schemas.openxmlformats.org/officeDocument/2006/relationships/image" Target="../media/image395.jpeg"/><Relationship Id="rId394" Type="http://schemas.openxmlformats.org/officeDocument/2006/relationships/image" Target="../media/image394.jpeg"/><Relationship Id="rId393" Type="http://schemas.openxmlformats.org/officeDocument/2006/relationships/image" Target="../media/image393.jpeg"/><Relationship Id="rId392" Type="http://schemas.openxmlformats.org/officeDocument/2006/relationships/image" Target="../media/image392.jpeg"/><Relationship Id="rId391" Type="http://schemas.openxmlformats.org/officeDocument/2006/relationships/image" Target="../media/image391.jpeg"/><Relationship Id="rId390" Type="http://schemas.openxmlformats.org/officeDocument/2006/relationships/image" Target="../media/image390.jpeg"/><Relationship Id="rId39" Type="http://schemas.openxmlformats.org/officeDocument/2006/relationships/image" Target="../media/image39.jpeg"/><Relationship Id="rId389" Type="http://schemas.openxmlformats.org/officeDocument/2006/relationships/image" Target="../media/image389.jpeg"/><Relationship Id="rId388" Type="http://schemas.openxmlformats.org/officeDocument/2006/relationships/image" Target="../media/image388.jpeg"/><Relationship Id="rId387" Type="http://schemas.openxmlformats.org/officeDocument/2006/relationships/image" Target="../media/image387.jpeg"/><Relationship Id="rId386" Type="http://schemas.openxmlformats.org/officeDocument/2006/relationships/image" Target="../media/image386.jpeg"/><Relationship Id="rId385" Type="http://schemas.openxmlformats.org/officeDocument/2006/relationships/image" Target="../media/image385.jpeg"/><Relationship Id="rId384" Type="http://schemas.openxmlformats.org/officeDocument/2006/relationships/image" Target="../media/image384.jpeg"/><Relationship Id="rId383" Type="http://schemas.openxmlformats.org/officeDocument/2006/relationships/image" Target="../media/image383.jpeg"/><Relationship Id="rId382" Type="http://schemas.openxmlformats.org/officeDocument/2006/relationships/image" Target="../media/image382.jpeg"/><Relationship Id="rId381" Type="http://schemas.openxmlformats.org/officeDocument/2006/relationships/image" Target="../media/image381.jpeg"/><Relationship Id="rId380" Type="http://schemas.openxmlformats.org/officeDocument/2006/relationships/image" Target="../media/image380.jpeg"/><Relationship Id="rId38" Type="http://schemas.openxmlformats.org/officeDocument/2006/relationships/image" Target="../media/image38.jpeg"/><Relationship Id="rId379" Type="http://schemas.openxmlformats.org/officeDocument/2006/relationships/image" Target="../media/image379.jpeg"/><Relationship Id="rId378" Type="http://schemas.openxmlformats.org/officeDocument/2006/relationships/image" Target="../media/image378.jpeg"/><Relationship Id="rId377" Type="http://schemas.openxmlformats.org/officeDocument/2006/relationships/image" Target="../media/image377.jpeg"/><Relationship Id="rId376" Type="http://schemas.openxmlformats.org/officeDocument/2006/relationships/image" Target="../media/image376.jpeg"/><Relationship Id="rId375" Type="http://schemas.openxmlformats.org/officeDocument/2006/relationships/image" Target="../media/image375.jpeg"/><Relationship Id="rId374" Type="http://schemas.openxmlformats.org/officeDocument/2006/relationships/image" Target="../media/image374.jpeg"/><Relationship Id="rId373" Type="http://schemas.openxmlformats.org/officeDocument/2006/relationships/image" Target="../media/image373.jpeg"/><Relationship Id="rId372" Type="http://schemas.openxmlformats.org/officeDocument/2006/relationships/image" Target="../media/image372.jpeg"/><Relationship Id="rId371" Type="http://schemas.openxmlformats.org/officeDocument/2006/relationships/image" Target="../media/image371.jpeg"/><Relationship Id="rId370" Type="http://schemas.openxmlformats.org/officeDocument/2006/relationships/image" Target="../media/image370.jpeg"/><Relationship Id="rId37" Type="http://schemas.openxmlformats.org/officeDocument/2006/relationships/image" Target="../media/image37.jpeg"/><Relationship Id="rId369" Type="http://schemas.openxmlformats.org/officeDocument/2006/relationships/image" Target="../media/image369.jpeg"/><Relationship Id="rId368" Type="http://schemas.openxmlformats.org/officeDocument/2006/relationships/image" Target="../media/image368.jpeg"/><Relationship Id="rId367" Type="http://schemas.openxmlformats.org/officeDocument/2006/relationships/image" Target="../media/image367.jpeg"/><Relationship Id="rId366" Type="http://schemas.openxmlformats.org/officeDocument/2006/relationships/image" Target="../media/image366.jpeg"/><Relationship Id="rId365" Type="http://schemas.openxmlformats.org/officeDocument/2006/relationships/image" Target="../media/image365.jpeg"/><Relationship Id="rId364" Type="http://schemas.openxmlformats.org/officeDocument/2006/relationships/image" Target="../media/image364.jpeg"/><Relationship Id="rId363" Type="http://schemas.openxmlformats.org/officeDocument/2006/relationships/image" Target="../media/image363.jpeg"/><Relationship Id="rId362" Type="http://schemas.openxmlformats.org/officeDocument/2006/relationships/image" Target="../media/image362.jpeg"/><Relationship Id="rId361" Type="http://schemas.openxmlformats.org/officeDocument/2006/relationships/image" Target="../media/image361.jpeg"/><Relationship Id="rId360" Type="http://schemas.openxmlformats.org/officeDocument/2006/relationships/image" Target="../media/image360.jpeg"/><Relationship Id="rId36" Type="http://schemas.openxmlformats.org/officeDocument/2006/relationships/image" Target="../media/image36.jpeg"/><Relationship Id="rId359" Type="http://schemas.openxmlformats.org/officeDocument/2006/relationships/image" Target="../media/image359.jpeg"/><Relationship Id="rId358" Type="http://schemas.openxmlformats.org/officeDocument/2006/relationships/image" Target="../media/image358.jpeg"/><Relationship Id="rId357" Type="http://schemas.openxmlformats.org/officeDocument/2006/relationships/image" Target="../media/image357.jpeg"/><Relationship Id="rId356" Type="http://schemas.openxmlformats.org/officeDocument/2006/relationships/image" Target="../media/image356.jpeg"/><Relationship Id="rId355" Type="http://schemas.openxmlformats.org/officeDocument/2006/relationships/image" Target="../media/image355.jpeg"/><Relationship Id="rId354" Type="http://schemas.openxmlformats.org/officeDocument/2006/relationships/image" Target="../media/image354.jpeg"/><Relationship Id="rId353" Type="http://schemas.openxmlformats.org/officeDocument/2006/relationships/image" Target="../media/image353.jpeg"/><Relationship Id="rId352" Type="http://schemas.openxmlformats.org/officeDocument/2006/relationships/image" Target="../media/image352.jpeg"/><Relationship Id="rId351" Type="http://schemas.openxmlformats.org/officeDocument/2006/relationships/image" Target="../media/image351.jpeg"/><Relationship Id="rId350" Type="http://schemas.openxmlformats.org/officeDocument/2006/relationships/image" Target="../media/image350.jpeg"/><Relationship Id="rId35" Type="http://schemas.openxmlformats.org/officeDocument/2006/relationships/image" Target="../media/image35.jpeg"/><Relationship Id="rId349" Type="http://schemas.openxmlformats.org/officeDocument/2006/relationships/image" Target="../media/image349.jpeg"/><Relationship Id="rId348" Type="http://schemas.openxmlformats.org/officeDocument/2006/relationships/image" Target="../media/image348.jpeg"/><Relationship Id="rId347" Type="http://schemas.openxmlformats.org/officeDocument/2006/relationships/image" Target="../media/image347.jpeg"/><Relationship Id="rId346" Type="http://schemas.openxmlformats.org/officeDocument/2006/relationships/image" Target="../media/image346.jpeg"/><Relationship Id="rId345" Type="http://schemas.openxmlformats.org/officeDocument/2006/relationships/image" Target="../media/image345.jpeg"/><Relationship Id="rId344" Type="http://schemas.openxmlformats.org/officeDocument/2006/relationships/image" Target="../media/image344.jpeg"/><Relationship Id="rId343" Type="http://schemas.openxmlformats.org/officeDocument/2006/relationships/image" Target="../media/image343.jpeg"/><Relationship Id="rId342" Type="http://schemas.openxmlformats.org/officeDocument/2006/relationships/image" Target="../media/image342.jpeg"/><Relationship Id="rId341" Type="http://schemas.openxmlformats.org/officeDocument/2006/relationships/image" Target="../media/image341.jpeg"/><Relationship Id="rId340" Type="http://schemas.openxmlformats.org/officeDocument/2006/relationships/image" Target="../media/image340.jpeg"/><Relationship Id="rId34" Type="http://schemas.openxmlformats.org/officeDocument/2006/relationships/image" Target="../media/image34.jpeg"/><Relationship Id="rId339" Type="http://schemas.openxmlformats.org/officeDocument/2006/relationships/image" Target="../media/image339.jpeg"/><Relationship Id="rId338" Type="http://schemas.openxmlformats.org/officeDocument/2006/relationships/image" Target="../media/image338.jpeg"/><Relationship Id="rId337" Type="http://schemas.openxmlformats.org/officeDocument/2006/relationships/image" Target="../media/image337.jpeg"/><Relationship Id="rId336" Type="http://schemas.openxmlformats.org/officeDocument/2006/relationships/image" Target="../media/image336.jpeg"/><Relationship Id="rId335" Type="http://schemas.openxmlformats.org/officeDocument/2006/relationships/image" Target="../media/image335.jpeg"/><Relationship Id="rId334" Type="http://schemas.openxmlformats.org/officeDocument/2006/relationships/image" Target="../media/image334.jpeg"/><Relationship Id="rId333" Type="http://schemas.openxmlformats.org/officeDocument/2006/relationships/image" Target="../media/image333.jpeg"/><Relationship Id="rId332" Type="http://schemas.openxmlformats.org/officeDocument/2006/relationships/image" Target="../media/image332.jpeg"/><Relationship Id="rId331" Type="http://schemas.openxmlformats.org/officeDocument/2006/relationships/image" Target="../media/image331.jpeg"/><Relationship Id="rId330" Type="http://schemas.openxmlformats.org/officeDocument/2006/relationships/image" Target="../media/image330.jpeg"/><Relationship Id="rId33" Type="http://schemas.openxmlformats.org/officeDocument/2006/relationships/image" Target="../media/image33.jpeg"/><Relationship Id="rId329" Type="http://schemas.openxmlformats.org/officeDocument/2006/relationships/image" Target="../media/image329.jpeg"/><Relationship Id="rId328" Type="http://schemas.openxmlformats.org/officeDocument/2006/relationships/image" Target="../media/image328.jpeg"/><Relationship Id="rId327" Type="http://schemas.openxmlformats.org/officeDocument/2006/relationships/image" Target="../media/image327.jpeg"/><Relationship Id="rId326" Type="http://schemas.openxmlformats.org/officeDocument/2006/relationships/image" Target="../media/image326.jpeg"/><Relationship Id="rId325" Type="http://schemas.openxmlformats.org/officeDocument/2006/relationships/image" Target="../media/image325.jpeg"/><Relationship Id="rId324" Type="http://schemas.openxmlformats.org/officeDocument/2006/relationships/image" Target="../media/image324.jpeg"/><Relationship Id="rId323" Type="http://schemas.openxmlformats.org/officeDocument/2006/relationships/image" Target="../media/image323.jpeg"/><Relationship Id="rId322" Type="http://schemas.openxmlformats.org/officeDocument/2006/relationships/image" Target="../media/image322.jpeg"/><Relationship Id="rId321" Type="http://schemas.openxmlformats.org/officeDocument/2006/relationships/image" Target="../media/image321.jpeg"/><Relationship Id="rId320" Type="http://schemas.openxmlformats.org/officeDocument/2006/relationships/image" Target="../media/image320.jpeg"/><Relationship Id="rId32" Type="http://schemas.openxmlformats.org/officeDocument/2006/relationships/image" Target="../media/image32.jpeg"/><Relationship Id="rId319" Type="http://schemas.openxmlformats.org/officeDocument/2006/relationships/image" Target="../media/image319.jpeg"/><Relationship Id="rId318" Type="http://schemas.openxmlformats.org/officeDocument/2006/relationships/image" Target="../media/image318.jpeg"/><Relationship Id="rId317" Type="http://schemas.openxmlformats.org/officeDocument/2006/relationships/image" Target="../media/image317.jpeg"/><Relationship Id="rId316" Type="http://schemas.openxmlformats.org/officeDocument/2006/relationships/image" Target="../media/image316.jpeg"/><Relationship Id="rId315" Type="http://schemas.openxmlformats.org/officeDocument/2006/relationships/image" Target="../media/image315.jpeg"/><Relationship Id="rId314" Type="http://schemas.openxmlformats.org/officeDocument/2006/relationships/image" Target="../media/image314.jpeg"/><Relationship Id="rId313" Type="http://schemas.openxmlformats.org/officeDocument/2006/relationships/image" Target="../media/image313.jpeg"/><Relationship Id="rId312" Type="http://schemas.openxmlformats.org/officeDocument/2006/relationships/image" Target="../media/image312.jpeg"/><Relationship Id="rId311" Type="http://schemas.openxmlformats.org/officeDocument/2006/relationships/image" Target="../media/image311.jpeg"/><Relationship Id="rId310" Type="http://schemas.openxmlformats.org/officeDocument/2006/relationships/image" Target="../media/image310.jpeg"/><Relationship Id="rId31" Type="http://schemas.openxmlformats.org/officeDocument/2006/relationships/image" Target="../media/image31.jpeg"/><Relationship Id="rId309" Type="http://schemas.openxmlformats.org/officeDocument/2006/relationships/image" Target="../media/image309.jpeg"/><Relationship Id="rId308" Type="http://schemas.openxmlformats.org/officeDocument/2006/relationships/image" Target="../media/image308.jpeg"/><Relationship Id="rId307" Type="http://schemas.openxmlformats.org/officeDocument/2006/relationships/image" Target="../media/image307.jpeg"/><Relationship Id="rId306" Type="http://schemas.openxmlformats.org/officeDocument/2006/relationships/image" Target="../media/image306.jpeg"/><Relationship Id="rId305" Type="http://schemas.openxmlformats.org/officeDocument/2006/relationships/image" Target="../media/image305.jpeg"/><Relationship Id="rId304" Type="http://schemas.openxmlformats.org/officeDocument/2006/relationships/image" Target="../media/image304.jpeg"/><Relationship Id="rId303" Type="http://schemas.openxmlformats.org/officeDocument/2006/relationships/image" Target="../media/image303.jpeg"/><Relationship Id="rId302" Type="http://schemas.openxmlformats.org/officeDocument/2006/relationships/image" Target="../media/image302.jpeg"/><Relationship Id="rId301" Type="http://schemas.openxmlformats.org/officeDocument/2006/relationships/image" Target="../media/image301.jpeg"/><Relationship Id="rId300" Type="http://schemas.openxmlformats.org/officeDocument/2006/relationships/image" Target="../media/image300.jpeg"/><Relationship Id="rId30" Type="http://schemas.openxmlformats.org/officeDocument/2006/relationships/image" Target="../media/image30.jpeg"/><Relationship Id="rId3" Type="http://schemas.openxmlformats.org/officeDocument/2006/relationships/image" Target="../media/image3.jpeg"/><Relationship Id="rId299" Type="http://schemas.openxmlformats.org/officeDocument/2006/relationships/image" Target="../media/image299.jpeg"/><Relationship Id="rId298" Type="http://schemas.openxmlformats.org/officeDocument/2006/relationships/image" Target="../media/image298.jpeg"/><Relationship Id="rId297" Type="http://schemas.openxmlformats.org/officeDocument/2006/relationships/image" Target="../media/image297.jpeg"/><Relationship Id="rId296" Type="http://schemas.openxmlformats.org/officeDocument/2006/relationships/image" Target="../media/image296.jpeg"/><Relationship Id="rId295" Type="http://schemas.openxmlformats.org/officeDocument/2006/relationships/image" Target="../media/image295.jpeg"/><Relationship Id="rId294" Type="http://schemas.openxmlformats.org/officeDocument/2006/relationships/image" Target="../media/image294.jpeg"/><Relationship Id="rId293" Type="http://schemas.openxmlformats.org/officeDocument/2006/relationships/image" Target="../media/image293.jpeg"/><Relationship Id="rId292" Type="http://schemas.openxmlformats.org/officeDocument/2006/relationships/image" Target="../media/image292.jpeg"/><Relationship Id="rId291" Type="http://schemas.openxmlformats.org/officeDocument/2006/relationships/image" Target="../media/image291.jpeg"/><Relationship Id="rId290" Type="http://schemas.openxmlformats.org/officeDocument/2006/relationships/image" Target="../media/image290.jpeg"/><Relationship Id="rId29" Type="http://schemas.openxmlformats.org/officeDocument/2006/relationships/image" Target="../media/image29.jpeg"/><Relationship Id="rId289" Type="http://schemas.openxmlformats.org/officeDocument/2006/relationships/image" Target="../media/image289.jpeg"/><Relationship Id="rId288" Type="http://schemas.openxmlformats.org/officeDocument/2006/relationships/image" Target="../media/image288.jpeg"/><Relationship Id="rId287" Type="http://schemas.openxmlformats.org/officeDocument/2006/relationships/image" Target="../media/image287.jpeg"/><Relationship Id="rId286" Type="http://schemas.openxmlformats.org/officeDocument/2006/relationships/image" Target="../media/image286.jpeg"/><Relationship Id="rId285" Type="http://schemas.openxmlformats.org/officeDocument/2006/relationships/image" Target="../media/image285.png"/><Relationship Id="rId284" Type="http://schemas.openxmlformats.org/officeDocument/2006/relationships/image" Target="../media/image284.jpeg"/><Relationship Id="rId283" Type="http://schemas.openxmlformats.org/officeDocument/2006/relationships/image" Target="../media/image283.jpeg"/><Relationship Id="rId282" Type="http://schemas.openxmlformats.org/officeDocument/2006/relationships/image" Target="../media/image282.jpeg"/><Relationship Id="rId281" Type="http://schemas.openxmlformats.org/officeDocument/2006/relationships/image" Target="../media/image281.png"/><Relationship Id="rId280" Type="http://schemas.openxmlformats.org/officeDocument/2006/relationships/image" Target="../media/image280.png"/><Relationship Id="rId28" Type="http://schemas.openxmlformats.org/officeDocument/2006/relationships/image" Target="../media/image28.jpeg"/><Relationship Id="rId279" Type="http://schemas.openxmlformats.org/officeDocument/2006/relationships/image" Target="../media/image279.jpeg"/><Relationship Id="rId278" Type="http://schemas.openxmlformats.org/officeDocument/2006/relationships/image" Target="../media/image278.jpeg"/><Relationship Id="rId277" Type="http://schemas.openxmlformats.org/officeDocument/2006/relationships/image" Target="../media/image277.jpeg"/><Relationship Id="rId276" Type="http://schemas.openxmlformats.org/officeDocument/2006/relationships/image" Target="../media/image276.jpeg"/><Relationship Id="rId275" Type="http://schemas.openxmlformats.org/officeDocument/2006/relationships/image" Target="../media/image275.jpeg"/><Relationship Id="rId274" Type="http://schemas.openxmlformats.org/officeDocument/2006/relationships/image" Target="../media/image274.png"/><Relationship Id="rId273" Type="http://schemas.openxmlformats.org/officeDocument/2006/relationships/image" Target="../media/image273.jpeg"/><Relationship Id="rId272" Type="http://schemas.openxmlformats.org/officeDocument/2006/relationships/image" Target="../media/image272.jpeg"/><Relationship Id="rId271" Type="http://schemas.openxmlformats.org/officeDocument/2006/relationships/image" Target="../media/image271.jpeg"/><Relationship Id="rId270" Type="http://schemas.openxmlformats.org/officeDocument/2006/relationships/image" Target="../media/image270.jpeg"/><Relationship Id="rId27" Type="http://schemas.openxmlformats.org/officeDocument/2006/relationships/image" Target="../media/image27.jpeg"/><Relationship Id="rId269" Type="http://schemas.openxmlformats.org/officeDocument/2006/relationships/image" Target="../media/image269.jpeg"/><Relationship Id="rId268" Type="http://schemas.openxmlformats.org/officeDocument/2006/relationships/image" Target="../media/image268.jpeg"/><Relationship Id="rId267" Type="http://schemas.openxmlformats.org/officeDocument/2006/relationships/image" Target="../media/image267.jpeg"/><Relationship Id="rId266" Type="http://schemas.openxmlformats.org/officeDocument/2006/relationships/image" Target="../media/image266.jpeg"/><Relationship Id="rId265" Type="http://schemas.openxmlformats.org/officeDocument/2006/relationships/image" Target="../media/image265.jpeg"/><Relationship Id="rId264" Type="http://schemas.openxmlformats.org/officeDocument/2006/relationships/image" Target="../media/image264.jpeg"/><Relationship Id="rId263" Type="http://schemas.openxmlformats.org/officeDocument/2006/relationships/image" Target="../media/image263.jpeg"/><Relationship Id="rId262" Type="http://schemas.openxmlformats.org/officeDocument/2006/relationships/image" Target="../media/image262.jpeg"/><Relationship Id="rId261" Type="http://schemas.openxmlformats.org/officeDocument/2006/relationships/image" Target="../media/image261.jpeg"/><Relationship Id="rId260" Type="http://schemas.openxmlformats.org/officeDocument/2006/relationships/image" Target="../media/image260.jpeg"/><Relationship Id="rId26" Type="http://schemas.openxmlformats.org/officeDocument/2006/relationships/image" Target="../media/image26.jpeg"/><Relationship Id="rId259" Type="http://schemas.openxmlformats.org/officeDocument/2006/relationships/image" Target="../media/image259.jpeg"/><Relationship Id="rId258" Type="http://schemas.openxmlformats.org/officeDocument/2006/relationships/image" Target="../media/image258.jpeg"/><Relationship Id="rId257" Type="http://schemas.openxmlformats.org/officeDocument/2006/relationships/image" Target="../media/image257.jpeg"/><Relationship Id="rId256" Type="http://schemas.openxmlformats.org/officeDocument/2006/relationships/image" Target="../media/image256.jpeg"/><Relationship Id="rId255" Type="http://schemas.openxmlformats.org/officeDocument/2006/relationships/image" Target="../media/image255.jpeg"/><Relationship Id="rId254" Type="http://schemas.openxmlformats.org/officeDocument/2006/relationships/image" Target="../media/image254.jpeg"/><Relationship Id="rId253" Type="http://schemas.openxmlformats.org/officeDocument/2006/relationships/image" Target="../media/image253.jpeg"/><Relationship Id="rId252" Type="http://schemas.openxmlformats.org/officeDocument/2006/relationships/image" Target="../media/image252.jpeg"/><Relationship Id="rId251" Type="http://schemas.openxmlformats.org/officeDocument/2006/relationships/image" Target="../media/image251.jpeg"/><Relationship Id="rId250" Type="http://schemas.openxmlformats.org/officeDocument/2006/relationships/image" Target="../media/image250.jpeg"/><Relationship Id="rId25" Type="http://schemas.openxmlformats.org/officeDocument/2006/relationships/image" Target="../media/image25.jpeg"/><Relationship Id="rId249" Type="http://schemas.openxmlformats.org/officeDocument/2006/relationships/image" Target="../media/image249.jpeg"/><Relationship Id="rId248" Type="http://schemas.openxmlformats.org/officeDocument/2006/relationships/image" Target="../media/image248.png"/><Relationship Id="rId247" Type="http://schemas.openxmlformats.org/officeDocument/2006/relationships/image" Target="../media/image247.png"/><Relationship Id="rId246" Type="http://schemas.openxmlformats.org/officeDocument/2006/relationships/image" Target="../media/image246.png"/><Relationship Id="rId245" Type="http://schemas.openxmlformats.org/officeDocument/2006/relationships/image" Target="../media/image245.png"/><Relationship Id="rId244" Type="http://schemas.openxmlformats.org/officeDocument/2006/relationships/image" Target="../media/image244.png"/><Relationship Id="rId243" Type="http://schemas.openxmlformats.org/officeDocument/2006/relationships/image" Target="../media/image243.jpeg"/><Relationship Id="rId242" Type="http://schemas.openxmlformats.org/officeDocument/2006/relationships/image" Target="../media/image242.jpeg"/><Relationship Id="rId241" Type="http://schemas.openxmlformats.org/officeDocument/2006/relationships/image" Target="../media/image241.jpeg"/><Relationship Id="rId240" Type="http://schemas.openxmlformats.org/officeDocument/2006/relationships/image" Target="../media/image240.jpeg"/><Relationship Id="rId24" Type="http://schemas.openxmlformats.org/officeDocument/2006/relationships/image" Target="../media/image24.jpeg"/><Relationship Id="rId239" Type="http://schemas.openxmlformats.org/officeDocument/2006/relationships/image" Target="../media/image239.jpeg"/><Relationship Id="rId238" Type="http://schemas.openxmlformats.org/officeDocument/2006/relationships/image" Target="../media/image238.jpeg"/><Relationship Id="rId237" Type="http://schemas.openxmlformats.org/officeDocument/2006/relationships/image" Target="../media/image237.png"/><Relationship Id="rId236" Type="http://schemas.openxmlformats.org/officeDocument/2006/relationships/image" Target="../media/image236.jpeg"/><Relationship Id="rId235" Type="http://schemas.openxmlformats.org/officeDocument/2006/relationships/image" Target="../media/image235.jpeg"/><Relationship Id="rId234" Type="http://schemas.openxmlformats.org/officeDocument/2006/relationships/image" Target="../media/image234.jpeg"/><Relationship Id="rId233" Type="http://schemas.openxmlformats.org/officeDocument/2006/relationships/image" Target="../media/image233.jpeg"/><Relationship Id="rId232" Type="http://schemas.openxmlformats.org/officeDocument/2006/relationships/image" Target="../media/image232.jpeg"/><Relationship Id="rId231" Type="http://schemas.openxmlformats.org/officeDocument/2006/relationships/image" Target="../media/image231.jpeg"/><Relationship Id="rId230" Type="http://schemas.openxmlformats.org/officeDocument/2006/relationships/image" Target="../media/image230.jpeg"/><Relationship Id="rId23" Type="http://schemas.openxmlformats.org/officeDocument/2006/relationships/image" Target="../media/image23.jpeg"/><Relationship Id="rId229" Type="http://schemas.openxmlformats.org/officeDocument/2006/relationships/image" Target="../media/image229.jpeg"/><Relationship Id="rId228" Type="http://schemas.openxmlformats.org/officeDocument/2006/relationships/image" Target="../media/image228.png"/><Relationship Id="rId227" Type="http://schemas.openxmlformats.org/officeDocument/2006/relationships/image" Target="../media/image227.jpeg"/><Relationship Id="rId226" Type="http://schemas.openxmlformats.org/officeDocument/2006/relationships/image" Target="../media/image226.jpeg"/><Relationship Id="rId225" Type="http://schemas.openxmlformats.org/officeDocument/2006/relationships/image" Target="../media/image225.jpeg"/><Relationship Id="rId224" Type="http://schemas.openxmlformats.org/officeDocument/2006/relationships/image" Target="../media/image224.jpeg"/><Relationship Id="rId223" Type="http://schemas.openxmlformats.org/officeDocument/2006/relationships/image" Target="../media/image223.jpeg"/><Relationship Id="rId222" Type="http://schemas.openxmlformats.org/officeDocument/2006/relationships/image" Target="../media/image222.jpeg"/><Relationship Id="rId221" Type="http://schemas.openxmlformats.org/officeDocument/2006/relationships/image" Target="../media/image221.jpeg"/><Relationship Id="rId220" Type="http://schemas.openxmlformats.org/officeDocument/2006/relationships/image" Target="../media/image220.jpeg"/><Relationship Id="rId22" Type="http://schemas.openxmlformats.org/officeDocument/2006/relationships/image" Target="../media/image22.jpeg"/><Relationship Id="rId219" Type="http://schemas.openxmlformats.org/officeDocument/2006/relationships/image" Target="../media/image219.jpeg"/><Relationship Id="rId218" Type="http://schemas.openxmlformats.org/officeDocument/2006/relationships/image" Target="../media/image218.jpeg"/><Relationship Id="rId217" Type="http://schemas.openxmlformats.org/officeDocument/2006/relationships/image" Target="../media/image217.jpeg"/><Relationship Id="rId216" Type="http://schemas.openxmlformats.org/officeDocument/2006/relationships/image" Target="../media/image216.png"/><Relationship Id="rId215" Type="http://schemas.openxmlformats.org/officeDocument/2006/relationships/image" Target="../media/image215.jpeg"/><Relationship Id="rId214" Type="http://schemas.openxmlformats.org/officeDocument/2006/relationships/image" Target="../media/image214.png"/><Relationship Id="rId213" Type="http://schemas.openxmlformats.org/officeDocument/2006/relationships/image" Target="../media/image213.png"/><Relationship Id="rId212" Type="http://schemas.openxmlformats.org/officeDocument/2006/relationships/image" Target="../media/image212.png"/><Relationship Id="rId211" Type="http://schemas.openxmlformats.org/officeDocument/2006/relationships/image" Target="../media/image211.png"/><Relationship Id="rId210" Type="http://schemas.openxmlformats.org/officeDocument/2006/relationships/image" Target="../media/image210.jpeg"/><Relationship Id="rId21" Type="http://schemas.openxmlformats.org/officeDocument/2006/relationships/image" Target="../media/image21.jpeg"/><Relationship Id="rId209" Type="http://schemas.openxmlformats.org/officeDocument/2006/relationships/image" Target="../media/image209.jpeg"/><Relationship Id="rId208" Type="http://schemas.openxmlformats.org/officeDocument/2006/relationships/image" Target="../media/image208.png"/><Relationship Id="rId207" Type="http://schemas.openxmlformats.org/officeDocument/2006/relationships/image" Target="../media/image207.jpeg"/><Relationship Id="rId206" Type="http://schemas.openxmlformats.org/officeDocument/2006/relationships/image" Target="../media/image206.jpeg"/><Relationship Id="rId205" Type="http://schemas.openxmlformats.org/officeDocument/2006/relationships/image" Target="../media/image205.jpeg"/><Relationship Id="rId204" Type="http://schemas.openxmlformats.org/officeDocument/2006/relationships/image" Target="../media/image204.jpeg"/><Relationship Id="rId203" Type="http://schemas.openxmlformats.org/officeDocument/2006/relationships/image" Target="../media/image203.png"/><Relationship Id="rId202" Type="http://schemas.openxmlformats.org/officeDocument/2006/relationships/image" Target="../media/image202.jpeg"/><Relationship Id="rId201" Type="http://schemas.openxmlformats.org/officeDocument/2006/relationships/image" Target="../media/image201.jpeg"/><Relationship Id="rId200" Type="http://schemas.openxmlformats.org/officeDocument/2006/relationships/image" Target="../media/image200.jpeg"/><Relationship Id="rId20" Type="http://schemas.openxmlformats.org/officeDocument/2006/relationships/image" Target="../media/image20.jpeg"/><Relationship Id="rId2" Type="http://schemas.openxmlformats.org/officeDocument/2006/relationships/image" Target="../media/image2.jpeg"/><Relationship Id="rId199" Type="http://schemas.openxmlformats.org/officeDocument/2006/relationships/image" Target="../media/image199.jpeg"/><Relationship Id="rId198" Type="http://schemas.openxmlformats.org/officeDocument/2006/relationships/image" Target="../media/image198.jpeg"/><Relationship Id="rId197" Type="http://schemas.openxmlformats.org/officeDocument/2006/relationships/image" Target="../media/image197.jpeg"/><Relationship Id="rId196" Type="http://schemas.openxmlformats.org/officeDocument/2006/relationships/image" Target="../media/image196.jpeg"/><Relationship Id="rId195" Type="http://schemas.openxmlformats.org/officeDocument/2006/relationships/image" Target="../media/image195.jpeg"/><Relationship Id="rId194" Type="http://schemas.openxmlformats.org/officeDocument/2006/relationships/image" Target="../media/image194.jpeg"/><Relationship Id="rId193" Type="http://schemas.openxmlformats.org/officeDocument/2006/relationships/image" Target="../media/image193.jpeg"/><Relationship Id="rId192" Type="http://schemas.openxmlformats.org/officeDocument/2006/relationships/image" Target="../media/image192.jpeg"/><Relationship Id="rId191" Type="http://schemas.openxmlformats.org/officeDocument/2006/relationships/image" Target="../media/image191.jpeg"/><Relationship Id="rId190" Type="http://schemas.openxmlformats.org/officeDocument/2006/relationships/image" Target="../media/image190.jpeg"/><Relationship Id="rId19" Type="http://schemas.openxmlformats.org/officeDocument/2006/relationships/image" Target="../media/image19.jpeg"/><Relationship Id="rId189" Type="http://schemas.openxmlformats.org/officeDocument/2006/relationships/image" Target="../media/image189.jpeg"/><Relationship Id="rId188" Type="http://schemas.openxmlformats.org/officeDocument/2006/relationships/image" Target="../media/image188.jpeg"/><Relationship Id="rId187" Type="http://schemas.openxmlformats.org/officeDocument/2006/relationships/image" Target="../media/image187.jpeg"/><Relationship Id="rId186" Type="http://schemas.openxmlformats.org/officeDocument/2006/relationships/image" Target="../media/image186.jpeg"/><Relationship Id="rId185" Type="http://schemas.openxmlformats.org/officeDocument/2006/relationships/image" Target="../media/image185.jpeg"/><Relationship Id="rId184" Type="http://schemas.openxmlformats.org/officeDocument/2006/relationships/image" Target="../media/image184.jpeg"/><Relationship Id="rId183" Type="http://schemas.openxmlformats.org/officeDocument/2006/relationships/image" Target="../media/image183.jpeg"/><Relationship Id="rId182" Type="http://schemas.openxmlformats.org/officeDocument/2006/relationships/image" Target="../media/image182.jpeg"/><Relationship Id="rId181" Type="http://schemas.openxmlformats.org/officeDocument/2006/relationships/image" Target="../media/image181.png"/><Relationship Id="rId180" Type="http://schemas.openxmlformats.org/officeDocument/2006/relationships/image" Target="../media/image180.jpeg"/><Relationship Id="rId18" Type="http://schemas.openxmlformats.org/officeDocument/2006/relationships/image" Target="../media/image18.jpeg"/><Relationship Id="rId179" Type="http://schemas.openxmlformats.org/officeDocument/2006/relationships/image" Target="../media/image179.png"/><Relationship Id="rId178" Type="http://schemas.openxmlformats.org/officeDocument/2006/relationships/image" Target="../media/image178.jpeg"/><Relationship Id="rId177" Type="http://schemas.openxmlformats.org/officeDocument/2006/relationships/image" Target="../media/image177.jpeg"/><Relationship Id="rId176" Type="http://schemas.openxmlformats.org/officeDocument/2006/relationships/image" Target="../media/image176.png"/><Relationship Id="rId175" Type="http://schemas.openxmlformats.org/officeDocument/2006/relationships/image" Target="../media/image175.jpeg"/><Relationship Id="rId174" Type="http://schemas.openxmlformats.org/officeDocument/2006/relationships/image" Target="../media/image174.png"/><Relationship Id="rId173" Type="http://schemas.openxmlformats.org/officeDocument/2006/relationships/image" Target="../media/image173.png"/><Relationship Id="rId172" Type="http://schemas.openxmlformats.org/officeDocument/2006/relationships/image" Target="../media/image172.jpeg"/><Relationship Id="rId171" Type="http://schemas.openxmlformats.org/officeDocument/2006/relationships/image" Target="../media/image171.jpeg"/><Relationship Id="rId170" Type="http://schemas.openxmlformats.org/officeDocument/2006/relationships/image" Target="../media/image170.jpeg"/><Relationship Id="rId17" Type="http://schemas.openxmlformats.org/officeDocument/2006/relationships/image" Target="../media/image17.jpeg"/><Relationship Id="rId169" Type="http://schemas.openxmlformats.org/officeDocument/2006/relationships/image" Target="../media/image169.jpeg"/><Relationship Id="rId168" Type="http://schemas.openxmlformats.org/officeDocument/2006/relationships/image" Target="../media/image168.jpeg"/><Relationship Id="rId167" Type="http://schemas.openxmlformats.org/officeDocument/2006/relationships/image" Target="../media/image167.jpeg"/><Relationship Id="rId166" Type="http://schemas.openxmlformats.org/officeDocument/2006/relationships/image" Target="../media/image166.jpeg"/><Relationship Id="rId165" Type="http://schemas.openxmlformats.org/officeDocument/2006/relationships/image" Target="../media/image165.jpeg"/><Relationship Id="rId164" Type="http://schemas.openxmlformats.org/officeDocument/2006/relationships/image" Target="../media/image164.jpeg"/><Relationship Id="rId163" Type="http://schemas.openxmlformats.org/officeDocument/2006/relationships/image" Target="../media/image163.jpeg"/><Relationship Id="rId162" Type="http://schemas.openxmlformats.org/officeDocument/2006/relationships/image" Target="../media/image162.png"/><Relationship Id="rId161" Type="http://schemas.openxmlformats.org/officeDocument/2006/relationships/image" Target="../media/image161.png"/><Relationship Id="rId160" Type="http://schemas.openxmlformats.org/officeDocument/2006/relationships/image" Target="../media/image160.png"/><Relationship Id="rId16" Type="http://schemas.openxmlformats.org/officeDocument/2006/relationships/image" Target="../media/image16.jpeg"/><Relationship Id="rId159" Type="http://schemas.openxmlformats.org/officeDocument/2006/relationships/image" Target="../media/image159.jpeg"/><Relationship Id="rId158" Type="http://schemas.openxmlformats.org/officeDocument/2006/relationships/image" Target="../media/image158.jpeg"/><Relationship Id="rId157" Type="http://schemas.openxmlformats.org/officeDocument/2006/relationships/image" Target="../media/image157.jpeg"/><Relationship Id="rId156" Type="http://schemas.openxmlformats.org/officeDocument/2006/relationships/image" Target="../media/image156.jpeg"/><Relationship Id="rId155" Type="http://schemas.openxmlformats.org/officeDocument/2006/relationships/image" Target="../media/image155.jpeg"/><Relationship Id="rId154" Type="http://schemas.openxmlformats.org/officeDocument/2006/relationships/image" Target="../media/image154.jpeg"/><Relationship Id="rId153" Type="http://schemas.openxmlformats.org/officeDocument/2006/relationships/image" Target="../media/image153.jpeg"/><Relationship Id="rId152" Type="http://schemas.openxmlformats.org/officeDocument/2006/relationships/image" Target="../media/image152.jpeg"/><Relationship Id="rId151" Type="http://schemas.openxmlformats.org/officeDocument/2006/relationships/image" Target="../media/image151.jpeg"/><Relationship Id="rId150" Type="http://schemas.openxmlformats.org/officeDocument/2006/relationships/image" Target="../media/image150.jpeg"/><Relationship Id="rId15" Type="http://schemas.openxmlformats.org/officeDocument/2006/relationships/image" Target="../media/image15.jpeg"/><Relationship Id="rId149" Type="http://schemas.openxmlformats.org/officeDocument/2006/relationships/image" Target="../media/image149.jpeg"/><Relationship Id="rId148" Type="http://schemas.openxmlformats.org/officeDocument/2006/relationships/image" Target="../media/image148.jpeg"/><Relationship Id="rId147" Type="http://schemas.openxmlformats.org/officeDocument/2006/relationships/image" Target="../media/image147.jpeg"/><Relationship Id="rId146" Type="http://schemas.openxmlformats.org/officeDocument/2006/relationships/image" Target="../media/image146.jpeg"/><Relationship Id="rId145" Type="http://schemas.openxmlformats.org/officeDocument/2006/relationships/image" Target="../media/image145.jpeg"/><Relationship Id="rId144" Type="http://schemas.openxmlformats.org/officeDocument/2006/relationships/image" Target="../media/image144.jpeg"/><Relationship Id="rId143" Type="http://schemas.openxmlformats.org/officeDocument/2006/relationships/image" Target="../media/image143.jpeg"/><Relationship Id="rId142" Type="http://schemas.openxmlformats.org/officeDocument/2006/relationships/image" Target="../media/image142.jpeg"/><Relationship Id="rId141" Type="http://schemas.openxmlformats.org/officeDocument/2006/relationships/image" Target="../media/image141.jpeg"/><Relationship Id="rId140" Type="http://schemas.openxmlformats.org/officeDocument/2006/relationships/image" Target="../media/image140.jpeg"/><Relationship Id="rId14" Type="http://schemas.openxmlformats.org/officeDocument/2006/relationships/image" Target="../media/image14.jpeg"/><Relationship Id="rId139" Type="http://schemas.openxmlformats.org/officeDocument/2006/relationships/image" Target="../media/image139.jpeg"/><Relationship Id="rId138" Type="http://schemas.openxmlformats.org/officeDocument/2006/relationships/image" Target="../media/image138.jpeg"/><Relationship Id="rId137" Type="http://schemas.openxmlformats.org/officeDocument/2006/relationships/image" Target="../media/image137.jpeg"/><Relationship Id="rId136" Type="http://schemas.openxmlformats.org/officeDocument/2006/relationships/image" Target="../media/image136.jpeg"/><Relationship Id="rId135" Type="http://schemas.openxmlformats.org/officeDocument/2006/relationships/image" Target="../media/image135.jpeg"/><Relationship Id="rId134" Type="http://schemas.openxmlformats.org/officeDocument/2006/relationships/image" Target="../media/image134.jpeg"/><Relationship Id="rId133" Type="http://schemas.openxmlformats.org/officeDocument/2006/relationships/image" Target="../media/image133.jpeg"/><Relationship Id="rId132" Type="http://schemas.openxmlformats.org/officeDocument/2006/relationships/image" Target="../media/image132.jpeg"/><Relationship Id="rId131" Type="http://schemas.openxmlformats.org/officeDocument/2006/relationships/image" Target="../media/image131.png"/><Relationship Id="rId130" Type="http://schemas.openxmlformats.org/officeDocument/2006/relationships/image" Target="../media/image130.png"/><Relationship Id="rId13" Type="http://schemas.openxmlformats.org/officeDocument/2006/relationships/image" Target="../media/image13.jpeg"/><Relationship Id="rId129" Type="http://schemas.openxmlformats.org/officeDocument/2006/relationships/image" Target="../media/image129.png"/><Relationship Id="rId128" Type="http://schemas.openxmlformats.org/officeDocument/2006/relationships/image" Target="../media/image128.png"/><Relationship Id="rId127" Type="http://schemas.openxmlformats.org/officeDocument/2006/relationships/image" Target="../media/image127.jpeg"/><Relationship Id="rId126" Type="http://schemas.openxmlformats.org/officeDocument/2006/relationships/image" Target="../media/image126.jpeg"/><Relationship Id="rId125" Type="http://schemas.openxmlformats.org/officeDocument/2006/relationships/image" Target="../media/image125.jpeg"/><Relationship Id="rId124" Type="http://schemas.openxmlformats.org/officeDocument/2006/relationships/image" Target="../media/image124.jpeg"/><Relationship Id="rId123" Type="http://schemas.openxmlformats.org/officeDocument/2006/relationships/image" Target="../media/image123.jpeg"/><Relationship Id="rId122" Type="http://schemas.openxmlformats.org/officeDocument/2006/relationships/image" Target="../media/image122.jpeg"/><Relationship Id="rId121" Type="http://schemas.openxmlformats.org/officeDocument/2006/relationships/image" Target="../media/image121.jpeg"/><Relationship Id="rId120" Type="http://schemas.openxmlformats.org/officeDocument/2006/relationships/image" Target="../media/image120.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99" Type="http://schemas.openxmlformats.org/officeDocument/2006/relationships/image" Target="../media/image1051.jpeg"/><Relationship Id="rId98" Type="http://schemas.openxmlformats.org/officeDocument/2006/relationships/image" Target="../media/image1050.jpeg"/><Relationship Id="rId97" Type="http://schemas.openxmlformats.org/officeDocument/2006/relationships/image" Target="../media/image99.jpeg"/><Relationship Id="rId96" Type="http://schemas.openxmlformats.org/officeDocument/2006/relationships/image" Target="../media/image98.jpeg"/><Relationship Id="rId95" Type="http://schemas.openxmlformats.org/officeDocument/2006/relationships/image" Target="../media/image1049.jpeg"/><Relationship Id="rId94" Type="http://schemas.openxmlformats.org/officeDocument/2006/relationships/image" Target="../media/image96.jpeg"/><Relationship Id="rId93" Type="http://schemas.openxmlformats.org/officeDocument/2006/relationships/image" Target="../media/image1048.jpeg"/><Relationship Id="rId92" Type="http://schemas.openxmlformats.org/officeDocument/2006/relationships/image" Target="../media/image1047.jpeg"/><Relationship Id="rId91" Type="http://schemas.openxmlformats.org/officeDocument/2006/relationships/image" Target="../media/image1046.jpeg"/><Relationship Id="rId90" Type="http://schemas.openxmlformats.org/officeDocument/2006/relationships/image" Target="../media/image1045.jpeg"/><Relationship Id="rId9" Type="http://schemas.openxmlformats.org/officeDocument/2006/relationships/image" Target="../media/image976.jpeg"/><Relationship Id="rId89" Type="http://schemas.openxmlformats.org/officeDocument/2006/relationships/image" Target="../media/image1044.jpeg"/><Relationship Id="rId88" Type="http://schemas.openxmlformats.org/officeDocument/2006/relationships/image" Target="../media/image90.jpeg"/><Relationship Id="rId871" Type="http://schemas.openxmlformats.org/officeDocument/2006/relationships/image" Target="../media/image921.jpeg"/><Relationship Id="rId870" Type="http://schemas.openxmlformats.org/officeDocument/2006/relationships/image" Target="../media/image1612.jpeg"/><Relationship Id="rId87" Type="http://schemas.openxmlformats.org/officeDocument/2006/relationships/image" Target="../media/image89.jpeg"/><Relationship Id="rId869" Type="http://schemas.openxmlformats.org/officeDocument/2006/relationships/image" Target="../media/image1611.jpeg"/><Relationship Id="rId868" Type="http://schemas.openxmlformats.org/officeDocument/2006/relationships/image" Target="../media/image1610.jpeg"/><Relationship Id="rId867" Type="http://schemas.openxmlformats.org/officeDocument/2006/relationships/image" Target="../media/image1609.jpeg"/><Relationship Id="rId866" Type="http://schemas.openxmlformats.org/officeDocument/2006/relationships/image" Target="../media/image1608.jpeg"/><Relationship Id="rId865" Type="http://schemas.openxmlformats.org/officeDocument/2006/relationships/image" Target="../media/image1607.jpeg"/><Relationship Id="rId864" Type="http://schemas.openxmlformats.org/officeDocument/2006/relationships/image" Target="../media/image1606.jpeg"/><Relationship Id="rId863" Type="http://schemas.openxmlformats.org/officeDocument/2006/relationships/image" Target="../media/image1605.jpeg"/><Relationship Id="rId862" Type="http://schemas.openxmlformats.org/officeDocument/2006/relationships/image" Target="../media/image1604.jpeg"/><Relationship Id="rId861" Type="http://schemas.openxmlformats.org/officeDocument/2006/relationships/image" Target="../media/image1603.jpeg"/><Relationship Id="rId860" Type="http://schemas.openxmlformats.org/officeDocument/2006/relationships/image" Target="../media/image1602.jpeg"/><Relationship Id="rId86" Type="http://schemas.openxmlformats.org/officeDocument/2006/relationships/image" Target="../media/image1043.jpeg"/><Relationship Id="rId859" Type="http://schemas.openxmlformats.org/officeDocument/2006/relationships/image" Target="../media/image1601.jpeg"/><Relationship Id="rId858" Type="http://schemas.openxmlformats.org/officeDocument/2006/relationships/image" Target="../media/image1600.jpeg"/><Relationship Id="rId857" Type="http://schemas.openxmlformats.org/officeDocument/2006/relationships/image" Target="../media/image1599.jpeg"/><Relationship Id="rId856" Type="http://schemas.openxmlformats.org/officeDocument/2006/relationships/image" Target="../media/image1598.jpeg"/><Relationship Id="rId855" Type="http://schemas.openxmlformats.org/officeDocument/2006/relationships/image" Target="../media/image1597.jpeg"/><Relationship Id="rId854" Type="http://schemas.openxmlformats.org/officeDocument/2006/relationships/image" Target="../media/image1596.jpeg"/><Relationship Id="rId853" Type="http://schemas.openxmlformats.org/officeDocument/2006/relationships/image" Target="../media/image1595.jpeg"/><Relationship Id="rId852" Type="http://schemas.openxmlformats.org/officeDocument/2006/relationships/image" Target="../media/image1594.jpeg"/><Relationship Id="rId851" Type="http://schemas.openxmlformats.org/officeDocument/2006/relationships/image" Target="../media/image1593.jpeg"/><Relationship Id="rId850" Type="http://schemas.openxmlformats.org/officeDocument/2006/relationships/image" Target="../media/image1592.jpeg"/><Relationship Id="rId85" Type="http://schemas.openxmlformats.org/officeDocument/2006/relationships/image" Target="../media/image1042.jpeg"/><Relationship Id="rId849" Type="http://schemas.openxmlformats.org/officeDocument/2006/relationships/image" Target="../media/image1591.jpeg"/><Relationship Id="rId848" Type="http://schemas.openxmlformats.org/officeDocument/2006/relationships/image" Target="../media/image1590.jpeg"/><Relationship Id="rId847" Type="http://schemas.openxmlformats.org/officeDocument/2006/relationships/image" Target="../media/image1589.jpeg"/><Relationship Id="rId846" Type="http://schemas.openxmlformats.org/officeDocument/2006/relationships/image" Target="../media/image1588.jpeg"/><Relationship Id="rId845" Type="http://schemas.openxmlformats.org/officeDocument/2006/relationships/image" Target="../media/image1587.jpeg"/><Relationship Id="rId844" Type="http://schemas.openxmlformats.org/officeDocument/2006/relationships/image" Target="../media/image1586.jpeg"/><Relationship Id="rId843" Type="http://schemas.openxmlformats.org/officeDocument/2006/relationships/image" Target="../media/image1585.jpeg"/><Relationship Id="rId842" Type="http://schemas.openxmlformats.org/officeDocument/2006/relationships/image" Target="../media/image1584.jpeg"/><Relationship Id="rId841" Type="http://schemas.openxmlformats.org/officeDocument/2006/relationships/image" Target="../media/image1583.jpeg"/><Relationship Id="rId840" Type="http://schemas.openxmlformats.org/officeDocument/2006/relationships/image" Target="../media/image1582.jpeg"/><Relationship Id="rId84" Type="http://schemas.openxmlformats.org/officeDocument/2006/relationships/image" Target="../media/image1041.jpeg"/><Relationship Id="rId839" Type="http://schemas.openxmlformats.org/officeDocument/2006/relationships/image" Target="../media/image1581.jpeg"/><Relationship Id="rId838" Type="http://schemas.openxmlformats.org/officeDocument/2006/relationships/image" Target="../media/image1580.jpeg"/><Relationship Id="rId837" Type="http://schemas.openxmlformats.org/officeDocument/2006/relationships/image" Target="../media/image1579.jpeg"/><Relationship Id="rId836" Type="http://schemas.openxmlformats.org/officeDocument/2006/relationships/image" Target="../media/image1578.jpeg"/><Relationship Id="rId835" Type="http://schemas.openxmlformats.org/officeDocument/2006/relationships/image" Target="../media/image1577.jpeg"/><Relationship Id="rId834" Type="http://schemas.openxmlformats.org/officeDocument/2006/relationships/image" Target="../media/image1576.jpeg"/><Relationship Id="rId833" Type="http://schemas.openxmlformats.org/officeDocument/2006/relationships/image" Target="../media/image1575.jpeg"/><Relationship Id="rId832" Type="http://schemas.openxmlformats.org/officeDocument/2006/relationships/image" Target="../media/image1574.jpeg"/><Relationship Id="rId831" Type="http://schemas.openxmlformats.org/officeDocument/2006/relationships/image" Target="../media/image1573.jpeg"/><Relationship Id="rId830" Type="http://schemas.openxmlformats.org/officeDocument/2006/relationships/image" Target="../media/image1572.jpeg"/><Relationship Id="rId83" Type="http://schemas.openxmlformats.org/officeDocument/2006/relationships/image" Target="../media/image1040.jpeg"/><Relationship Id="rId829" Type="http://schemas.openxmlformats.org/officeDocument/2006/relationships/image" Target="../media/image1571.jpeg"/><Relationship Id="rId828" Type="http://schemas.openxmlformats.org/officeDocument/2006/relationships/image" Target="../media/image1570.jpeg"/><Relationship Id="rId827" Type="http://schemas.openxmlformats.org/officeDocument/2006/relationships/image" Target="../media/image1569.jpeg"/><Relationship Id="rId826" Type="http://schemas.openxmlformats.org/officeDocument/2006/relationships/image" Target="../media/image1568.jpeg"/><Relationship Id="rId825" Type="http://schemas.openxmlformats.org/officeDocument/2006/relationships/image" Target="../media/image1567.jpeg"/><Relationship Id="rId824" Type="http://schemas.openxmlformats.org/officeDocument/2006/relationships/image" Target="../media/image1566.jpeg"/><Relationship Id="rId823" Type="http://schemas.openxmlformats.org/officeDocument/2006/relationships/image" Target="../media/image1565.jpeg"/><Relationship Id="rId822" Type="http://schemas.openxmlformats.org/officeDocument/2006/relationships/image" Target="../media/image1564.jpeg"/><Relationship Id="rId821" Type="http://schemas.openxmlformats.org/officeDocument/2006/relationships/image" Target="../media/image1563.jpeg"/><Relationship Id="rId820" Type="http://schemas.openxmlformats.org/officeDocument/2006/relationships/image" Target="../media/image1562.jpeg"/><Relationship Id="rId82" Type="http://schemas.openxmlformats.org/officeDocument/2006/relationships/image" Target="../media/image84.jpeg"/><Relationship Id="rId819" Type="http://schemas.openxmlformats.org/officeDocument/2006/relationships/image" Target="../media/image1561.jpeg"/><Relationship Id="rId818" Type="http://schemas.openxmlformats.org/officeDocument/2006/relationships/image" Target="../media/image1560.jpeg"/><Relationship Id="rId817" Type="http://schemas.openxmlformats.org/officeDocument/2006/relationships/image" Target="../media/image1559.jpeg"/><Relationship Id="rId816" Type="http://schemas.openxmlformats.org/officeDocument/2006/relationships/image" Target="../media/image1558.jpeg"/><Relationship Id="rId815" Type="http://schemas.openxmlformats.org/officeDocument/2006/relationships/image" Target="../media/image1557.jpeg"/><Relationship Id="rId814" Type="http://schemas.openxmlformats.org/officeDocument/2006/relationships/image" Target="../media/image1556.jpeg"/><Relationship Id="rId813" Type="http://schemas.openxmlformats.org/officeDocument/2006/relationships/image" Target="../media/image1555.jpeg"/><Relationship Id="rId812" Type="http://schemas.openxmlformats.org/officeDocument/2006/relationships/image" Target="../media/image870.jpeg"/><Relationship Id="rId811" Type="http://schemas.openxmlformats.org/officeDocument/2006/relationships/image" Target="../media/image1554.jpeg"/><Relationship Id="rId810" Type="http://schemas.openxmlformats.org/officeDocument/2006/relationships/image" Target="../media/image1553.jpeg"/><Relationship Id="rId81" Type="http://schemas.openxmlformats.org/officeDocument/2006/relationships/image" Target="../media/image1039.jpeg"/><Relationship Id="rId809" Type="http://schemas.openxmlformats.org/officeDocument/2006/relationships/image" Target="../media/image1552.jpeg"/><Relationship Id="rId808" Type="http://schemas.openxmlformats.org/officeDocument/2006/relationships/image" Target="../media/image1551.jpeg"/><Relationship Id="rId807" Type="http://schemas.openxmlformats.org/officeDocument/2006/relationships/image" Target="../media/image1550.jpeg"/><Relationship Id="rId806" Type="http://schemas.openxmlformats.org/officeDocument/2006/relationships/image" Target="../media/image1549.jpeg"/><Relationship Id="rId805" Type="http://schemas.openxmlformats.org/officeDocument/2006/relationships/image" Target="../media/image860.jpeg"/><Relationship Id="rId804" Type="http://schemas.openxmlformats.org/officeDocument/2006/relationships/image" Target="../media/image1548.jpeg"/><Relationship Id="rId803" Type="http://schemas.openxmlformats.org/officeDocument/2006/relationships/image" Target="../media/image856.jpeg"/><Relationship Id="rId802" Type="http://schemas.openxmlformats.org/officeDocument/2006/relationships/image" Target="../media/image1547.jpeg"/><Relationship Id="rId801" Type="http://schemas.openxmlformats.org/officeDocument/2006/relationships/image" Target="../media/image1546.jpeg"/><Relationship Id="rId800" Type="http://schemas.openxmlformats.org/officeDocument/2006/relationships/image" Target="../media/image1545.jpeg"/><Relationship Id="rId80" Type="http://schemas.openxmlformats.org/officeDocument/2006/relationships/image" Target="../media/image1038.jpeg"/><Relationship Id="rId8" Type="http://schemas.openxmlformats.org/officeDocument/2006/relationships/image" Target="../media/image975.jpeg"/><Relationship Id="rId799" Type="http://schemas.openxmlformats.org/officeDocument/2006/relationships/image" Target="../media/image1544.jpeg"/><Relationship Id="rId798" Type="http://schemas.openxmlformats.org/officeDocument/2006/relationships/image" Target="../media/image1543.jpeg"/><Relationship Id="rId797" Type="http://schemas.openxmlformats.org/officeDocument/2006/relationships/image" Target="../media/image848.jpeg"/><Relationship Id="rId796" Type="http://schemas.openxmlformats.org/officeDocument/2006/relationships/image" Target="../media/image847.jpeg"/><Relationship Id="rId795" Type="http://schemas.openxmlformats.org/officeDocument/2006/relationships/image" Target="../media/image846.jpeg"/><Relationship Id="rId794" Type="http://schemas.openxmlformats.org/officeDocument/2006/relationships/image" Target="../media/image1542.jpeg"/><Relationship Id="rId793" Type="http://schemas.openxmlformats.org/officeDocument/2006/relationships/image" Target="../media/image1541.jpeg"/><Relationship Id="rId792" Type="http://schemas.openxmlformats.org/officeDocument/2006/relationships/image" Target="../media/image844.jpeg"/><Relationship Id="rId791" Type="http://schemas.openxmlformats.org/officeDocument/2006/relationships/image" Target="../media/image1540.jpeg"/><Relationship Id="rId790" Type="http://schemas.openxmlformats.org/officeDocument/2006/relationships/image" Target="../media/image1539.jpeg"/><Relationship Id="rId79" Type="http://schemas.openxmlformats.org/officeDocument/2006/relationships/image" Target="../media/image81.jpeg"/><Relationship Id="rId789" Type="http://schemas.openxmlformats.org/officeDocument/2006/relationships/image" Target="../media/image1538.jpeg"/><Relationship Id="rId788" Type="http://schemas.openxmlformats.org/officeDocument/2006/relationships/image" Target="../media/image1537.jpeg"/><Relationship Id="rId787" Type="http://schemas.openxmlformats.org/officeDocument/2006/relationships/image" Target="../media/image1536.jpeg"/><Relationship Id="rId786" Type="http://schemas.openxmlformats.org/officeDocument/2006/relationships/image" Target="../media/image1535.jpeg"/><Relationship Id="rId785" Type="http://schemas.openxmlformats.org/officeDocument/2006/relationships/image" Target="../media/image1534.jpeg"/><Relationship Id="rId784" Type="http://schemas.openxmlformats.org/officeDocument/2006/relationships/image" Target="../media/image1533.jpeg"/><Relationship Id="rId783" Type="http://schemas.openxmlformats.org/officeDocument/2006/relationships/image" Target="../media/image1532.jpeg"/><Relationship Id="rId782" Type="http://schemas.openxmlformats.org/officeDocument/2006/relationships/image" Target="../media/image1531.jpeg"/><Relationship Id="rId781" Type="http://schemas.openxmlformats.org/officeDocument/2006/relationships/image" Target="../media/image1530.jpeg"/><Relationship Id="rId780" Type="http://schemas.openxmlformats.org/officeDocument/2006/relationships/image" Target="../media/image1529.jpeg"/><Relationship Id="rId78" Type="http://schemas.openxmlformats.org/officeDocument/2006/relationships/image" Target="../media/image1037.jpeg"/><Relationship Id="rId779" Type="http://schemas.openxmlformats.org/officeDocument/2006/relationships/image" Target="../media/image1528.jpeg"/><Relationship Id="rId778" Type="http://schemas.openxmlformats.org/officeDocument/2006/relationships/image" Target="../media/image1527.jpeg"/><Relationship Id="rId777" Type="http://schemas.openxmlformats.org/officeDocument/2006/relationships/image" Target="../media/image1526.jpeg"/><Relationship Id="rId776" Type="http://schemas.openxmlformats.org/officeDocument/2006/relationships/image" Target="../media/image821.jpeg"/><Relationship Id="rId775" Type="http://schemas.openxmlformats.org/officeDocument/2006/relationships/image" Target="../media/image1525.jpeg"/><Relationship Id="rId774" Type="http://schemas.openxmlformats.org/officeDocument/2006/relationships/image" Target="../media/image1524.jpeg"/><Relationship Id="rId773" Type="http://schemas.openxmlformats.org/officeDocument/2006/relationships/image" Target="../media/image1523.jpeg"/><Relationship Id="rId772" Type="http://schemas.openxmlformats.org/officeDocument/2006/relationships/image" Target="../media/image1522.jpeg"/><Relationship Id="rId771" Type="http://schemas.openxmlformats.org/officeDocument/2006/relationships/image" Target="../media/image1521.jpeg"/><Relationship Id="rId770" Type="http://schemas.openxmlformats.org/officeDocument/2006/relationships/image" Target="../media/image1520.jpeg"/><Relationship Id="rId77" Type="http://schemas.openxmlformats.org/officeDocument/2006/relationships/image" Target="../media/image1036.jpeg"/><Relationship Id="rId769" Type="http://schemas.openxmlformats.org/officeDocument/2006/relationships/image" Target="../media/image1519.jpeg"/><Relationship Id="rId768" Type="http://schemas.openxmlformats.org/officeDocument/2006/relationships/image" Target="../media/image1518.jpeg"/><Relationship Id="rId767" Type="http://schemas.openxmlformats.org/officeDocument/2006/relationships/image" Target="../media/image1517.jpeg"/><Relationship Id="rId766" Type="http://schemas.openxmlformats.org/officeDocument/2006/relationships/image" Target="../media/image1516.jpeg"/><Relationship Id="rId765" Type="http://schemas.openxmlformats.org/officeDocument/2006/relationships/image" Target="../media/image1515.jpeg"/><Relationship Id="rId764" Type="http://schemas.openxmlformats.org/officeDocument/2006/relationships/image" Target="../media/image1514.jpeg"/><Relationship Id="rId763" Type="http://schemas.openxmlformats.org/officeDocument/2006/relationships/image" Target="../media/image802.jpeg"/><Relationship Id="rId762" Type="http://schemas.openxmlformats.org/officeDocument/2006/relationships/image" Target="../media/image1513.jpeg"/><Relationship Id="rId761" Type="http://schemas.openxmlformats.org/officeDocument/2006/relationships/image" Target="../media/image1512.jpeg"/><Relationship Id="rId760" Type="http://schemas.openxmlformats.org/officeDocument/2006/relationships/image" Target="../media/image1511.jpeg"/><Relationship Id="rId76" Type="http://schemas.openxmlformats.org/officeDocument/2006/relationships/image" Target="../media/image1035.jpeg"/><Relationship Id="rId759" Type="http://schemas.openxmlformats.org/officeDocument/2006/relationships/image" Target="../media/image1510.jpeg"/><Relationship Id="rId758" Type="http://schemas.openxmlformats.org/officeDocument/2006/relationships/image" Target="../media/image1509.jpeg"/><Relationship Id="rId757" Type="http://schemas.openxmlformats.org/officeDocument/2006/relationships/image" Target="../media/image1508.jpeg"/><Relationship Id="rId756" Type="http://schemas.openxmlformats.org/officeDocument/2006/relationships/image" Target="../media/image1507.jpeg"/><Relationship Id="rId755" Type="http://schemas.openxmlformats.org/officeDocument/2006/relationships/image" Target="../media/image1506.jpeg"/><Relationship Id="rId754" Type="http://schemas.openxmlformats.org/officeDocument/2006/relationships/image" Target="../media/image1505.jpeg"/><Relationship Id="rId753" Type="http://schemas.openxmlformats.org/officeDocument/2006/relationships/image" Target="../media/image1504.jpeg"/><Relationship Id="rId752" Type="http://schemas.openxmlformats.org/officeDocument/2006/relationships/image" Target="../media/image1503.jpeg"/><Relationship Id="rId751" Type="http://schemas.openxmlformats.org/officeDocument/2006/relationships/image" Target="../media/image1502.jpeg"/><Relationship Id="rId750" Type="http://schemas.openxmlformats.org/officeDocument/2006/relationships/image" Target="../media/image1501.jpeg"/><Relationship Id="rId75" Type="http://schemas.openxmlformats.org/officeDocument/2006/relationships/image" Target="../media/image1034.jpeg"/><Relationship Id="rId749" Type="http://schemas.openxmlformats.org/officeDocument/2006/relationships/image" Target="../media/image1500.jpeg"/><Relationship Id="rId748" Type="http://schemas.openxmlformats.org/officeDocument/2006/relationships/image" Target="../media/image1499.jpeg"/><Relationship Id="rId747" Type="http://schemas.openxmlformats.org/officeDocument/2006/relationships/image" Target="../media/image1498.jpeg"/><Relationship Id="rId746" Type="http://schemas.openxmlformats.org/officeDocument/2006/relationships/image" Target="../media/image1497.jpeg"/><Relationship Id="rId745" Type="http://schemas.openxmlformats.org/officeDocument/2006/relationships/image" Target="../media/image1496.jpeg"/><Relationship Id="rId744" Type="http://schemas.openxmlformats.org/officeDocument/2006/relationships/image" Target="../media/image1495.jpeg"/><Relationship Id="rId743" Type="http://schemas.openxmlformats.org/officeDocument/2006/relationships/image" Target="../media/image1494.jpeg"/><Relationship Id="rId742" Type="http://schemas.openxmlformats.org/officeDocument/2006/relationships/image" Target="../media/image1493.jpeg"/><Relationship Id="rId741" Type="http://schemas.openxmlformats.org/officeDocument/2006/relationships/image" Target="../media/image1492.jpeg"/><Relationship Id="rId740" Type="http://schemas.openxmlformats.org/officeDocument/2006/relationships/image" Target="../media/image1491.jpeg"/><Relationship Id="rId74" Type="http://schemas.openxmlformats.org/officeDocument/2006/relationships/image" Target="../media/image76.jpeg"/><Relationship Id="rId739" Type="http://schemas.openxmlformats.org/officeDocument/2006/relationships/image" Target="../media/image1490.jpeg"/><Relationship Id="rId738" Type="http://schemas.openxmlformats.org/officeDocument/2006/relationships/image" Target="../media/image1489.jpeg"/><Relationship Id="rId737" Type="http://schemas.openxmlformats.org/officeDocument/2006/relationships/image" Target="../media/image1488.jpeg"/><Relationship Id="rId736" Type="http://schemas.openxmlformats.org/officeDocument/2006/relationships/image" Target="../media/image1487.jpeg"/><Relationship Id="rId735" Type="http://schemas.openxmlformats.org/officeDocument/2006/relationships/image" Target="../media/image1486.jpeg"/><Relationship Id="rId734" Type="http://schemas.openxmlformats.org/officeDocument/2006/relationships/image" Target="../media/image1485.jpeg"/><Relationship Id="rId733" Type="http://schemas.openxmlformats.org/officeDocument/2006/relationships/image" Target="../media/image1484.jpeg"/><Relationship Id="rId732" Type="http://schemas.openxmlformats.org/officeDocument/2006/relationships/image" Target="../media/image1483.jpeg"/><Relationship Id="rId731" Type="http://schemas.openxmlformats.org/officeDocument/2006/relationships/image" Target="../media/image1482.jpeg"/><Relationship Id="rId730" Type="http://schemas.openxmlformats.org/officeDocument/2006/relationships/image" Target="../media/image1481.jpeg"/><Relationship Id="rId73" Type="http://schemas.openxmlformats.org/officeDocument/2006/relationships/image" Target="../media/image1033.jpeg"/><Relationship Id="rId729" Type="http://schemas.openxmlformats.org/officeDocument/2006/relationships/image" Target="../media/image1480.jpeg"/><Relationship Id="rId728" Type="http://schemas.openxmlformats.org/officeDocument/2006/relationships/image" Target="../media/image1479.jpeg"/><Relationship Id="rId727" Type="http://schemas.openxmlformats.org/officeDocument/2006/relationships/image" Target="../media/image1478.jpeg"/><Relationship Id="rId726" Type="http://schemas.openxmlformats.org/officeDocument/2006/relationships/image" Target="../media/image1477.jpeg"/><Relationship Id="rId725" Type="http://schemas.openxmlformats.org/officeDocument/2006/relationships/image" Target="../media/image1476.jpeg"/><Relationship Id="rId724" Type="http://schemas.openxmlformats.org/officeDocument/2006/relationships/image" Target="../media/image1475.jpeg"/><Relationship Id="rId723" Type="http://schemas.openxmlformats.org/officeDocument/2006/relationships/image" Target="../media/image1474.jpeg"/><Relationship Id="rId722" Type="http://schemas.openxmlformats.org/officeDocument/2006/relationships/image" Target="../media/image1473.jpeg"/><Relationship Id="rId721" Type="http://schemas.openxmlformats.org/officeDocument/2006/relationships/image" Target="../media/image1472.jpeg"/><Relationship Id="rId720" Type="http://schemas.openxmlformats.org/officeDocument/2006/relationships/image" Target="../media/image759.jpeg"/><Relationship Id="rId72" Type="http://schemas.openxmlformats.org/officeDocument/2006/relationships/image" Target="../media/image1032.jpeg"/><Relationship Id="rId719" Type="http://schemas.openxmlformats.org/officeDocument/2006/relationships/image" Target="../media/image1471.jpeg"/><Relationship Id="rId718" Type="http://schemas.openxmlformats.org/officeDocument/2006/relationships/image" Target="../media/image1470.jpeg"/><Relationship Id="rId717" Type="http://schemas.openxmlformats.org/officeDocument/2006/relationships/image" Target="../media/image1469.jpeg"/><Relationship Id="rId716" Type="http://schemas.openxmlformats.org/officeDocument/2006/relationships/image" Target="../media/image1468.jpeg"/><Relationship Id="rId715" Type="http://schemas.openxmlformats.org/officeDocument/2006/relationships/image" Target="../media/image1467.jpeg"/><Relationship Id="rId714" Type="http://schemas.openxmlformats.org/officeDocument/2006/relationships/image" Target="../media/image1466.jpeg"/><Relationship Id="rId713" Type="http://schemas.openxmlformats.org/officeDocument/2006/relationships/image" Target="../media/image1465.jpeg"/><Relationship Id="rId712" Type="http://schemas.openxmlformats.org/officeDocument/2006/relationships/image" Target="../media/image1464.jpeg"/><Relationship Id="rId711" Type="http://schemas.openxmlformats.org/officeDocument/2006/relationships/image" Target="../media/image1463.jpeg"/><Relationship Id="rId710" Type="http://schemas.openxmlformats.org/officeDocument/2006/relationships/image" Target="../media/image1462.jpeg"/><Relationship Id="rId71" Type="http://schemas.openxmlformats.org/officeDocument/2006/relationships/image" Target="../media/image1031.jpeg"/><Relationship Id="rId709" Type="http://schemas.openxmlformats.org/officeDocument/2006/relationships/image" Target="../media/image629.jpeg"/><Relationship Id="rId708" Type="http://schemas.openxmlformats.org/officeDocument/2006/relationships/image" Target="../media/image1461.jpeg"/><Relationship Id="rId707" Type="http://schemas.openxmlformats.org/officeDocument/2006/relationships/image" Target="../media/image1460.jpeg"/><Relationship Id="rId706" Type="http://schemas.openxmlformats.org/officeDocument/2006/relationships/image" Target="../media/image1459.jpeg"/><Relationship Id="rId705" Type="http://schemas.openxmlformats.org/officeDocument/2006/relationships/image" Target="../media/image1458.jpeg"/><Relationship Id="rId704" Type="http://schemas.openxmlformats.org/officeDocument/2006/relationships/image" Target="../media/image1457.jpeg"/><Relationship Id="rId703" Type="http://schemas.openxmlformats.org/officeDocument/2006/relationships/image" Target="../media/image1456.jpeg"/><Relationship Id="rId702" Type="http://schemas.openxmlformats.org/officeDocument/2006/relationships/image" Target="../media/image1455.jpeg"/><Relationship Id="rId701" Type="http://schemas.openxmlformats.org/officeDocument/2006/relationships/image" Target="../media/image733.jpeg"/><Relationship Id="rId700" Type="http://schemas.openxmlformats.org/officeDocument/2006/relationships/image" Target="../media/image1454.jpeg"/><Relationship Id="rId70" Type="http://schemas.openxmlformats.org/officeDocument/2006/relationships/image" Target="../media/image1030.jpeg"/><Relationship Id="rId7" Type="http://schemas.openxmlformats.org/officeDocument/2006/relationships/image" Target="../media/image8.jpeg"/><Relationship Id="rId699" Type="http://schemas.openxmlformats.org/officeDocument/2006/relationships/image" Target="../media/image1453.jpeg"/><Relationship Id="rId698" Type="http://schemas.openxmlformats.org/officeDocument/2006/relationships/image" Target="../media/image1452.jpeg"/><Relationship Id="rId697" Type="http://schemas.openxmlformats.org/officeDocument/2006/relationships/image" Target="../media/image1451.jpeg"/><Relationship Id="rId696" Type="http://schemas.openxmlformats.org/officeDocument/2006/relationships/image" Target="../media/image1450.jpeg"/><Relationship Id="rId695" Type="http://schemas.openxmlformats.org/officeDocument/2006/relationships/image" Target="../media/image1449.jpeg"/><Relationship Id="rId694" Type="http://schemas.openxmlformats.org/officeDocument/2006/relationships/image" Target="../media/image724.jpeg"/><Relationship Id="rId693" Type="http://schemas.openxmlformats.org/officeDocument/2006/relationships/image" Target="../media/image1448.jpeg"/><Relationship Id="rId692" Type="http://schemas.openxmlformats.org/officeDocument/2006/relationships/image" Target="../media/image1447.jpeg"/><Relationship Id="rId691" Type="http://schemas.openxmlformats.org/officeDocument/2006/relationships/image" Target="../media/image1446.jpeg"/><Relationship Id="rId690" Type="http://schemas.openxmlformats.org/officeDocument/2006/relationships/image" Target="../media/image1445.jpeg"/><Relationship Id="rId69" Type="http://schemas.openxmlformats.org/officeDocument/2006/relationships/image" Target="../media/image1029.jpeg"/><Relationship Id="rId689" Type="http://schemas.openxmlformats.org/officeDocument/2006/relationships/image" Target="../media/image1444.jpeg"/><Relationship Id="rId688" Type="http://schemas.openxmlformats.org/officeDocument/2006/relationships/image" Target="../media/image1443.jpeg"/><Relationship Id="rId687" Type="http://schemas.openxmlformats.org/officeDocument/2006/relationships/image" Target="../media/image1442.jpeg"/><Relationship Id="rId686" Type="http://schemas.openxmlformats.org/officeDocument/2006/relationships/image" Target="../media/image1441.jpeg"/><Relationship Id="rId685" Type="http://schemas.openxmlformats.org/officeDocument/2006/relationships/image" Target="../media/image1440.jpeg"/><Relationship Id="rId684" Type="http://schemas.openxmlformats.org/officeDocument/2006/relationships/image" Target="../media/image1439.jpeg"/><Relationship Id="rId683" Type="http://schemas.openxmlformats.org/officeDocument/2006/relationships/image" Target="../media/image1438.jpeg"/><Relationship Id="rId682" Type="http://schemas.openxmlformats.org/officeDocument/2006/relationships/image" Target="../media/image1437.jpeg"/><Relationship Id="rId681" Type="http://schemas.openxmlformats.org/officeDocument/2006/relationships/image" Target="../media/image1436.jpeg"/><Relationship Id="rId680" Type="http://schemas.openxmlformats.org/officeDocument/2006/relationships/image" Target="../media/image1435.jpeg"/><Relationship Id="rId68" Type="http://schemas.openxmlformats.org/officeDocument/2006/relationships/image" Target="../media/image1028.jpeg"/><Relationship Id="rId679" Type="http://schemas.openxmlformats.org/officeDocument/2006/relationships/image" Target="../media/image1434.jpeg"/><Relationship Id="rId678" Type="http://schemas.openxmlformats.org/officeDocument/2006/relationships/image" Target="../media/image1433.jpeg"/><Relationship Id="rId677" Type="http://schemas.openxmlformats.org/officeDocument/2006/relationships/image" Target="../media/image1432.jpeg"/><Relationship Id="rId676" Type="http://schemas.openxmlformats.org/officeDocument/2006/relationships/image" Target="../media/image1431.jpeg"/><Relationship Id="rId675" Type="http://schemas.openxmlformats.org/officeDocument/2006/relationships/image" Target="../media/image1430.jpeg"/><Relationship Id="rId674" Type="http://schemas.openxmlformats.org/officeDocument/2006/relationships/image" Target="../media/image1429.jpeg"/><Relationship Id="rId673" Type="http://schemas.openxmlformats.org/officeDocument/2006/relationships/image" Target="../media/image1428.jpeg"/><Relationship Id="rId672" Type="http://schemas.openxmlformats.org/officeDocument/2006/relationships/image" Target="../media/image703.jpeg"/><Relationship Id="rId671" Type="http://schemas.openxmlformats.org/officeDocument/2006/relationships/image" Target="../media/image1427.jpeg"/><Relationship Id="rId670" Type="http://schemas.openxmlformats.org/officeDocument/2006/relationships/image" Target="../media/image1426.jpeg"/><Relationship Id="rId67" Type="http://schemas.openxmlformats.org/officeDocument/2006/relationships/image" Target="../media/image1027.jpeg"/><Relationship Id="rId669" Type="http://schemas.openxmlformats.org/officeDocument/2006/relationships/image" Target="../media/image1425.jpeg"/><Relationship Id="rId668" Type="http://schemas.openxmlformats.org/officeDocument/2006/relationships/image" Target="../media/image1424.jpeg"/><Relationship Id="rId667" Type="http://schemas.openxmlformats.org/officeDocument/2006/relationships/image" Target="../media/image1423.jpeg"/><Relationship Id="rId666" Type="http://schemas.openxmlformats.org/officeDocument/2006/relationships/image" Target="../media/image1422.jpeg"/><Relationship Id="rId665" Type="http://schemas.openxmlformats.org/officeDocument/2006/relationships/image" Target="../media/image696.jpeg"/><Relationship Id="rId664" Type="http://schemas.openxmlformats.org/officeDocument/2006/relationships/image" Target="../media/image1421.jpeg"/><Relationship Id="rId663" Type="http://schemas.openxmlformats.org/officeDocument/2006/relationships/image" Target="../media/image1420.jpeg"/><Relationship Id="rId662" Type="http://schemas.openxmlformats.org/officeDocument/2006/relationships/image" Target="../media/image1419.jpeg"/><Relationship Id="rId661" Type="http://schemas.openxmlformats.org/officeDocument/2006/relationships/image" Target="../media/image1418.png"/><Relationship Id="rId660" Type="http://schemas.openxmlformats.org/officeDocument/2006/relationships/image" Target="../media/image1417.jpeg"/><Relationship Id="rId66" Type="http://schemas.openxmlformats.org/officeDocument/2006/relationships/image" Target="../media/image1026.jpeg"/><Relationship Id="rId659" Type="http://schemas.openxmlformats.org/officeDocument/2006/relationships/image" Target="../media/image1416.jpeg"/><Relationship Id="rId658" Type="http://schemas.openxmlformats.org/officeDocument/2006/relationships/image" Target="../media/image1415.jpeg"/><Relationship Id="rId657" Type="http://schemas.openxmlformats.org/officeDocument/2006/relationships/image" Target="../media/image1414.jpeg"/><Relationship Id="rId656" Type="http://schemas.openxmlformats.org/officeDocument/2006/relationships/image" Target="../media/image1413.jpeg"/><Relationship Id="rId655" Type="http://schemas.openxmlformats.org/officeDocument/2006/relationships/image" Target="../media/image1412.jpeg"/><Relationship Id="rId654" Type="http://schemas.openxmlformats.org/officeDocument/2006/relationships/image" Target="../media/image1411.jpeg"/><Relationship Id="rId653" Type="http://schemas.openxmlformats.org/officeDocument/2006/relationships/image" Target="../media/image1410.jpeg"/><Relationship Id="rId652" Type="http://schemas.openxmlformats.org/officeDocument/2006/relationships/image" Target="../media/image1409.jpeg"/><Relationship Id="rId651" Type="http://schemas.openxmlformats.org/officeDocument/2006/relationships/image" Target="../media/image1408.jpeg"/><Relationship Id="rId650" Type="http://schemas.openxmlformats.org/officeDocument/2006/relationships/image" Target="../media/image1407.jpeg"/><Relationship Id="rId65" Type="http://schemas.openxmlformats.org/officeDocument/2006/relationships/image" Target="../media/image1025.jpeg"/><Relationship Id="rId649" Type="http://schemas.openxmlformats.org/officeDocument/2006/relationships/image" Target="../media/image680.jpeg"/><Relationship Id="rId648" Type="http://schemas.openxmlformats.org/officeDocument/2006/relationships/image" Target="../media/image1406.jpeg"/><Relationship Id="rId647" Type="http://schemas.openxmlformats.org/officeDocument/2006/relationships/image" Target="../media/image1405.jpeg"/><Relationship Id="rId646" Type="http://schemas.openxmlformats.org/officeDocument/2006/relationships/image" Target="../media/image1404.jpeg"/><Relationship Id="rId645" Type="http://schemas.openxmlformats.org/officeDocument/2006/relationships/image" Target="../media/image1403.jpeg"/><Relationship Id="rId644" Type="http://schemas.openxmlformats.org/officeDocument/2006/relationships/image" Target="../media/image1402.jpeg"/><Relationship Id="rId643" Type="http://schemas.openxmlformats.org/officeDocument/2006/relationships/image" Target="../media/image1401.jpeg"/><Relationship Id="rId642" Type="http://schemas.openxmlformats.org/officeDocument/2006/relationships/image" Target="../media/image1400.jpeg"/><Relationship Id="rId641" Type="http://schemas.openxmlformats.org/officeDocument/2006/relationships/image" Target="../media/image671.jpeg"/><Relationship Id="rId640" Type="http://schemas.openxmlformats.org/officeDocument/2006/relationships/image" Target="../media/image672.jpeg"/><Relationship Id="rId64" Type="http://schemas.openxmlformats.org/officeDocument/2006/relationships/image" Target="../media/image1024.jpeg"/><Relationship Id="rId639" Type="http://schemas.openxmlformats.org/officeDocument/2006/relationships/image" Target="../media/image669.jpeg"/><Relationship Id="rId638" Type="http://schemas.openxmlformats.org/officeDocument/2006/relationships/image" Target="../media/image1399.jpeg"/><Relationship Id="rId637" Type="http://schemas.openxmlformats.org/officeDocument/2006/relationships/image" Target="../media/image1398.jpeg"/><Relationship Id="rId636" Type="http://schemas.openxmlformats.org/officeDocument/2006/relationships/image" Target="../media/image1397.jpeg"/><Relationship Id="rId635" Type="http://schemas.openxmlformats.org/officeDocument/2006/relationships/image" Target="../media/image1396.jpeg"/><Relationship Id="rId634" Type="http://schemas.openxmlformats.org/officeDocument/2006/relationships/image" Target="../media/image664.jpeg"/><Relationship Id="rId633" Type="http://schemas.openxmlformats.org/officeDocument/2006/relationships/image" Target="../media/image1395.jpeg"/><Relationship Id="rId632" Type="http://schemas.openxmlformats.org/officeDocument/2006/relationships/image" Target="../media/image1394.jpeg"/><Relationship Id="rId631" Type="http://schemas.openxmlformats.org/officeDocument/2006/relationships/image" Target="../media/image662.jpeg"/><Relationship Id="rId630" Type="http://schemas.openxmlformats.org/officeDocument/2006/relationships/image" Target="../media/image1393.jpeg"/><Relationship Id="rId63" Type="http://schemas.openxmlformats.org/officeDocument/2006/relationships/image" Target="../media/image1023.jpeg"/><Relationship Id="rId629" Type="http://schemas.openxmlformats.org/officeDocument/2006/relationships/image" Target="../media/image1392.jpeg"/><Relationship Id="rId628" Type="http://schemas.openxmlformats.org/officeDocument/2006/relationships/image" Target="../media/image660.jpeg"/><Relationship Id="rId627" Type="http://schemas.openxmlformats.org/officeDocument/2006/relationships/image" Target="../media/image1391.jpeg"/><Relationship Id="rId626" Type="http://schemas.openxmlformats.org/officeDocument/2006/relationships/image" Target="../media/image1390.jpeg"/><Relationship Id="rId625" Type="http://schemas.openxmlformats.org/officeDocument/2006/relationships/image" Target="../media/image1389.jpeg"/><Relationship Id="rId624" Type="http://schemas.openxmlformats.org/officeDocument/2006/relationships/image" Target="../media/image1388.jpeg"/><Relationship Id="rId623" Type="http://schemas.openxmlformats.org/officeDocument/2006/relationships/image" Target="../media/image1387.jpeg"/><Relationship Id="rId622" Type="http://schemas.openxmlformats.org/officeDocument/2006/relationships/image" Target="../media/image652.jpeg"/><Relationship Id="rId621" Type="http://schemas.openxmlformats.org/officeDocument/2006/relationships/image" Target="../media/image650.jpeg"/><Relationship Id="rId620" Type="http://schemas.openxmlformats.org/officeDocument/2006/relationships/image" Target="../media/image647.jpeg"/><Relationship Id="rId62" Type="http://schemas.openxmlformats.org/officeDocument/2006/relationships/image" Target="../media/image1022.jpeg"/><Relationship Id="rId619" Type="http://schemas.openxmlformats.org/officeDocument/2006/relationships/image" Target="../media/image1386.jpeg"/><Relationship Id="rId618" Type="http://schemas.openxmlformats.org/officeDocument/2006/relationships/image" Target="../media/image645.jpeg"/><Relationship Id="rId617" Type="http://schemas.openxmlformats.org/officeDocument/2006/relationships/image" Target="../media/image644.jpeg"/><Relationship Id="rId616" Type="http://schemas.openxmlformats.org/officeDocument/2006/relationships/image" Target="../media/image1385.jpeg"/><Relationship Id="rId615" Type="http://schemas.openxmlformats.org/officeDocument/2006/relationships/image" Target="../media/image642.jpeg"/><Relationship Id="rId614" Type="http://schemas.openxmlformats.org/officeDocument/2006/relationships/image" Target="../media/image641.jpeg"/><Relationship Id="rId613" Type="http://schemas.openxmlformats.org/officeDocument/2006/relationships/image" Target="../media/image1384.jpeg"/><Relationship Id="rId612" Type="http://schemas.openxmlformats.org/officeDocument/2006/relationships/image" Target="../media/image1383.jpeg"/><Relationship Id="rId611" Type="http://schemas.openxmlformats.org/officeDocument/2006/relationships/image" Target="../media/image1382.jpeg"/><Relationship Id="rId610" Type="http://schemas.openxmlformats.org/officeDocument/2006/relationships/image" Target="../media/image1381.jpeg"/><Relationship Id="rId61" Type="http://schemas.openxmlformats.org/officeDocument/2006/relationships/image" Target="../media/image1021.jpeg"/><Relationship Id="rId609" Type="http://schemas.openxmlformats.org/officeDocument/2006/relationships/image" Target="../media/image1380.jpeg"/><Relationship Id="rId608" Type="http://schemas.openxmlformats.org/officeDocument/2006/relationships/image" Target="../media/image1379.jpeg"/><Relationship Id="rId607" Type="http://schemas.openxmlformats.org/officeDocument/2006/relationships/image" Target="../media/image1378.jpeg"/><Relationship Id="rId606" Type="http://schemas.openxmlformats.org/officeDocument/2006/relationships/image" Target="../media/image1377.jpeg"/><Relationship Id="rId605" Type="http://schemas.openxmlformats.org/officeDocument/2006/relationships/image" Target="../media/image1376.jpeg"/><Relationship Id="rId604" Type="http://schemas.openxmlformats.org/officeDocument/2006/relationships/image" Target="../media/image1375.jpeg"/><Relationship Id="rId603" Type="http://schemas.openxmlformats.org/officeDocument/2006/relationships/image" Target="../media/image1374.jpeg"/><Relationship Id="rId602" Type="http://schemas.openxmlformats.org/officeDocument/2006/relationships/image" Target="../media/image624.jpeg"/><Relationship Id="rId601" Type="http://schemas.openxmlformats.org/officeDocument/2006/relationships/image" Target="../media/image1373.jpeg"/><Relationship Id="rId600" Type="http://schemas.openxmlformats.org/officeDocument/2006/relationships/image" Target="../media/image1372.jpeg"/><Relationship Id="rId60" Type="http://schemas.openxmlformats.org/officeDocument/2006/relationships/image" Target="../media/image1020.jpeg"/><Relationship Id="rId6" Type="http://schemas.openxmlformats.org/officeDocument/2006/relationships/image" Target="../media/image974.jpeg"/><Relationship Id="rId599" Type="http://schemas.openxmlformats.org/officeDocument/2006/relationships/image" Target="../media/image1371.jpeg"/><Relationship Id="rId598" Type="http://schemas.openxmlformats.org/officeDocument/2006/relationships/image" Target="../media/image1370.jpeg"/><Relationship Id="rId597" Type="http://schemas.openxmlformats.org/officeDocument/2006/relationships/image" Target="../media/image1369.jpeg"/><Relationship Id="rId596" Type="http://schemas.openxmlformats.org/officeDocument/2006/relationships/image" Target="../media/image1368.jpeg"/><Relationship Id="rId595" Type="http://schemas.openxmlformats.org/officeDocument/2006/relationships/image" Target="../media/image1367.jpeg"/><Relationship Id="rId594" Type="http://schemas.openxmlformats.org/officeDocument/2006/relationships/image" Target="../media/image1366.jpeg"/><Relationship Id="rId593" Type="http://schemas.openxmlformats.org/officeDocument/2006/relationships/image" Target="../media/image614.jpeg"/><Relationship Id="rId592" Type="http://schemas.openxmlformats.org/officeDocument/2006/relationships/image" Target="../media/image1365.jpeg"/><Relationship Id="rId591" Type="http://schemas.openxmlformats.org/officeDocument/2006/relationships/image" Target="../media/image1364.jpeg"/><Relationship Id="rId590" Type="http://schemas.openxmlformats.org/officeDocument/2006/relationships/image" Target="../media/image1363.jpeg"/><Relationship Id="rId59" Type="http://schemas.openxmlformats.org/officeDocument/2006/relationships/image" Target="../media/image1019.jpeg"/><Relationship Id="rId589" Type="http://schemas.openxmlformats.org/officeDocument/2006/relationships/image" Target="../media/image1362.jpeg"/><Relationship Id="rId588" Type="http://schemas.openxmlformats.org/officeDocument/2006/relationships/image" Target="../media/image1361.jpeg"/><Relationship Id="rId587" Type="http://schemas.openxmlformats.org/officeDocument/2006/relationships/image" Target="../media/image1360.jpeg"/><Relationship Id="rId586" Type="http://schemas.openxmlformats.org/officeDocument/2006/relationships/image" Target="../media/image1359.jpeg"/><Relationship Id="rId585" Type="http://schemas.openxmlformats.org/officeDocument/2006/relationships/image" Target="../media/image1358.jpeg"/><Relationship Id="rId584" Type="http://schemas.openxmlformats.org/officeDocument/2006/relationships/image" Target="../media/image1357.jpeg"/><Relationship Id="rId583" Type="http://schemas.openxmlformats.org/officeDocument/2006/relationships/image" Target="../media/image1356.jpeg"/><Relationship Id="rId582" Type="http://schemas.openxmlformats.org/officeDocument/2006/relationships/image" Target="../media/image1355.jpeg"/><Relationship Id="rId581" Type="http://schemas.openxmlformats.org/officeDocument/2006/relationships/image" Target="../media/image1354.jpeg"/><Relationship Id="rId580" Type="http://schemas.openxmlformats.org/officeDocument/2006/relationships/image" Target="../media/image1353.jpeg"/><Relationship Id="rId58" Type="http://schemas.openxmlformats.org/officeDocument/2006/relationships/image" Target="../media/image1018.jpeg"/><Relationship Id="rId579" Type="http://schemas.openxmlformats.org/officeDocument/2006/relationships/image" Target="../media/image1352.jpeg"/><Relationship Id="rId578" Type="http://schemas.openxmlformats.org/officeDocument/2006/relationships/image" Target="../media/image1351.jpeg"/><Relationship Id="rId577" Type="http://schemas.openxmlformats.org/officeDocument/2006/relationships/image" Target="../media/image1350.jpeg"/><Relationship Id="rId576" Type="http://schemas.openxmlformats.org/officeDocument/2006/relationships/image" Target="../media/image1349.jpeg"/><Relationship Id="rId575" Type="http://schemas.openxmlformats.org/officeDocument/2006/relationships/image" Target="../media/image1348.jpeg"/><Relationship Id="rId574" Type="http://schemas.openxmlformats.org/officeDocument/2006/relationships/image" Target="../media/image1347.jpeg"/><Relationship Id="rId573" Type="http://schemas.openxmlformats.org/officeDocument/2006/relationships/image" Target="../media/image1346.jpeg"/><Relationship Id="rId572" Type="http://schemas.openxmlformats.org/officeDocument/2006/relationships/image" Target="../media/image1345.jpeg"/><Relationship Id="rId571" Type="http://schemas.openxmlformats.org/officeDocument/2006/relationships/image" Target="../media/image1344.jpeg"/><Relationship Id="rId570" Type="http://schemas.openxmlformats.org/officeDocument/2006/relationships/image" Target="../media/image1343.jpeg"/><Relationship Id="rId57" Type="http://schemas.openxmlformats.org/officeDocument/2006/relationships/image" Target="../media/image1017.jpeg"/><Relationship Id="rId569" Type="http://schemas.openxmlformats.org/officeDocument/2006/relationships/image" Target="../media/image584.jpeg"/><Relationship Id="rId568" Type="http://schemas.openxmlformats.org/officeDocument/2006/relationships/image" Target="../media/image1342.jpeg"/><Relationship Id="rId567" Type="http://schemas.openxmlformats.org/officeDocument/2006/relationships/image" Target="../media/image1341.jpeg"/><Relationship Id="rId566" Type="http://schemas.openxmlformats.org/officeDocument/2006/relationships/image" Target="../media/image1340.jpeg"/><Relationship Id="rId565" Type="http://schemas.openxmlformats.org/officeDocument/2006/relationships/image" Target="../media/image1339.jpeg"/><Relationship Id="rId564" Type="http://schemas.openxmlformats.org/officeDocument/2006/relationships/image" Target="../media/image1338.jpeg"/><Relationship Id="rId563" Type="http://schemas.openxmlformats.org/officeDocument/2006/relationships/image" Target="../media/image1337.jpeg"/><Relationship Id="rId562" Type="http://schemas.openxmlformats.org/officeDocument/2006/relationships/image" Target="../media/image1336.jpeg"/><Relationship Id="rId561" Type="http://schemas.openxmlformats.org/officeDocument/2006/relationships/image" Target="../media/image1335.jpeg"/><Relationship Id="rId560" Type="http://schemas.openxmlformats.org/officeDocument/2006/relationships/image" Target="../media/image1334.jpeg"/><Relationship Id="rId56" Type="http://schemas.openxmlformats.org/officeDocument/2006/relationships/image" Target="../media/image1016.jpeg"/><Relationship Id="rId559" Type="http://schemas.openxmlformats.org/officeDocument/2006/relationships/image" Target="../media/image1333.jpeg"/><Relationship Id="rId558" Type="http://schemas.openxmlformats.org/officeDocument/2006/relationships/image" Target="../media/image1332.jpeg"/><Relationship Id="rId557" Type="http://schemas.openxmlformats.org/officeDocument/2006/relationships/image" Target="../media/image1331.jpeg"/><Relationship Id="rId556" Type="http://schemas.openxmlformats.org/officeDocument/2006/relationships/image" Target="../media/image1330.jpeg"/><Relationship Id="rId555" Type="http://schemas.openxmlformats.org/officeDocument/2006/relationships/image" Target="../media/image572.jpeg"/><Relationship Id="rId554" Type="http://schemas.openxmlformats.org/officeDocument/2006/relationships/image" Target="../media/image1329.jpeg"/><Relationship Id="rId553" Type="http://schemas.openxmlformats.org/officeDocument/2006/relationships/image" Target="../media/image1328.jpeg"/><Relationship Id="rId552" Type="http://schemas.openxmlformats.org/officeDocument/2006/relationships/image" Target="../media/image569.jpeg"/><Relationship Id="rId551" Type="http://schemas.openxmlformats.org/officeDocument/2006/relationships/image" Target="../media/image1327.jpeg"/><Relationship Id="rId550" Type="http://schemas.openxmlformats.org/officeDocument/2006/relationships/image" Target="../media/image1326.jpeg"/><Relationship Id="rId55" Type="http://schemas.openxmlformats.org/officeDocument/2006/relationships/image" Target="../media/image1015.jpeg"/><Relationship Id="rId549" Type="http://schemas.openxmlformats.org/officeDocument/2006/relationships/image" Target="../media/image1325.jpeg"/><Relationship Id="rId548" Type="http://schemas.openxmlformats.org/officeDocument/2006/relationships/image" Target="../media/image1324.jpeg"/><Relationship Id="rId547" Type="http://schemas.openxmlformats.org/officeDocument/2006/relationships/image" Target="../media/image1323.jpeg"/><Relationship Id="rId546" Type="http://schemas.openxmlformats.org/officeDocument/2006/relationships/image" Target="../media/image563.jpeg"/><Relationship Id="rId545" Type="http://schemas.openxmlformats.org/officeDocument/2006/relationships/image" Target="../media/image1322.jpeg"/><Relationship Id="rId544" Type="http://schemas.openxmlformats.org/officeDocument/2006/relationships/image" Target="../media/image1321.jpeg"/><Relationship Id="rId543" Type="http://schemas.openxmlformats.org/officeDocument/2006/relationships/image" Target="../media/image560.jpeg"/><Relationship Id="rId542" Type="http://schemas.openxmlformats.org/officeDocument/2006/relationships/image" Target="../media/image1320.jpeg"/><Relationship Id="rId541" Type="http://schemas.openxmlformats.org/officeDocument/2006/relationships/image" Target="../media/image1319.jpeg"/><Relationship Id="rId540" Type="http://schemas.openxmlformats.org/officeDocument/2006/relationships/image" Target="../media/image1318.jpeg"/><Relationship Id="rId54" Type="http://schemas.openxmlformats.org/officeDocument/2006/relationships/image" Target="../media/image1014.jpeg"/><Relationship Id="rId539" Type="http://schemas.openxmlformats.org/officeDocument/2006/relationships/image" Target="../media/image1317.jpeg"/><Relationship Id="rId538" Type="http://schemas.openxmlformats.org/officeDocument/2006/relationships/image" Target="../media/image553.jpeg"/><Relationship Id="rId537" Type="http://schemas.openxmlformats.org/officeDocument/2006/relationships/image" Target="../media/image1316.jpeg"/><Relationship Id="rId536" Type="http://schemas.openxmlformats.org/officeDocument/2006/relationships/image" Target="../media/image551.jpeg"/><Relationship Id="rId535" Type="http://schemas.openxmlformats.org/officeDocument/2006/relationships/image" Target="../media/image550.jpeg"/><Relationship Id="rId534" Type="http://schemas.openxmlformats.org/officeDocument/2006/relationships/image" Target="../media/image549.jpeg"/><Relationship Id="rId533" Type="http://schemas.openxmlformats.org/officeDocument/2006/relationships/image" Target="../media/image1315.jpeg"/><Relationship Id="rId532" Type="http://schemas.openxmlformats.org/officeDocument/2006/relationships/image" Target="../media/image1314.jpeg"/><Relationship Id="rId531" Type="http://schemas.openxmlformats.org/officeDocument/2006/relationships/image" Target="../media/image1313.jpeg"/><Relationship Id="rId530" Type="http://schemas.openxmlformats.org/officeDocument/2006/relationships/image" Target="../media/image545.jpeg"/><Relationship Id="rId53" Type="http://schemas.openxmlformats.org/officeDocument/2006/relationships/image" Target="../media/image1013.jpeg"/><Relationship Id="rId529" Type="http://schemas.openxmlformats.org/officeDocument/2006/relationships/image" Target="../media/image1312.jpeg"/><Relationship Id="rId528" Type="http://schemas.openxmlformats.org/officeDocument/2006/relationships/image" Target="../media/image1311.jpeg"/><Relationship Id="rId527" Type="http://schemas.openxmlformats.org/officeDocument/2006/relationships/image" Target="../media/image542.jpeg"/><Relationship Id="rId526" Type="http://schemas.openxmlformats.org/officeDocument/2006/relationships/image" Target="../media/image541.jpeg"/><Relationship Id="rId525" Type="http://schemas.openxmlformats.org/officeDocument/2006/relationships/image" Target="../media/image1310.jpeg"/><Relationship Id="rId524" Type="http://schemas.openxmlformats.org/officeDocument/2006/relationships/image" Target="../media/image1309.jpeg"/><Relationship Id="rId523" Type="http://schemas.openxmlformats.org/officeDocument/2006/relationships/image" Target="../media/image1308.jpeg"/><Relationship Id="rId522" Type="http://schemas.openxmlformats.org/officeDocument/2006/relationships/image" Target="../media/image1307.jpeg"/><Relationship Id="rId521" Type="http://schemas.openxmlformats.org/officeDocument/2006/relationships/image" Target="../media/image1306.jpeg"/><Relationship Id="rId520" Type="http://schemas.openxmlformats.org/officeDocument/2006/relationships/image" Target="../media/image1305.jpeg"/><Relationship Id="rId52" Type="http://schemas.openxmlformats.org/officeDocument/2006/relationships/image" Target="../media/image1012.jpeg"/><Relationship Id="rId519" Type="http://schemas.openxmlformats.org/officeDocument/2006/relationships/image" Target="../media/image532.jpeg"/><Relationship Id="rId518" Type="http://schemas.openxmlformats.org/officeDocument/2006/relationships/image" Target="../media/image531.jpeg"/><Relationship Id="rId517" Type="http://schemas.openxmlformats.org/officeDocument/2006/relationships/image" Target="../media/image530.jpeg"/><Relationship Id="rId516" Type="http://schemas.openxmlformats.org/officeDocument/2006/relationships/image" Target="../media/image529.jpeg"/><Relationship Id="rId515" Type="http://schemas.openxmlformats.org/officeDocument/2006/relationships/image" Target="../media/image528.jpeg"/><Relationship Id="rId514" Type="http://schemas.openxmlformats.org/officeDocument/2006/relationships/image" Target="../media/image1304.jpeg"/><Relationship Id="rId513" Type="http://schemas.openxmlformats.org/officeDocument/2006/relationships/image" Target="../media/image1303.jpeg"/><Relationship Id="rId512" Type="http://schemas.openxmlformats.org/officeDocument/2006/relationships/image" Target="../media/image1302.jpeg"/><Relationship Id="rId511" Type="http://schemas.openxmlformats.org/officeDocument/2006/relationships/image" Target="../media/image1301.jpeg"/><Relationship Id="rId510" Type="http://schemas.openxmlformats.org/officeDocument/2006/relationships/image" Target="../media/image1300.jpeg"/><Relationship Id="rId51" Type="http://schemas.openxmlformats.org/officeDocument/2006/relationships/image" Target="../media/image1011.jpeg"/><Relationship Id="rId509" Type="http://schemas.openxmlformats.org/officeDocument/2006/relationships/image" Target="../media/image1299.jpeg"/><Relationship Id="rId508" Type="http://schemas.openxmlformats.org/officeDocument/2006/relationships/image" Target="../media/image1298.jpeg"/><Relationship Id="rId507" Type="http://schemas.openxmlformats.org/officeDocument/2006/relationships/image" Target="../media/image1297.jpeg"/><Relationship Id="rId506" Type="http://schemas.openxmlformats.org/officeDocument/2006/relationships/image" Target="../media/image520.jpeg"/><Relationship Id="rId505" Type="http://schemas.openxmlformats.org/officeDocument/2006/relationships/image" Target="../media/image519.jpeg"/><Relationship Id="rId504" Type="http://schemas.openxmlformats.org/officeDocument/2006/relationships/image" Target="../media/image1296.jpeg"/><Relationship Id="rId503" Type="http://schemas.openxmlformats.org/officeDocument/2006/relationships/image" Target="../media/image1295.jpeg"/><Relationship Id="rId502" Type="http://schemas.openxmlformats.org/officeDocument/2006/relationships/image" Target="../media/image516.jpeg"/><Relationship Id="rId501" Type="http://schemas.openxmlformats.org/officeDocument/2006/relationships/image" Target="../media/image1294.jpeg"/><Relationship Id="rId500" Type="http://schemas.openxmlformats.org/officeDocument/2006/relationships/image" Target="../media/image514.jpeg"/><Relationship Id="rId50" Type="http://schemas.openxmlformats.org/officeDocument/2006/relationships/image" Target="../media/image1010.jpeg"/><Relationship Id="rId5" Type="http://schemas.openxmlformats.org/officeDocument/2006/relationships/image" Target="../media/image5.jpeg"/><Relationship Id="rId499" Type="http://schemas.openxmlformats.org/officeDocument/2006/relationships/image" Target="../media/image1293.jpeg"/><Relationship Id="rId498" Type="http://schemas.openxmlformats.org/officeDocument/2006/relationships/image" Target="../media/image1292.jpeg"/><Relationship Id="rId497" Type="http://schemas.openxmlformats.org/officeDocument/2006/relationships/image" Target="../media/image1291.jpeg"/><Relationship Id="rId496" Type="http://schemas.openxmlformats.org/officeDocument/2006/relationships/image" Target="../media/image1290.jpeg"/><Relationship Id="rId495" Type="http://schemas.openxmlformats.org/officeDocument/2006/relationships/image" Target="../media/image1289.jpeg"/><Relationship Id="rId494" Type="http://schemas.openxmlformats.org/officeDocument/2006/relationships/image" Target="../media/image1288.jpeg"/><Relationship Id="rId493" Type="http://schemas.openxmlformats.org/officeDocument/2006/relationships/image" Target="../media/image1287.jpeg"/><Relationship Id="rId492" Type="http://schemas.openxmlformats.org/officeDocument/2006/relationships/image" Target="../media/image1286.jpeg"/><Relationship Id="rId491" Type="http://schemas.openxmlformats.org/officeDocument/2006/relationships/image" Target="../media/image1285.jpeg"/><Relationship Id="rId490" Type="http://schemas.openxmlformats.org/officeDocument/2006/relationships/image" Target="../media/image1284.jpeg"/><Relationship Id="rId49" Type="http://schemas.openxmlformats.org/officeDocument/2006/relationships/image" Target="../media/image1009.jpeg"/><Relationship Id="rId489" Type="http://schemas.openxmlformats.org/officeDocument/2006/relationships/image" Target="../media/image1283.jpeg"/><Relationship Id="rId488" Type="http://schemas.openxmlformats.org/officeDocument/2006/relationships/image" Target="../media/image502.jpeg"/><Relationship Id="rId487" Type="http://schemas.openxmlformats.org/officeDocument/2006/relationships/image" Target="../media/image1282.jpeg"/><Relationship Id="rId486" Type="http://schemas.openxmlformats.org/officeDocument/2006/relationships/image" Target="../media/image500.jpeg"/><Relationship Id="rId485" Type="http://schemas.openxmlformats.org/officeDocument/2006/relationships/image" Target="../media/image1281.jpeg"/><Relationship Id="rId484" Type="http://schemas.openxmlformats.org/officeDocument/2006/relationships/image" Target="../media/image498.jpeg"/><Relationship Id="rId483" Type="http://schemas.openxmlformats.org/officeDocument/2006/relationships/image" Target="../media/image1280.jpeg"/><Relationship Id="rId482" Type="http://schemas.openxmlformats.org/officeDocument/2006/relationships/image" Target="../media/image1279.jpeg"/><Relationship Id="rId481" Type="http://schemas.openxmlformats.org/officeDocument/2006/relationships/image" Target="../media/image1278.jpeg"/><Relationship Id="rId480" Type="http://schemas.openxmlformats.org/officeDocument/2006/relationships/image" Target="../media/image1277.jpeg"/><Relationship Id="rId48" Type="http://schemas.openxmlformats.org/officeDocument/2006/relationships/image" Target="../media/image1008.jpeg"/><Relationship Id="rId479" Type="http://schemas.openxmlformats.org/officeDocument/2006/relationships/image" Target="../media/image1276.jpeg"/><Relationship Id="rId478" Type="http://schemas.openxmlformats.org/officeDocument/2006/relationships/image" Target="../media/image492.jpeg"/><Relationship Id="rId477" Type="http://schemas.openxmlformats.org/officeDocument/2006/relationships/image" Target="../media/image1275.jpeg"/><Relationship Id="rId476" Type="http://schemas.openxmlformats.org/officeDocument/2006/relationships/image" Target="../media/image490.jpeg"/><Relationship Id="rId475" Type="http://schemas.openxmlformats.org/officeDocument/2006/relationships/image" Target="../media/image1274.jpeg"/><Relationship Id="rId474" Type="http://schemas.openxmlformats.org/officeDocument/2006/relationships/image" Target="../media/image1273.jpeg"/><Relationship Id="rId473" Type="http://schemas.openxmlformats.org/officeDocument/2006/relationships/image" Target="../media/image1272.jpeg"/><Relationship Id="rId472" Type="http://schemas.openxmlformats.org/officeDocument/2006/relationships/image" Target="../media/image1271.jpeg"/><Relationship Id="rId471" Type="http://schemas.openxmlformats.org/officeDocument/2006/relationships/image" Target="../media/image1270.jpeg"/><Relationship Id="rId470" Type="http://schemas.openxmlformats.org/officeDocument/2006/relationships/image" Target="../media/image1269.jpeg"/><Relationship Id="rId47" Type="http://schemas.openxmlformats.org/officeDocument/2006/relationships/image" Target="../media/image1007.jpeg"/><Relationship Id="rId469" Type="http://schemas.openxmlformats.org/officeDocument/2006/relationships/image" Target="../media/image1268.jpeg"/><Relationship Id="rId468" Type="http://schemas.openxmlformats.org/officeDocument/2006/relationships/image" Target="../media/image481.jpeg"/><Relationship Id="rId467" Type="http://schemas.openxmlformats.org/officeDocument/2006/relationships/image" Target="../media/image1267.jpeg"/><Relationship Id="rId466" Type="http://schemas.openxmlformats.org/officeDocument/2006/relationships/image" Target="../media/image1266.jpeg"/><Relationship Id="rId465" Type="http://schemas.openxmlformats.org/officeDocument/2006/relationships/image" Target="../media/image478.jpeg"/><Relationship Id="rId464" Type="http://schemas.openxmlformats.org/officeDocument/2006/relationships/image" Target="../media/image477.jpeg"/><Relationship Id="rId463" Type="http://schemas.openxmlformats.org/officeDocument/2006/relationships/image" Target="../media/image476.jpeg"/><Relationship Id="rId462" Type="http://schemas.openxmlformats.org/officeDocument/2006/relationships/image" Target="../media/image1265.jpeg"/><Relationship Id="rId461" Type="http://schemas.openxmlformats.org/officeDocument/2006/relationships/image" Target="../media/image1264.jpeg"/><Relationship Id="rId460" Type="http://schemas.openxmlformats.org/officeDocument/2006/relationships/image" Target="../media/image473.jpeg"/><Relationship Id="rId46" Type="http://schemas.openxmlformats.org/officeDocument/2006/relationships/image" Target="../media/image48.jpeg"/><Relationship Id="rId459" Type="http://schemas.openxmlformats.org/officeDocument/2006/relationships/image" Target="../media/image1263.jpeg"/><Relationship Id="rId458" Type="http://schemas.openxmlformats.org/officeDocument/2006/relationships/image" Target="../media/image471.jpeg"/><Relationship Id="rId457" Type="http://schemas.openxmlformats.org/officeDocument/2006/relationships/image" Target="../media/image1262.jpeg"/><Relationship Id="rId456" Type="http://schemas.openxmlformats.org/officeDocument/2006/relationships/image" Target="../media/image468.jpeg"/><Relationship Id="rId455" Type="http://schemas.openxmlformats.org/officeDocument/2006/relationships/image" Target="../media/image1261.jpeg"/><Relationship Id="rId454" Type="http://schemas.openxmlformats.org/officeDocument/2006/relationships/image" Target="../media/image1260.jpeg"/><Relationship Id="rId453" Type="http://schemas.openxmlformats.org/officeDocument/2006/relationships/image" Target="../media/image1259.jpeg"/><Relationship Id="rId452" Type="http://schemas.openxmlformats.org/officeDocument/2006/relationships/image" Target="../media/image1258.jpeg"/><Relationship Id="rId451" Type="http://schemas.openxmlformats.org/officeDocument/2006/relationships/image" Target="../media/image1257.jpeg"/><Relationship Id="rId450" Type="http://schemas.openxmlformats.org/officeDocument/2006/relationships/image" Target="../media/image1256.jpeg"/><Relationship Id="rId45" Type="http://schemas.openxmlformats.org/officeDocument/2006/relationships/image" Target="../media/image1006.jpeg"/><Relationship Id="rId449" Type="http://schemas.openxmlformats.org/officeDocument/2006/relationships/image" Target="../media/image1255.jpeg"/><Relationship Id="rId448" Type="http://schemas.openxmlformats.org/officeDocument/2006/relationships/image" Target="../media/image1254.jpeg"/><Relationship Id="rId447" Type="http://schemas.openxmlformats.org/officeDocument/2006/relationships/image" Target="../media/image457.png"/><Relationship Id="rId446" Type="http://schemas.openxmlformats.org/officeDocument/2006/relationships/image" Target="../media/image456.jpeg"/><Relationship Id="rId445" Type="http://schemas.openxmlformats.org/officeDocument/2006/relationships/image" Target="../media/image1253.jpeg"/><Relationship Id="rId444" Type="http://schemas.openxmlformats.org/officeDocument/2006/relationships/image" Target="../media/image1252.jpeg"/><Relationship Id="rId443" Type="http://schemas.openxmlformats.org/officeDocument/2006/relationships/image" Target="../media/image1251.jpeg"/><Relationship Id="rId442" Type="http://schemas.openxmlformats.org/officeDocument/2006/relationships/image" Target="../media/image452.jpeg"/><Relationship Id="rId441" Type="http://schemas.openxmlformats.org/officeDocument/2006/relationships/image" Target="../media/image1250.jpeg"/><Relationship Id="rId440" Type="http://schemas.openxmlformats.org/officeDocument/2006/relationships/image" Target="../media/image1249.jpeg"/><Relationship Id="rId44" Type="http://schemas.openxmlformats.org/officeDocument/2006/relationships/image" Target="../media/image1005.jpeg"/><Relationship Id="rId439" Type="http://schemas.openxmlformats.org/officeDocument/2006/relationships/image" Target="../media/image1248.jpeg"/><Relationship Id="rId438" Type="http://schemas.openxmlformats.org/officeDocument/2006/relationships/image" Target="../media/image448.jpeg"/><Relationship Id="rId437" Type="http://schemas.openxmlformats.org/officeDocument/2006/relationships/image" Target="../media/image447.jpeg"/><Relationship Id="rId436" Type="http://schemas.openxmlformats.org/officeDocument/2006/relationships/image" Target="../media/image446.jpeg"/><Relationship Id="rId435" Type="http://schemas.openxmlformats.org/officeDocument/2006/relationships/image" Target="../media/image445.jpeg"/><Relationship Id="rId434" Type="http://schemas.openxmlformats.org/officeDocument/2006/relationships/image" Target="../media/image1247.jpeg"/><Relationship Id="rId433" Type="http://schemas.openxmlformats.org/officeDocument/2006/relationships/image" Target="../media/image1246.jpeg"/><Relationship Id="rId432" Type="http://schemas.openxmlformats.org/officeDocument/2006/relationships/image" Target="../media/image442.jpeg"/><Relationship Id="rId431" Type="http://schemas.openxmlformats.org/officeDocument/2006/relationships/image" Target="../media/image1245.jpeg"/><Relationship Id="rId430" Type="http://schemas.openxmlformats.org/officeDocument/2006/relationships/image" Target="../media/image440.jpeg"/><Relationship Id="rId43" Type="http://schemas.openxmlformats.org/officeDocument/2006/relationships/image" Target="../media/image45.jpeg"/><Relationship Id="rId429" Type="http://schemas.openxmlformats.org/officeDocument/2006/relationships/image" Target="../media/image439.jpeg"/><Relationship Id="rId428" Type="http://schemas.openxmlformats.org/officeDocument/2006/relationships/image" Target="../media/image1244.jpeg"/><Relationship Id="rId427" Type="http://schemas.openxmlformats.org/officeDocument/2006/relationships/image" Target="../media/image437.jpeg"/><Relationship Id="rId426" Type="http://schemas.openxmlformats.org/officeDocument/2006/relationships/image" Target="../media/image1243.jpeg"/><Relationship Id="rId425" Type="http://schemas.openxmlformats.org/officeDocument/2006/relationships/image" Target="../media/image1242.jpeg"/><Relationship Id="rId424" Type="http://schemas.openxmlformats.org/officeDocument/2006/relationships/image" Target="../media/image1241.jpeg"/><Relationship Id="rId423" Type="http://schemas.openxmlformats.org/officeDocument/2006/relationships/image" Target="../media/image1240.jpeg"/><Relationship Id="rId422" Type="http://schemas.openxmlformats.org/officeDocument/2006/relationships/image" Target="../media/image432.jpeg"/><Relationship Id="rId421" Type="http://schemas.openxmlformats.org/officeDocument/2006/relationships/image" Target="../media/image1239.jpeg"/><Relationship Id="rId420" Type="http://schemas.openxmlformats.org/officeDocument/2006/relationships/image" Target="../media/image1238.jpeg"/><Relationship Id="rId42" Type="http://schemas.openxmlformats.org/officeDocument/2006/relationships/image" Target="../media/image1004.jpeg"/><Relationship Id="rId419" Type="http://schemas.openxmlformats.org/officeDocument/2006/relationships/image" Target="../media/image1237.jpeg"/><Relationship Id="rId418" Type="http://schemas.openxmlformats.org/officeDocument/2006/relationships/image" Target="../media/image1236.jpeg"/><Relationship Id="rId417" Type="http://schemas.openxmlformats.org/officeDocument/2006/relationships/image" Target="../media/image1235.jpeg"/><Relationship Id="rId416" Type="http://schemas.openxmlformats.org/officeDocument/2006/relationships/image" Target="../media/image1234.jpeg"/><Relationship Id="rId415" Type="http://schemas.openxmlformats.org/officeDocument/2006/relationships/image" Target="../media/image424.jpeg"/><Relationship Id="rId414" Type="http://schemas.openxmlformats.org/officeDocument/2006/relationships/image" Target="../media/image1233.jpeg"/><Relationship Id="rId413" Type="http://schemas.openxmlformats.org/officeDocument/2006/relationships/image" Target="../media/image1232.jpeg"/><Relationship Id="rId412" Type="http://schemas.openxmlformats.org/officeDocument/2006/relationships/image" Target="../media/image421.jpeg"/><Relationship Id="rId411" Type="http://schemas.openxmlformats.org/officeDocument/2006/relationships/image" Target="../media/image1231.jpeg"/><Relationship Id="rId410" Type="http://schemas.openxmlformats.org/officeDocument/2006/relationships/image" Target="../media/image1230.jpeg"/><Relationship Id="rId41" Type="http://schemas.openxmlformats.org/officeDocument/2006/relationships/image" Target="../media/image1003.jpeg"/><Relationship Id="rId409" Type="http://schemas.openxmlformats.org/officeDocument/2006/relationships/image" Target="../media/image1229.jpeg"/><Relationship Id="rId408" Type="http://schemas.openxmlformats.org/officeDocument/2006/relationships/image" Target="../media/image415.jpeg"/><Relationship Id="rId407" Type="http://schemas.openxmlformats.org/officeDocument/2006/relationships/image" Target="../media/image1228.jpeg"/><Relationship Id="rId406" Type="http://schemas.openxmlformats.org/officeDocument/2006/relationships/image" Target="../media/image1227.jpeg"/><Relationship Id="rId405" Type="http://schemas.openxmlformats.org/officeDocument/2006/relationships/image" Target="../media/image412.jpeg"/><Relationship Id="rId404" Type="http://schemas.openxmlformats.org/officeDocument/2006/relationships/image" Target="../media/image1226.jpeg"/><Relationship Id="rId403" Type="http://schemas.openxmlformats.org/officeDocument/2006/relationships/image" Target="../media/image1225.jpeg"/><Relationship Id="rId402" Type="http://schemas.openxmlformats.org/officeDocument/2006/relationships/image" Target="../media/image1224.jpeg"/><Relationship Id="rId401" Type="http://schemas.openxmlformats.org/officeDocument/2006/relationships/image" Target="../media/image1223.jpeg"/><Relationship Id="rId400" Type="http://schemas.openxmlformats.org/officeDocument/2006/relationships/image" Target="../media/image407.png"/><Relationship Id="rId40" Type="http://schemas.openxmlformats.org/officeDocument/2006/relationships/image" Target="../media/image42.jpeg"/><Relationship Id="rId4" Type="http://schemas.openxmlformats.org/officeDocument/2006/relationships/image" Target="../media/image973.jpeg"/><Relationship Id="rId399" Type="http://schemas.openxmlformats.org/officeDocument/2006/relationships/image" Target="../media/image1222.png"/><Relationship Id="rId398" Type="http://schemas.openxmlformats.org/officeDocument/2006/relationships/image" Target="../media/image405.png"/><Relationship Id="rId397" Type="http://schemas.openxmlformats.org/officeDocument/2006/relationships/image" Target="../media/image404.jpeg"/><Relationship Id="rId396" Type="http://schemas.openxmlformats.org/officeDocument/2006/relationships/image" Target="../media/image1221.jpeg"/><Relationship Id="rId395" Type="http://schemas.openxmlformats.org/officeDocument/2006/relationships/image" Target="../media/image402.jpeg"/><Relationship Id="rId394" Type="http://schemas.openxmlformats.org/officeDocument/2006/relationships/image" Target="../media/image401.jpeg"/><Relationship Id="rId393" Type="http://schemas.openxmlformats.org/officeDocument/2006/relationships/image" Target="../media/image400.jpeg"/><Relationship Id="rId392" Type="http://schemas.openxmlformats.org/officeDocument/2006/relationships/image" Target="../media/image399.jpeg"/><Relationship Id="rId391" Type="http://schemas.openxmlformats.org/officeDocument/2006/relationships/image" Target="../media/image1220.jpeg"/><Relationship Id="rId390" Type="http://schemas.openxmlformats.org/officeDocument/2006/relationships/image" Target="../media/image1219.jpeg"/><Relationship Id="rId39" Type="http://schemas.openxmlformats.org/officeDocument/2006/relationships/image" Target="../media/image1002.jpeg"/><Relationship Id="rId389" Type="http://schemas.openxmlformats.org/officeDocument/2006/relationships/image" Target="../media/image396.jpeg"/><Relationship Id="rId388" Type="http://schemas.openxmlformats.org/officeDocument/2006/relationships/image" Target="../media/image1218.jpeg"/><Relationship Id="rId387" Type="http://schemas.openxmlformats.org/officeDocument/2006/relationships/image" Target="../media/image393.jpeg"/><Relationship Id="rId386" Type="http://schemas.openxmlformats.org/officeDocument/2006/relationships/image" Target="../media/image1217.jpeg"/><Relationship Id="rId385" Type="http://schemas.openxmlformats.org/officeDocument/2006/relationships/image" Target="../media/image1216.jpeg"/><Relationship Id="rId384" Type="http://schemas.openxmlformats.org/officeDocument/2006/relationships/image" Target="../media/image389.jpeg"/><Relationship Id="rId383" Type="http://schemas.openxmlformats.org/officeDocument/2006/relationships/image" Target="../media/image388.jpeg"/><Relationship Id="rId382" Type="http://schemas.openxmlformats.org/officeDocument/2006/relationships/image" Target="../media/image1215.jpeg"/><Relationship Id="rId381" Type="http://schemas.openxmlformats.org/officeDocument/2006/relationships/image" Target="../media/image386.jpeg"/><Relationship Id="rId380" Type="http://schemas.openxmlformats.org/officeDocument/2006/relationships/image" Target="../media/image1214.jpeg"/><Relationship Id="rId38" Type="http://schemas.openxmlformats.org/officeDocument/2006/relationships/image" Target="../media/image1001.jpeg"/><Relationship Id="rId379" Type="http://schemas.openxmlformats.org/officeDocument/2006/relationships/image" Target="../media/image384.jpeg"/><Relationship Id="rId378" Type="http://schemas.openxmlformats.org/officeDocument/2006/relationships/image" Target="../media/image1213.jpeg"/><Relationship Id="rId377" Type="http://schemas.openxmlformats.org/officeDocument/2006/relationships/image" Target="../media/image382.jpeg"/><Relationship Id="rId376" Type="http://schemas.openxmlformats.org/officeDocument/2006/relationships/image" Target="../media/image1212.jpeg"/><Relationship Id="rId375" Type="http://schemas.openxmlformats.org/officeDocument/2006/relationships/image" Target="../media/image1211.jpeg"/><Relationship Id="rId374" Type="http://schemas.openxmlformats.org/officeDocument/2006/relationships/image" Target="../media/image379.jpeg"/><Relationship Id="rId373" Type="http://schemas.openxmlformats.org/officeDocument/2006/relationships/image" Target="../media/image1210.jpeg"/><Relationship Id="rId372" Type="http://schemas.openxmlformats.org/officeDocument/2006/relationships/image" Target="../media/image377.jpeg"/><Relationship Id="rId371" Type="http://schemas.openxmlformats.org/officeDocument/2006/relationships/image" Target="../media/image1209.jpeg"/><Relationship Id="rId370" Type="http://schemas.openxmlformats.org/officeDocument/2006/relationships/image" Target="../media/image1208.jpeg"/><Relationship Id="rId37" Type="http://schemas.openxmlformats.org/officeDocument/2006/relationships/image" Target="../media/image1000.jpeg"/><Relationship Id="rId369" Type="http://schemas.openxmlformats.org/officeDocument/2006/relationships/image" Target="../media/image1207.jpeg"/><Relationship Id="rId368" Type="http://schemas.openxmlformats.org/officeDocument/2006/relationships/image" Target="../media/image1206.jpeg"/><Relationship Id="rId367" Type="http://schemas.openxmlformats.org/officeDocument/2006/relationships/image" Target="../media/image1205.jpeg"/><Relationship Id="rId366" Type="http://schemas.openxmlformats.org/officeDocument/2006/relationships/image" Target="../media/image371.jpeg"/><Relationship Id="rId365" Type="http://schemas.openxmlformats.org/officeDocument/2006/relationships/image" Target="../media/image1204.jpeg"/><Relationship Id="rId364" Type="http://schemas.openxmlformats.org/officeDocument/2006/relationships/image" Target="../media/image1203.jpeg"/><Relationship Id="rId363" Type="http://schemas.openxmlformats.org/officeDocument/2006/relationships/image" Target="../media/image368.jpeg"/><Relationship Id="rId362" Type="http://schemas.openxmlformats.org/officeDocument/2006/relationships/image" Target="../media/image1202.jpeg"/><Relationship Id="rId361" Type="http://schemas.openxmlformats.org/officeDocument/2006/relationships/image" Target="../media/image366.jpeg"/><Relationship Id="rId360" Type="http://schemas.openxmlformats.org/officeDocument/2006/relationships/image" Target="../media/image365.jpeg"/><Relationship Id="rId36" Type="http://schemas.openxmlformats.org/officeDocument/2006/relationships/image" Target="../media/image999.jpeg"/><Relationship Id="rId359" Type="http://schemas.openxmlformats.org/officeDocument/2006/relationships/image" Target="../media/image1201.jpeg"/><Relationship Id="rId358" Type="http://schemas.openxmlformats.org/officeDocument/2006/relationships/image" Target="../media/image1200.jpeg"/><Relationship Id="rId357" Type="http://schemas.openxmlformats.org/officeDocument/2006/relationships/image" Target="../media/image1199.jpeg"/><Relationship Id="rId356" Type="http://schemas.openxmlformats.org/officeDocument/2006/relationships/image" Target="../media/image1198.jpeg"/><Relationship Id="rId355" Type="http://schemas.openxmlformats.org/officeDocument/2006/relationships/image" Target="../media/image1197.jpeg"/><Relationship Id="rId354" Type="http://schemas.openxmlformats.org/officeDocument/2006/relationships/image" Target="../media/image1196.jpeg"/><Relationship Id="rId353" Type="http://schemas.openxmlformats.org/officeDocument/2006/relationships/image" Target="../media/image1195.jpeg"/><Relationship Id="rId352" Type="http://schemas.openxmlformats.org/officeDocument/2006/relationships/image" Target="../media/image1194.jpeg"/><Relationship Id="rId351" Type="http://schemas.openxmlformats.org/officeDocument/2006/relationships/image" Target="../media/image1193.jpeg"/><Relationship Id="rId350" Type="http://schemas.openxmlformats.org/officeDocument/2006/relationships/image" Target="../media/image1192.jpeg"/><Relationship Id="rId35" Type="http://schemas.openxmlformats.org/officeDocument/2006/relationships/image" Target="../media/image36.jpeg"/><Relationship Id="rId349" Type="http://schemas.openxmlformats.org/officeDocument/2006/relationships/image" Target="../media/image354.jpeg"/><Relationship Id="rId348" Type="http://schemas.openxmlformats.org/officeDocument/2006/relationships/image" Target="../media/image353.jpeg"/><Relationship Id="rId347" Type="http://schemas.openxmlformats.org/officeDocument/2006/relationships/image" Target="../media/image352.jpeg"/><Relationship Id="rId346" Type="http://schemas.openxmlformats.org/officeDocument/2006/relationships/image" Target="../media/image1191.jpeg"/><Relationship Id="rId345" Type="http://schemas.openxmlformats.org/officeDocument/2006/relationships/image" Target="../media/image350.jpeg"/><Relationship Id="rId344" Type="http://schemas.openxmlformats.org/officeDocument/2006/relationships/image" Target="../media/image1190.jpeg"/><Relationship Id="rId343" Type="http://schemas.openxmlformats.org/officeDocument/2006/relationships/image" Target="../media/image1189.jpeg"/><Relationship Id="rId342" Type="http://schemas.openxmlformats.org/officeDocument/2006/relationships/image" Target="../media/image1188.jpeg"/><Relationship Id="rId341" Type="http://schemas.openxmlformats.org/officeDocument/2006/relationships/image" Target="../media/image1187.jpeg"/><Relationship Id="rId340" Type="http://schemas.openxmlformats.org/officeDocument/2006/relationships/image" Target="../media/image1186.jpeg"/><Relationship Id="rId34" Type="http://schemas.openxmlformats.org/officeDocument/2006/relationships/image" Target="../media/image35.jpeg"/><Relationship Id="rId339" Type="http://schemas.openxmlformats.org/officeDocument/2006/relationships/image" Target="../media/image1185.jpeg"/><Relationship Id="rId338" Type="http://schemas.openxmlformats.org/officeDocument/2006/relationships/image" Target="../media/image1184.jpeg"/><Relationship Id="rId337" Type="http://schemas.openxmlformats.org/officeDocument/2006/relationships/image" Target="../media/image1183.jpeg"/><Relationship Id="rId336" Type="http://schemas.openxmlformats.org/officeDocument/2006/relationships/image" Target="../media/image1182.jpeg"/><Relationship Id="rId335" Type="http://schemas.openxmlformats.org/officeDocument/2006/relationships/image" Target="../media/image1181.jpeg"/><Relationship Id="rId334" Type="http://schemas.openxmlformats.org/officeDocument/2006/relationships/image" Target="../media/image1180.jpeg"/><Relationship Id="rId333" Type="http://schemas.openxmlformats.org/officeDocument/2006/relationships/image" Target="../media/image1179.jpeg"/><Relationship Id="rId332" Type="http://schemas.openxmlformats.org/officeDocument/2006/relationships/image" Target="../media/image1178.jpeg"/><Relationship Id="rId331" Type="http://schemas.openxmlformats.org/officeDocument/2006/relationships/image" Target="../media/image1177.jpeg"/><Relationship Id="rId330" Type="http://schemas.openxmlformats.org/officeDocument/2006/relationships/image" Target="../media/image1176.jpeg"/><Relationship Id="rId33" Type="http://schemas.openxmlformats.org/officeDocument/2006/relationships/image" Target="../media/image998.jpeg"/><Relationship Id="rId329" Type="http://schemas.openxmlformats.org/officeDocument/2006/relationships/image" Target="../media/image334.jpeg"/><Relationship Id="rId328" Type="http://schemas.openxmlformats.org/officeDocument/2006/relationships/image" Target="../media/image1175.jpeg"/><Relationship Id="rId327" Type="http://schemas.openxmlformats.org/officeDocument/2006/relationships/image" Target="../media/image332.jpeg"/><Relationship Id="rId326" Type="http://schemas.openxmlformats.org/officeDocument/2006/relationships/image" Target="../media/image1174.jpeg"/><Relationship Id="rId325" Type="http://schemas.openxmlformats.org/officeDocument/2006/relationships/image" Target="../media/image1173.jpeg"/><Relationship Id="rId324" Type="http://schemas.openxmlformats.org/officeDocument/2006/relationships/image" Target="../media/image1172.jpeg"/><Relationship Id="rId323" Type="http://schemas.openxmlformats.org/officeDocument/2006/relationships/image" Target="../media/image1171.jpeg"/><Relationship Id="rId322" Type="http://schemas.openxmlformats.org/officeDocument/2006/relationships/image" Target="../media/image327.jpeg"/><Relationship Id="rId321" Type="http://schemas.openxmlformats.org/officeDocument/2006/relationships/image" Target="../media/image1170.jpeg"/><Relationship Id="rId320" Type="http://schemas.openxmlformats.org/officeDocument/2006/relationships/image" Target="../media/image1169.jpeg"/><Relationship Id="rId32" Type="http://schemas.openxmlformats.org/officeDocument/2006/relationships/image" Target="../media/image997.jpeg"/><Relationship Id="rId319" Type="http://schemas.openxmlformats.org/officeDocument/2006/relationships/image" Target="../media/image1168.jpeg"/><Relationship Id="rId318" Type="http://schemas.openxmlformats.org/officeDocument/2006/relationships/image" Target="../media/image1167.jpeg"/><Relationship Id="rId317" Type="http://schemas.openxmlformats.org/officeDocument/2006/relationships/image" Target="../media/image1166.jpeg"/><Relationship Id="rId316" Type="http://schemas.openxmlformats.org/officeDocument/2006/relationships/image" Target="../media/image321.jpeg"/><Relationship Id="rId315" Type="http://schemas.openxmlformats.org/officeDocument/2006/relationships/image" Target="../media/image1165.jpeg"/><Relationship Id="rId314" Type="http://schemas.openxmlformats.org/officeDocument/2006/relationships/image" Target="../media/image1164.jpeg"/><Relationship Id="rId313" Type="http://schemas.openxmlformats.org/officeDocument/2006/relationships/image" Target="../media/image1163.jpeg"/><Relationship Id="rId312" Type="http://schemas.openxmlformats.org/officeDocument/2006/relationships/image" Target="../media/image1162.jpeg"/><Relationship Id="rId311" Type="http://schemas.openxmlformats.org/officeDocument/2006/relationships/image" Target="../media/image316.jpeg"/><Relationship Id="rId310" Type="http://schemas.openxmlformats.org/officeDocument/2006/relationships/image" Target="../media/image1161.jpeg"/><Relationship Id="rId31" Type="http://schemas.openxmlformats.org/officeDocument/2006/relationships/image" Target="../media/image996.jpeg"/><Relationship Id="rId309" Type="http://schemas.openxmlformats.org/officeDocument/2006/relationships/image" Target="../media/image1160.jpeg"/><Relationship Id="rId308" Type="http://schemas.openxmlformats.org/officeDocument/2006/relationships/image" Target="../media/image1159.jpeg"/><Relationship Id="rId307" Type="http://schemas.openxmlformats.org/officeDocument/2006/relationships/image" Target="../media/image1158.jpeg"/><Relationship Id="rId306" Type="http://schemas.openxmlformats.org/officeDocument/2006/relationships/image" Target="../media/image1157.jpeg"/><Relationship Id="rId305" Type="http://schemas.openxmlformats.org/officeDocument/2006/relationships/image" Target="../media/image1156.jpeg"/><Relationship Id="rId304" Type="http://schemas.openxmlformats.org/officeDocument/2006/relationships/image" Target="../media/image309.jpeg"/><Relationship Id="rId303" Type="http://schemas.openxmlformats.org/officeDocument/2006/relationships/image" Target="../media/image1155.jpeg"/><Relationship Id="rId302" Type="http://schemas.openxmlformats.org/officeDocument/2006/relationships/image" Target="../media/image1154.jpeg"/><Relationship Id="rId301" Type="http://schemas.openxmlformats.org/officeDocument/2006/relationships/image" Target="../media/image1153.jpeg"/><Relationship Id="rId300" Type="http://schemas.openxmlformats.org/officeDocument/2006/relationships/image" Target="../media/image1152.jpeg"/><Relationship Id="rId30" Type="http://schemas.openxmlformats.org/officeDocument/2006/relationships/image" Target="../media/image995.jpeg"/><Relationship Id="rId3" Type="http://schemas.openxmlformats.org/officeDocument/2006/relationships/image" Target="../media/image972.jpeg"/><Relationship Id="rId299" Type="http://schemas.openxmlformats.org/officeDocument/2006/relationships/image" Target="../media/image304.jpeg"/><Relationship Id="rId298" Type="http://schemas.openxmlformats.org/officeDocument/2006/relationships/image" Target="../media/image1151.jpeg"/><Relationship Id="rId297" Type="http://schemas.openxmlformats.org/officeDocument/2006/relationships/image" Target="../media/image1150.jpeg"/><Relationship Id="rId296" Type="http://schemas.openxmlformats.org/officeDocument/2006/relationships/image" Target="../media/image1149.jpeg"/><Relationship Id="rId295" Type="http://schemas.openxmlformats.org/officeDocument/2006/relationships/image" Target="../media/image300.jpeg"/><Relationship Id="rId294" Type="http://schemas.openxmlformats.org/officeDocument/2006/relationships/image" Target="../media/image1148.jpeg"/><Relationship Id="rId293" Type="http://schemas.openxmlformats.org/officeDocument/2006/relationships/image" Target="../media/image1147.jpeg"/><Relationship Id="rId292" Type="http://schemas.openxmlformats.org/officeDocument/2006/relationships/image" Target="../media/image297.jpeg"/><Relationship Id="rId291" Type="http://schemas.openxmlformats.org/officeDocument/2006/relationships/image" Target="../media/image1146.jpeg"/><Relationship Id="rId290" Type="http://schemas.openxmlformats.org/officeDocument/2006/relationships/image" Target="../media/image1145.jpeg"/><Relationship Id="rId29" Type="http://schemas.openxmlformats.org/officeDocument/2006/relationships/image" Target="../media/image994.jpeg"/><Relationship Id="rId289" Type="http://schemas.openxmlformats.org/officeDocument/2006/relationships/image" Target="../media/image1144.jpeg"/><Relationship Id="rId288" Type="http://schemas.openxmlformats.org/officeDocument/2006/relationships/image" Target="../media/image293.jpeg"/><Relationship Id="rId287" Type="http://schemas.openxmlformats.org/officeDocument/2006/relationships/image" Target="../media/image1143.jpeg"/><Relationship Id="rId286" Type="http://schemas.openxmlformats.org/officeDocument/2006/relationships/image" Target="../media/image291.jpeg"/><Relationship Id="rId285" Type="http://schemas.openxmlformats.org/officeDocument/2006/relationships/image" Target="../media/image1142.jpeg"/><Relationship Id="rId284" Type="http://schemas.openxmlformats.org/officeDocument/2006/relationships/image" Target="../media/image1141.jpeg"/><Relationship Id="rId283" Type="http://schemas.openxmlformats.org/officeDocument/2006/relationships/image" Target="../media/image288.jpeg"/><Relationship Id="rId282" Type="http://schemas.openxmlformats.org/officeDocument/2006/relationships/image" Target="../media/image287.jpeg"/><Relationship Id="rId281" Type="http://schemas.openxmlformats.org/officeDocument/2006/relationships/image" Target="../media/image286.jpeg"/><Relationship Id="rId280" Type="http://schemas.openxmlformats.org/officeDocument/2006/relationships/image" Target="../media/image1140.png"/><Relationship Id="rId28" Type="http://schemas.openxmlformats.org/officeDocument/2006/relationships/image" Target="../media/image993.jpeg"/><Relationship Id="rId279" Type="http://schemas.openxmlformats.org/officeDocument/2006/relationships/image" Target="../media/image1139.jpeg"/><Relationship Id="rId278" Type="http://schemas.openxmlformats.org/officeDocument/2006/relationships/image" Target="../media/image1138.jpeg"/><Relationship Id="rId277" Type="http://schemas.openxmlformats.org/officeDocument/2006/relationships/image" Target="../media/image1137.jpeg"/><Relationship Id="rId276" Type="http://schemas.openxmlformats.org/officeDocument/2006/relationships/image" Target="../media/image1136.png"/><Relationship Id="rId275" Type="http://schemas.openxmlformats.org/officeDocument/2006/relationships/image" Target="../media/image1135.png"/><Relationship Id="rId274" Type="http://schemas.openxmlformats.org/officeDocument/2006/relationships/image" Target="../media/image1134.jpeg"/><Relationship Id="rId273" Type="http://schemas.openxmlformats.org/officeDocument/2006/relationships/image" Target="../media/image1133.jpeg"/><Relationship Id="rId272" Type="http://schemas.openxmlformats.org/officeDocument/2006/relationships/image" Target="../media/image1132.jpeg"/><Relationship Id="rId271" Type="http://schemas.openxmlformats.org/officeDocument/2006/relationships/image" Target="../media/image1131.jpeg"/><Relationship Id="rId270" Type="http://schemas.openxmlformats.org/officeDocument/2006/relationships/image" Target="../media/image1130.jpeg"/><Relationship Id="rId27" Type="http://schemas.openxmlformats.org/officeDocument/2006/relationships/image" Target="../media/image992.jpeg"/><Relationship Id="rId269" Type="http://schemas.openxmlformats.org/officeDocument/2006/relationships/image" Target="../media/image1129.png"/><Relationship Id="rId268" Type="http://schemas.openxmlformats.org/officeDocument/2006/relationships/image" Target="../media/image1128.jpeg"/><Relationship Id="rId267" Type="http://schemas.openxmlformats.org/officeDocument/2006/relationships/image" Target="../media/image272.jpeg"/><Relationship Id="rId266" Type="http://schemas.openxmlformats.org/officeDocument/2006/relationships/image" Target="../media/image271.jpeg"/><Relationship Id="rId265" Type="http://schemas.openxmlformats.org/officeDocument/2006/relationships/image" Target="../media/image1127.jpeg"/><Relationship Id="rId264" Type="http://schemas.openxmlformats.org/officeDocument/2006/relationships/image" Target="../media/image269.jpeg"/><Relationship Id="rId263" Type="http://schemas.openxmlformats.org/officeDocument/2006/relationships/image" Target="../media/image268.jpeg"/><Relationship Id="rId262" Type="http://schemas.openxmlformats.org/officeDocument/2006/relationships/image" Target="../media/image267.jpeg"/><Relationship Id="rId261" Type="http://schemas.openxmlformats.org/officeDocument/2006/relationships/image" Target="../media/image266.jpeg"/><Relationship Id="rId260" Type="http://schemas.openxmlformats.org/officeDocument/2006/relationships/image" Target="../media/image265.jpeg"/><Relationship Id="rId26" Type="http://schemas.openxmlformats.org/officeDocument/2006/relationships/image" Target="../media/image991.jpeg"/><Relationship Id="rId259" Type="http://schemas.openxmlformats.org/officeDocument/2006/relationships/image" Target="../media/image264.jpeg"/><Relationship Id="rId258" Type="http://schemas.openxmlformats.org/officeDocument/2006/relationships/image" Target="../media/image1126.jpeg"/><Relationship Id="rId257" Type="http://schemas.openxmlformats.org/officeDocument/2006/relationships/image" Target="../media/image1125.jpeg"/><Relationship Id="rId256" Type="http://schemas.openxmlformats.org/officeDocument/2006/relationships/image" Target="../media/image1124.jpeg"/><Relationship Id="rId255" Type="http://schemas.openxmlformats.org/officeDocument/2006/relationships/image" Target="../media/image1123.jpeg"/><Relationship Id="rId254" Type="http://schemas.openxmlformats.org/officeDocument/2006/relationships/image" Target="../media/image1122.jpeg"/><Relationship Id="rId253" Type="http://schemas.openxmlformats.org/officeDocument/2006/relationships/image" Target="../media/image1121.jpeg"/><Relationship Id="rId252" Type="http://schemas.openxmlformats.org/officeDocument/2006/relationships/image" Target="../media/image1120.jpeg"/><Relationship Id="rId251" Type="http://schemas.openxmlformats.org/officeDocument/2006/relationships/image" Target="../media/image1119.jpeg"/><Relationship Id="rId250" Type="http://schemas.openxmlformats.org/officeDocument/2006/relationships/image" Target="../media/image1118.jpeg"/><Relationship Id="rId25" Type="http://schemas.openxmlformats.org/officeDocument/2006/relationships/image" Target="../media/image990.jpeg"/><Relationship Id="rId249" Type="http://schemas.openxmlformats.org/officeDocument/2006/relationships/image" Target="../media/image1117.jpeg"/><Relationship Id="rId248" Type="http://schemas.openxmlformats.org/officeDocument/2006/relationships/image" Target="../media/image1116.jpeg"/><Relationship Id="rId247" Type="http://schemas.openxmlformats.org/officeDocument/2006/relationships/image" Target="../media/image1115.jpeg"/><Relationship Id="rId246" Type="http://schemas.openxmlformats.org/officeDocument/2006/relationships/image" Target="../media/image1114.jpeg"/><Relationship Id="rId245" Type="http://schemas.openxmlformats.org/officeDocument/2006/relationships/image" Target="../media/image1113.jpeg"/><Relationship Id="rId244" Type="http://schemas.openxmlformats.org/officeDocument/2006/relationships/image" Target="../media/image1112.jpeg"/><Relationship Id="rId243" Type="http://schemas.openxmlformats.org/officeDocument/2006/relationships/image" Target="../media/image1111.png"/><Relationship Id="rId242" Type="http://schemas.openxmlformats.org/officeDocument/2006/relationships/image" Target="../media/image247.png"/><Relationship Id="rId241" Type="http://schemas.openxmlformats.org/officeDocument/2006/relationships/image" Target="../media/image246.png"/><Relationship Id="rId240" Type="http://schemas.openxmlformats.org/officeDocument/2006/relationships/image" Target="../media/image245.png"/><Relationship Id="rId24" Type="http://schemas.openxmlformats.org/officeDocument/2006/relationships/image" Target="../media/image989.jpeg"/><Relationship Id="rId239" Type="http://schemas.openxmlformats.org/officeDocument/2006/relationships/image" Target="../media/image244.png"/><Relationship Id="rId238" Type="http://schemas.openxmlformats.org/officeDocument/2006/relationships/image" Target="../media/image243.jpeg"/><Relationship Id="rId237" Type="http://schemas.openxmlformats.org/officeDocument/2006/relationships/image" Target="../media/image242.jpeg"/><Relationship Id="rId236" Type="http://schemas.openxmlformats.org/officeDocument/2006/relationships/image" Target="../media/image241.jpeg"/><Relationship Id="rId235" Type="http://schemas.openxmlformats.org/officeDocument/2006/relationships/image" Target="../media/image240.jpeg"/><Relationship Id="rId234" Type="http://schemas.openxmlformats.org/officeDocument/2006/relationships/image" Target="../media/image239.jpeg"/><Relationship Id="rId233" Type="http://schemas.openxmlformats.org/officeDocument/2006/relationships/image" Target="../media/image238.jpeg"/><Relationship Id="rId232" Type="http://schemas.openxmlformats.org/officeDocument/2006/relationships/image" Target="../media/image237.png"/><Relationship Id="rId231" Type="http://schemas.openxmlformats.org/officeDocument/2006/relationships/image" Target="../media/image1110.jpeg"/><Relationship Id="rId230" Type="http://schemas.openxmlformats.org/officeDocument/2006/relationships/image" Target="../media/image1109.jpeg"/><Relationship Id="rId23" Type="http://schemas.openxmlformats.org/officeDocument/2006/relationships/image" Target="../media/image14.jpeg"/><Relationship Id="rId229" Type="http://schemas.openxmlformats.org/officeDocument/2006/relationships/image" Target="../media/image234.jpeg"/><Relationship Id="rId228" Type="http://schemas.openxmlformats.org/officeDocument/2006/relationships/image" Target="../media/image1108.jpeg"/><Relationship Id="rId227" Type="http://schemas.openxmlformats.org/officeDocument/2006/relationships/image" Target="../media/image231.jpeg"/><Relationship Id="rId226" Type="http://schemas.openxmlformats.org/officeDocument/2006/relationships/image" Target="../media/image230.jpeg"/><Relationship Id="rId225" Type="http://schemas.openxmlformats.org/officeDocument/2006/relationships/image" Target="../media/image229.jpeg"/><Relationship Id="rId224" Type="http://schemas.openxmlformats.org/officeDocument/2006/relationships/image" Target="../media/image228.png"/><Relationship Id="rId223" Type="http://schemas.openxmlformats.org/officeDocument/2006/relationships/image" Target="../media/image227.jpeg"/><Relationship Id="rId222" Type="http://schemas.openxmlformats.org/officeDocument/2006/relationships/image" Target="../media/image1107.jpeg"/><Relationship Id="rId221" Type="http://schemas.openxmlformats.org/officeDocument/2006/relationships/image" Target="../media/image225.jpeg"/><Relationship Id="rId220" Type="http://schemas.openxmlformats.org/officeDocument/2006/relationships/image" Target="../media/image224.jpeg"/><Relationship Id="rId22" Type="http://schemas.openxmlformats.org/officeDocument/2006/relationships/image" Target="../media/image988.jpeg"/><Relationship Id="rId219" Type="http://schemas.openxmlformats.org/officeDocument/2006/relationships/image" Target="../media/image222.jpeg"/><Relationship Id="rId218" Type="http://schemas.openxmlformats.org/officeDocument/2006/relationships/image" Target="../media/image221.jpeg"/><Relationship Id="rId217" Type="http://schemas.openxmlformats.org/officeDocument/2006/relationships/image" Target="../media/image220.jpeg"/><Relationship Id="rId216" Type="http://schemas.openxmlformats.org/officeDocument/2006/relationships/image" Target="../media/image219.jpeg"/><Relationship Id="rId215" Type="http://schemas.openxmlformats.org/officeDocument/2006/relationships/image" Target="../media/image218.jpeg"/><Relationship Id="rId214" Type="http://schemas.openxmlformats.org/officeDocument/2006/relationships/image" Target="../media/image217.jpeg"/><Relationship Id="rId213" Type="http://schemas.openxmlformats.org/officeDocument/2006/relationships/image" Target="../media/image216.png"/><Relationship Id="rId212" Type="http://schemas.openxmlformats.org/officeDocument/2006/relationships/image" Target="../media/image215.jpeg"/><Relationship Id="rId211" Type="http://schemas.openxmlformats.org/officeDocument/2006/relationships/image" Target="../media/image214.png"/><Relationship Id="rId210" Type="http://schemas.openxmlformats.org/officeDocument/2006/relationships/image" Target="../media/image213.png"/><Relationship Id="rId21" Type="http://schemas.openxmlformats.org/officeDocument/2006/relationships/image" Target="../media/image987.jpeg"/><Relationship Id="rId209" Type="http://schemas.openxmlformats.org/officeDocument/2006/relationships/image" Target="../media/image212.png"/><Relationship Id="rId208" Type="http://schemas.openxmlformats.org/officeDocument/2006/relationships/image" Target="../media/image211.png"/><Relationship Id="rId207" Type="http://schemas.openxmlformats.org/officeDocument/2006/relationships/image" Target="../media/image210.jpeg"/><Relationship Id="rId206" Type="http://schemas.openxmlformats.org/officeDocument/2006/relationships/image" Target="../media/image209.jpeg"/><Relationship Id="rId205" Type="http://schemas.openxmlformats.org/officeDocument/2006/relationships/image" Target="../media/image208.png"/><Relationship Id="rId204" Type="http://schemas.openxmlformats.org/officeDocument/2006/relationships/image" Target="../media/image207.jpeg"/><Relationship Id="rId203" Type="http://schemas.openxmlformats.org/officeDocument/2006/relationships/image" Target="../media/image206.jpeg"/><Relationship Id="rId202" Type="http://schemas.openxmlformats.org/officeDocument/2006/relationships/image" Target="../media/image205.jpeg"/><Relationship Id="rId201" Type="http://schemas.openxmlformats.org/officeDocument/2006/relationships/image" Target="../media/image204.jpeg"/><Relationship Id="rId200" Type="http://schemas.openxmlformats.org/officeDocument/2006/relationships/image" Target="../media/image203.png"/><Relationship Id="rId20" Type="http://schemas.openxmlformats.org/officeDocument/2006/relationships/image" Target="../media/image986.jpeg"/><Relationship Id="rId2" Type="http://schemas.openxmlformats.org/officeDocument/2006/relationships/image" Target="../media/image971.jpeg"/><Relationship Id="rId199" Type="http://schemas.openxmlformats.org/officeDocument/2006/relationships/image" Target="../media/image202.jpeg"/><Relationship Id="rId198" Type="http://schemas.openxmlformats.org/officeDocument/2006/relationships/image" Target="../media/image201.jpeg"/><Relationship Id="rId197" Type="http://schemas.openxmlformats.org/officeDocument/2006/relationships/image" Target="../media/image200.jpeg"/><Relationship Id="rId196" Type="http://schemas.openxmlformats.org/officeDocument/2006/relationships/image" Target="../media/image199.jpeg"/><Relationship Id="rId195" Type="http://schemas.openxmlformats.org/officeDocument/2006/relationships/image" Target="../media/image198.jpeg"/><Relationship Id="rId194" Type="http://schemas.openxmlformats.org/officeDocument/2006/relationships/image" Target="../media/image197.jpeg"/><Relationship Id="rId193" Type="http://schemas.openxmlformats.org/officeDocument/2006/relationships/image" Target="../media/image196.jpeg"/><Relationship Id="rId192" Type="http://schemas.openxmlformats.org/officeDocument/2006/relationships/image" Target="../media/image195.jpeg"/><Relationship Id="rId191" Type="http://schemas.openxmlformats.org/officeDocument/2006/relationships/image" Target="../media/image194.jpeg"/><Relationship Id="rId190" Type="http://schemas.openxmlformats.org/officeDocument/2006/relationships/image" Target="../media/image193.jpeg"/><Relationship Id="rId19" Type="http://schemas.openxmlformats.org/officeDocument/2006/relationships/image" Target="../media/image985.jpeg"/><Relationship Id="rId189" Type="http://schemas.openxmlformats.org/officeDocument/2006/relationships/image" Target="../media/image1106.jpeg"/><Relationship Id="rId188" Type="http://schemas.openxmlformats.org/officeDocument/2006/relationships/image" Target="../media/image1105.jpeg"/><Relationship Id="rId187" Type="http://schemas.openxmlformats.org/officeDocument/2006/relationships/image" Target="../media/image1104.jpeg"/><Relationship Id="rId186" Type="http://schemas.openxmlformats.org/officeDocument/2006/relationships/image" Target="../media/image1103.jpeg"/><Relationship Id="rId185" Type="http://schemas.openxmlformats.org/officeDocument/2006/relationships/image" Target="../media/image1102.jpeg"/><Relationship Id="rId184" Type="http://schemas.openxmlformats.org/officeDocument/2006/relationships/image" Target="../media/image1101.jpeg"/><Relationship Id="rId183" Type="http://schemas.openxmlformats.org/officeDocument/2006/relationships/image" Target="../media/image1100.jpeg"/><Relationship Id="rId182" Type="http://schemas.openxmlformats.org/officeDocument/2006/relationships/image" Target="../media/image1099.jpeg"/><Relationship Id="rId181" Type="http://schemas.openxmlformats.org/officeDocument/2006/relationships/image" Target="../media/image1098.jpeg"/><Relationship Id="rId180" Type="http://schemas.openxmlformats.org/officeDocument/2006/relationships/image" Target="../media/image1097.jpeg"/><Relationship Id="rId18" Type="http://schemas.openxmlformats.org/officeDocument/2006/relationships/image" Target="../media/image984.jpeg"/><Relationship Id="rId179" Type="http://schemas.openxmlformats.org/officeDocument/2006/relationships/image" Target="../media/image1096.jpeg"/><Relationship Id="rId178" Type="http://schemas.openxmlformats.org/officeDocument/2006/relationships/image" Target="../media/image1095.png"/><Relationship Id="rId177" Type="http://schemas.openxmlformats.org/officeDocument/2006/relationships/image" Target="../media/image180.jpeg"/><Relationship Id="rId176" Type="http://schemas.openxmlformats.org/officeDocument/2006/relationships/image" Target="../media/image1094.png"/><Relationship Id="rId175" Type="http://schemas.openxmlformats.org/officeDocument/2006/relationships/image" Target="../media/image1093.jpeg"/><Relationship Id="rId174" Type="http://schemas.openxmlformats.org/officeDocument/2006/relationships/image" Target="../media/image1092.jpeg"/><Relationship Id="rId173" Type="http://schemas.openxmlformats.org/officeDocument/2006/relationships/image" Target="../media/image176.png"/><Relationship Id="rId172" Type="http://schemas.openxmlformats.org/officeDocument/2006/relationships/image" Target="../media/image1091.jpeg"/><Relationship Id="rId171" Type="http://schemas.openxmlformats.org/officeDocument/2006/relationships/image" Target="../media/image1090.png"/><Relationship Id="rId170" Type="http://schemas.openxmlformats.org/officeDocument/2006/relationships/image" Target="../media/image1089.png"/><Relationship Id="rId17" Type="http://schemas.openxmlformats.org/officeDocument/2006/relationships/image" Target="../media/image18.jpeg"/><Relationship Id="rId169" Type="http://schemas.openxmlformats.org/officeDocument/2006/relationships/image" Target="../media/image1088.jpeg"/><Relationship Id="rId168" Type="http://schemas.openxmlformats.org/officeDocument/2006/relationships/image" Target="../media/image171.jpeg"/><Relationship Id="rId167" Type="http://schemas.openxmlformats.org/officeDocument/2006/relationships/image" Target="../media/image170.jpeg"/><Relationship Id="rId166" Type="http://schemas.openxmlformats.org/officeDocument/2006/relationships/image" Target="../media/image169.jpeg"/><Relationship Id="rId165" Type="http://schemas.openxmlformats.org/officeDocument/2006/relationships/image" Target="../media/image168.jpeg"/><Relationship Id="rId164" Type="http://schemas.openxmlformats.org/officeDocument/2006/relationships/image" Target="../media/image167.jpeg"/><Relationship Id="rId163" Type="http://schemas.openxmlformats.org/officeDocument/2006/relationships/image" Target="../media/image166.jpeg"/><Relationship Id="rId162" Type="http://schemas.openxmlformats.org/officeDocument/2006/relationships/image" Target="../media/image165.jpeg"/><Relationship Id="rId161" Type="http://schemas.openxmlformats.org/officeDocument/2006/relationships/image" Target="../media/image1087.jpeg"/><Relationship Id="rId160" Type="http://schemas.openxmlformats.org/officeDocument/2006/relationships/image" Target="../media/image1086.jpeg"/><Relationship Id="rId16" Type="http://schemas.openxmlformats.org/officeDocument/2006/relationships/image" Target="../media/image983.jpeg"/><Relationship Id="rId159" Type="http://schemas.openxmlformats.org/officeDocument/2006/relationships/image" Target="../media/image1085.png"/><Relationship Id="rId158" Type="http://schemas.openxmlformats.org/officeDocument/2006/relationships/image" Target="../media/image1084.png"/><Relationship Id="rId157" Type="http://schemas.openxmlformats.org/officeDocument/2006/relationships/image" Target="../media/image1083.png"/><Relationship Id="rId156" Type="http://schemas.openxmlformats.org/officeDocument/2006/relationships/image" Target="../media/image1082.jpeg"/><Relationship Id="rId155" Type="http://schemas.openxmlformats.org/officeDocument/2006/relationships/image" Target="../media/image1081.jpeg"/><Relationship Id="rId154" Type="http://schemas.openxmlformats.org/officeDocument/2006/relationships/image" Target="../media/image157.jpeg"/><Relationship Id="rId153" Type="http://schemas.openxmlformats.org/officeDocument/2006/relationships/image" Target="../media/image1080.jpeg"/><Relationship Id="rId152" Type="http://schemas.openxmlformats.org/officeDocument/2006/relationships/image" Target="../media/image1079.jpeg"/><Relationship Id="rId151" Type="http://schemas.openxmlformats.org/officeDocument/2006/relationships/image" Target="../media/image1078.jpeg"/><Relationship Id="rId150" Type="http://schemas.openxmlformats.org/officeDocument/2006/relationships/image" Target="../media/image1077.jpeg"/><Relationship Id="rId15" Type="http://schemas.openxmlformats.org/officeDocument/2006/relationships/image" Target="../media/image982.jpeg"/><Relationship Id="rId149" Type="http://schemas.openxmlformats.org/officeDocument/2006/relationships/image" Target="../media/image152.jpeg"/><Relationship Id="rId148" Type="http://schemas.openxmlformats.org/officeDocument/2006/relationships/image" Target="../media/image1076.jpeg"/><Relationship Id="rId147" Type="http://schemas.openxmlformats.org/officeDocument/2006/relationships/image" Target="../media/image1075.jpeg"/><Relationship Id="rId146" Type="http://schemas.openxmlformats.org/officeDocument/2006/relationships/image" Target="../media/image1074.jpeg"/><Relationship Id="rId145" Type="http://schemas.openxmlformats.org/officeDocument/2006/relationships/image" Target="../media/image1073.jpeg"/><Relationship Id="rId144" Type="http://schemas.openxmlformats.org/officeDocument/2006/relationships/image" Target="../media/image1072.jpeg"/><Relationship Id="rId143" Type="http://schemas.openxmlformats.org/officeDocument/2006/relationships/image" Target="../media/image146.jpeg"/><Relationship Id="rId142" Type="http://schemas.openxmlformats.org/officeDocument/2006/relationships/image" Target="../media/image145.jpeg"/><Relationship Id="rId141" Type="http://schemas.openxmlformats.org/officeDocument/2006/relationships/image" Target="../media/image144.jpeg"/><Relationship Id="rId140" Type="http://schemas.openxmlformats.org/officeDocument/2006/relationships/image" Target="../media/image143.jpeg"/><Relationship Id="rId14" Type="http://schemas.openxmlformats.org/officeDocument/2006/relationships/image" Target="../media/image981.jpeg"/><Relationship Id="rId139" Type="http://schemas.openxmlformats.org/officeDocument/2006/relationships/image" Target="../media/image142.jpeg"/><Relationship Id="rId138" Type="http://schemas.openxmlformats.org/officeDocument/2006/relationships/image" Target="../media/image1071.jpeg"/><Relationship Id="rId137" Type="http://schemas.openxmlformats.org/officeDocument/2006/relationships/image" Target="../media/image1070.jpeg"/><Relationship Id="rId136" Type="http://schemas.openxmlformats.org/officeDocument/2006/relationships/image" Target="../media/image139.jpeg"/><Relationship Id="rId135" Type="http://schemas.openxmlformats.org/officeDocument/2006/relationships/image" Target="../media/image138.jpeg"/><Relationship Id="rId134" Type="http://schemas.openxmlformats.org/officeDocument/2006/relationships/image" Target="../media/image137.jpeg"/><Relationship Id="rId133" Type="http://schemas.openxmlformats.org/officeDocument/2006/relationships/image" Target="../media/image136.jpeg"/><Relationship Id="rId132" Type="http://schemas.openxmlformats.org/officeDocument/2006/relationships/image" Target="../media/image135.jpeg"/><Relationship Id="rId131" Type="http://schemas.openxmlformats.org/officeDocument/2006/relationships/image" Target="../media/image134.jpeg"/><Relationship Id="rId130" Type="http://schemas.openxmlformats.org/officeDocument/2006/relationships/image" Target="../media/image133.jpeg"/><Relationship Id="rId13" Type="http://schemas.openxmlformats.org/officeDocument/2006/relationships/image" Target="../media/image980.jpeg"/><Relationship Id="rId129" Type="http://schemas.openxmlformats.org/officeDocument/2006/relationships/image" Target="../media/image132.jpeg"/><Relationship Id="rId128" Type="http://schemas.openxmlformats.org/officeDocument/2006/relationships/image" Target="../media/image131.png"/><Relationship Id="rId127" Type="http://schemas.openxmlformats.org/officeDocument/2006/relationships/image" Target="../media/image130.png"/><Relationship Id="rId126" Type="http://schemas.openxmlformats.org/officeDocument/2006/relationships/image" Target="../media/image129.png"/><Relationship Id="rId125" Type="http://schemas.openxmlformats.org/officeDocument/2006/relationships/image" Target="../media/image128.png"/><Relationship Id="rId124" Type="http://schemas.openxmlformats.org/officeDocument/2006/relationships/image" Target="../media/image127.jpeg"/><Relationship Id="rId123" Type="http://schemas.openxmlformats.org/officeDocument/2006/relationships/image" Target="../media/image126.jpeg"/><Relationship Id="rId122" Type="http://schemas.openxmlformats.org/officeDocument/2006/relationships/image" Target="../media/image125.jpeg"/><Relationship Id="rId121" Type="http://schemas.openxmlformats.org/officeDocument/2006/relationships/image" Target="../media/image1069.jpeg"/><Relationship Id="rId120" Type="http://schemas.openxmlformats.org/officeDocument/2006/relationships/image" Target="../media/image123.jpeg"/><Relationship Id="rId12" Type="http://schemas.openxmlformats.org/officeDocument/2006/relationships/image" Target="../media/image979.jpeg"/><Relationship Id="rId119" Type="http://schemas.openxmlformats.org/officeDocument/2006/relationships/image" Target="../media/image1068.jpeg"/><Relationship Id="rId118" Type="http://schemas.openxmlformats.org/officeDocument/2006/relationships/image" Target="../media/image121.jpeg"/><Relationship Id="rId117" Type="http://schemas.openxmlformats.org/officeDocument/2006/relationships/image" Target="../media/image1067.jpeg"/><Relationship Id="rId116" Type="http://schemas.openxmlformats.org/officeDocument/2006/relationships/image" Target="../media/image1066.jpeg"/><Relationship Id="rId115" Type="http://schemas.openxmlformats.org/officeDocument/2006/relationships/image" Target="../media/image1065.jpeg"/><Relationship Id="rId114" Type="http://schemas.openxmlformats.org/officeDocument/2006/relationships/image" Target="../media/image1064.jpeg"/><Relationship Id="rId113" Type="http://schemas.openxmlformats.org/officeDocument/2006/relationships/image" Target="../media/image1063.jpeg"/><Relationship Id="rId112" Type="http://schemas.openxmlformats.org/officeDocument/2006/relationships/image" Target="../media/image1062.jpeg"/><Relationship Id="rId111" Type="http://schemas.openxmlformats.org/officeDocument/2006/relationships/image" Target="../media/image1061.jpeg"/><Relationship Id="rId110" Type="http://schemas.openxmlformats.org/officeDocument/2006/relationships/image" Target="../media/image1060.jpeg"/><Relationship Id="rId11" Type="http://schemas.openxmlformats.org/officeDocument/2006/relationships/image" Target="../media/image978.jpeg"/><Relationship Id="rId109" Type="http://schemas.openxmlformats.org/officeDocument/2006/relationships/image" Target="../media/image1059.jpeg"/><Relationship Id="rId108" Type="http://schemas.openxmlformats.org/officeDocument/2006/relationships/image" Target="../media/image1058.jpeg"/><Relationship Id="rId107" Type="http://schemas.openxmlformats.org/officeDocument/2006/relationships/image" Target="../media/image1057.jpeg"/><Relationship Id="rId106" Type="http://schemas.openxmlformats.org/officeDocument/2006/relationships/image" Target="../media/image109.jpeg"/><Relationship Id="rId105" Type="http://schemas.openxmlformats.org/officeDocument/2006/relationships/image" Target="../media/image108.jpeg"/><Relationship Id="rId104" Type="http://schemas.openxmlformats.org/officeDocument/2006/relationships/image" Target="../media/image1056.jpeg"/><Relationship Id="rId103" Type="http://schemas.openxmlformats.org/officeDocument/2006/relationships/image" Target="../media/image1055.jpeg"/><Relationship Id="rId102" Type="http://schemas.openxmlformats.org/officeDocument/2006/relationships/image" Target="../media/image1054.jpeg"/><Relationship Id="rId101" Type="http://schemas.openxmlformats.org/officeDocument/2006/relationships/image" Target="../media/image1053.jpeg"/><Relationship Id="rId100" Type="http://schemas.openxmlformats.org/officeDocument/2006/relationships/image" Target="../media/image1052.jpeg"/><Relationship Id="rId10" Type="http://schemas.openxmlformats.org/officeDocument/2006/relationships/image" Target="../media/image977.jpeg"/><Relationship Id="rId1" Type="http://schemas.openxmlformats.org/officeDocument/2006/relationships/image" Target="../media/image970.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0</xdr:col>
      <xdr:colOff>800100</xdr:colOff>
      <xdr:row>629</xdr:row>
      <xdr:rowOff>215900</xdr:rowOff>
    </xdr:from>
    <xdr:to>
      <xdr:col>0</xdr:col>
      <xdr:colOff>1088887</xdr:colOff>
      <xdr:row>663</xdr:row>
      <xdr:rowOff>207747</xdr:rowOff>
    </xdr:to>
    <xdr:sp>
      <xdr:nvSpPr>
        <xdr:cNvPr id="11644" name="AutoShape 2485"/>
        <xdr:cNvSpPr>
          <a:spLocks noChangeAspect="1" noChangeArrowheads="1"/>
        </xdr:cNvSpPr>
      </xdr:nvSpPr>
      <xdr:spPr>
        <a:xfrm>
          <a:off x="800100" y="698500"/>
          <a:ext cx="144780" cy="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xdr:cNvPicPr>
          <a:picLocks noChangeAspect="1"/>
        </xdr:cNvPicPr>
      </xdr:nvPicPr>
      <xdr:blipFill>
        <a:blip r:embed="rId1" cstate="email"/>
        <a:stretch>
          <a:fillRect/>
        </a:stretch>
      </xdr:blipFill>
      <xdr:spPr>
        <a:xfrm>
          <a:off x="938530" y="698500"/>
          <a:ext cx="697230" cy="0"/>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xdr:cNvPicPr>
          <a:picLocks noChangeAspect="1"/>
        </xdr:cNvPicPr>
      </xdr:nvPicPr>
      <xdr:blipFill>
        <a:blip r:embed="rId2" cstate="email"/>
        <a:stretch>
          <a:fillRect/>
        </a:stretch>
      </xdr:blipFill>
      <xdr:spPr>
        <a:xfrm>
          <a:off x="1114425" y="698500"/>
          <a:ext cx="521335" cy="0"/>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xdr:cNvPicPr>
          <a:picLocks noChangeAspect="1"/>
        </xdr:cNvPicPr>
      </xdr:nvPicPr>
      <xdr:blipFill>
        <a:blip r:embed="rId3" cstate="email"/>
        <a:stretch>
          <a:fillRect/>
        </a:stretch>
      </xdr:blipFill>
      <xdr:spPr>
        <a:xfrm>
          <a:off x="1130935" y="698500"/>
          <a:ext cx="504825" cy="0"/>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xdr:cNvPicPr>
          <a:picLocks noChangeAspect="1"/>
        </xdr:cNvPicPr>
      </xdr:nvPicPr>
      <xdr:blipFill>
        <a:blip r:embed="rId4" cstate="email"/>
        <a:stretch>
          <a:fillRect/>
        </a:stretch>
      </xdr:blipFill>
      <xdr:spPr>
        <a:xfrm>
          <a:off x="1116330" y="698500"/>
          <a:ext cx="519430" cy="0"/>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xdr:cNvPicPr>
          <a:picLocks noChangeAspect="1"/>
        </xdr:cNvPicPr>
      </xdr:nvPicPr>
      <xdr:blipFill>
        <a:blip r:embed="rId5" cstate="email"/>
        <a:stretch>
          <a:fillRect/>
        </a:stretch>
      </xdr:blipFill>
      <xdr:spPr>
        <a:xfrm>
          <a:off x="1082040" y="698500"/>
          <a:ext cx="553720" cy="0"/>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xdr:cNvPicPr>
          <a:picLocks noChangeAspect="1"/>
        </xdr:cNvPicPr>
      </xdr:nvPicPr>
      <xdr:blipFill>
        <a:blip r:embed="rId6" cstate="email"/>
        <a:stretch>
          <a:fillRect/>
        </a:stretch>
      </xdr:blipFill>
      <xdr:spPr>
        <a:xfrm>
          <a:off x="1082040" y="698500"/>
          <a:ext cx="553720" cy="0"/>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xdr:cNvPicPr>
          <a:picLocks noChangeAspect="1"/>
        </xdr:cNvPicPr>
      </xdr:nvPicPr>
      <xdr:blipFill>
        <a:blip r:embed="rId7" cstate="email"/>
        <a:stretch>
          <a:fillRect/>
        </a:stretch>
      </xdr:blipFill>
      <xdr:spPr>
        <a:xfrm>
          <a:off x="1056640" y="698500"/>
          <a:ext cx="579120" cy="0"/>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xdr:cNvPicPr>
          <a:picLocks noChangeAspect="1"/>
        </xdr:cNvPicPr>
      </xdr:nvPicPr>
      <xdr:blipFill>
        <a:blip r:embed="rId8" cstate="email"/>
        <a:stretch>
          <a:fillRect/>
        </a:stretch>
      </xdr:blipFill>
      <xdr:spPr>
        <a:xfrm>
          <a:off x="1076960" y="698500"/>
          <a:ext cx="556260" cy="0"/>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xdr:cNvPicPr>
          <a:picLocks noChangeAspect="1"/>
        </xdr:cNvPicPr>
      </xdr:nvPicPr>
      <xdr:blipFill>
        <a:blip r:embed="rId9" cstate="email"/>
        <a:stretch>
          <a:fillRect/>
        </a:stretch>
      </xdr:blipFill>
      <xdr:spPr>
        <a:xfrm>
          <a:off x="1061085" y="698500"/>
          <a:ext cx="537210" cy="0"/>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xdr:cNvPicPr>
          <a:picLocks noChangeAspect="1"/>
        </xdr:cNvPicPr>
      </xdr:nvPicPr>
      <xdr:blipFill>
        <a:blip r:embed="rId10" cstate="email"/>
        <a:stretch>
          <a:fillRect/>
        </a:stretch>
      </xdr:blipFill>
      <xdr:spPr>
        <a:xfrm>
          <a:off x="1109980" y="698500"/>
          <a:ext cx="513715" cy="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xdr:cNvPicPr>
          <a:picLocks noChangeAspect="1"/>
        </xdr:cNvPicPr>
      </xdr:nvPicPr>
      <xdr:blipFill>
        <a:blip r:embed="rId11" cstate="email"/>
        <a:stretch>
          <a:fillRect/>
        </a:stretch>
      </xdr:blipFill>
      <xdr:spPr>
        <a:xfrm>
          <a:off x="1116330" y="698500"/>
          <a:ext cx="519430" cy="0"/>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xdr:cNvPicPr>
          <a:picLocks noChangeAspect="1"/>
        </xdr:cNvPicPr>
      </xdr:nvPicPr>
      <xdr:blipFill>
        <a:blip r:embed="rId12" cstate="email"/>
        <a:stretch>
          <a:fillRect/>
        </a:stretch>
      </xdr:blipFill>
      <xdr:spPr>
        <a:xfrm>
          <a:off x="1092835" y="698500"/>
          <a:ext cx="542925" cy="0"/>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xdr:cNvPicPr>
          <a:picLocks noChangeAspect="1"/>
        </xdr:cNvPicPr>
      </xdr:nvPicPr>
      <xdr:blipFill>
        <a:blip r:embed="rId13" cstate="email"/>
        <a:stretch>
          <a:fillRect/>
        </a:stretch>
      </xdr:blipFill>
      <xdr:spPr>
        <a:xfrm>
          <a:off x="1071880" y="698500"/>
          <a:ext cx="527050" cy="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xdr:cNvPicPr>
          <a:picLocks noChangeAspect="1"/>
        </xdr:cNvPicPr>
      </xdr:nvPicPr>
      <xdr:blipFill>
        <a:blip r:embed="rId14" cstate="email"/>
        <a:stretch>
          <a:fillRect/>
        </a:stretch>
      </xdr:blipFill>
      <xdr:spPr>
        <a:xfrm>
          <a:off x="1068070" y="698500"/>
          <a:ext cx="534670" cy="0"/>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xdr:cNvPicPr>
          <a:picLocks noChangeAspect="1"/>
        </xdr:cNvPicPr>
      </xdr:nvPicPr>
      <xdr:blipFill>
        <a:blip r:embed="rId15" cstate="email"/>
        <a:stretch>
          <a:fillRect/>
        </a:stretch>
      </xdr:blipFill>
      <xdr:spPr>
        <a:xfrm>
          <a:off x="1062355" y="698500"/>
          <a:ext cx="554990" cy="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xdr:cNvPicPr>
          <a:picLocks noChangeAspect="1"/>
        </xdr:cNvPicPr>
      </xdr:nvPicPr>
      <xdr:blipFill>
        <a:blip r:embed="rId16" cstate="email"/>
        <a:stretch>
          <a:fillRect/>
        </a:stretch>
      </xdr:blipFill>
      <xdr:spPr>
        <a:xfrm>
          <a:off x="1113155" y="698500"/>
          <a:ext cx="501650" cy="0"/>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xdr:cNvPicPr>
          <a:picLocks noChangeAspect="1"/>
        </xdr:cNvPicPr>
      </xdr:nvPicPr>
      <xdr:blipFill>
        <a:blip r:embed="rId17" cstate="email"/>
        <a:stretch>
          <a:fillRect/>
        </a:stretch>
      </xdr:blipFill>
      <xdr:spPr>
        <a:xfrm>
          <a:off x="1117600" y="698500"/>
          <a:ext cx="504825" cy="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xdr:cNvPicPr>
          <a:picLocks noChangeAspect="1"/>
        </xdr:cNvPicPr>
      </xdr:nvPicPr>
      <xdr:blipFill>
        <a:blip r:embed="rId18" cstate="email"/>
        <a:stretch>
          <a:fillRect/>
        </a:stretch>
      </xdr:blipFill>
      <xdr:spPr>
        <a:xfrm>
          <a:off x="1097280" y="698500"/>
          <a:ext cx="501015" cy="0"/>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xdr:cNvPicPr>
          <a:picLocks noChangeAspect="1"/>
        </xdr:cNvPicPr>
      </xdr:nvPicPr>
      <xdr:blipFill>
        <a:blip r:embed="rId19" cstate="email"/>
        <a:stretch>
          <a:fillRect/>
        </a:stretch>
      </xdr:blipFill>
      <xdr:spPr>
        <a:xfrm>
          <a:off x="1089660" y="698500"/>
          <a:ext cx="539750" cy="0"/>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xdr:cNvPicPr>
          <a:picLocks noChangeAspect="1"/>
        </xdr:cNvPicPr>
      </xdr:nvPicPr>
      <xdr:blipFill>
        <a:blip r:embed="rId20" cstate="email"/>
        <a:stretch>
          <a:fillRect/>
        </a:stretch>
      </xdr:blipFill>
      <xdr:spPr>
        <a:xfrm>
          <a:off x="1130300" y="698500"/>
          <a:ext cx="505460" cy="0"/>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xdr:cNvPicPr>
          <a:picLocks noChangeAspect="1"/>
        </xdr:cNvPicPr>
      </xdr:nvPicPr>
      <xdr:blipFill>
        <a:blip r:embed="rId21" cstate="email"/>
        <a:stretch>
          <a:fillRect/>
        </a:stretch>
      </xdr:blipFill>
      <xdr:spPr>
        <a:xfrm>
          <a:off x="1137285" y="698500"/>
          <a:ext cx="492760" cy="0"/>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xdr:cNvPicPr>
          <a:picLocks noChangeAspect="1"/>
        </xdr:cNvPicPr>
      </xdr:nvPicPr>
      <xdr:blipFill>
        <a:blip r:embed="rId22" cstate="email"/>
        <a:stretch>
          <a:fillRect/>
        </a:stretch>
      </xdr:blipFill>
      <xdr:spPr>
        <a:xfrm>
          <a:off x="1113155" y="698500"/>
          <a:ext cx="512445" cy="0"/>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xdr:cNvPicPr>
          <a:picLocks noChangeAspect="1"/>
        </xdr:cNvPicPr>
      </xdr:nvPicPr>
      <xdr:blipFill>
        <a:blip r:embed="rId23" cstate="email"/>
        <a:stretch>
          <a:fillRect/>
        </a:stretch>
      </xdr:blipFill>
      <xdr:spPr>
        <a:xfrm>
          <a:off x="1159510" y="698500"/>
          <a:ext cx="476250" cy="0"/>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xdr:cNvPicPr>
          <a:picLocks noChangeAspect="1"/>
        </xdr:cNvPicPr>
      </xdr:nvPicPr>
      <xdr:blipFill>
        <a:blip r:embed="rId24" cstate="email"/>
        <a:stretch>
          <a:fillRect/>
        </a:stretch>
      </xdr:blipFill>
      <xdr:spPr>
        <a:xfrm>
          <a:off x="1177290" y="698500"/>
          <a:ext cx="458470" cy="0"/>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xdr:cNvPicPr>
          <a:picLocks noChangeAspect="1"/>
        </xdr:cNvPicPr>
      </xdr:nvPicPr>
      <xdr:blipFill>
        <a:blip r:embed="rId25" cstate="email"/>
        <a:stretch>
          <a:fillRect/>
        </a:stretch>
      </xdr:blipFill>
      <xdr:spPr>
        <a:xfrm>
          <a:off x="1084580" y="698500"/>
          <a:ext cx="505460" cy="0"/>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xdr:cNvPicPr>
          <a:picLocks noChangeAspect="1"/>
        </xdr:cNvPicPr>
      </xdr:nvPicPr>
      <xdr:blipFill>
        <a:blip r:embed="rId26" cstate="email"/>
        <a:stretch>
          <a:fillRect/>
        </a:stretch>
      </xdr:blipFill>
      <xdr:spPr>
        <a:xfrm>
          <a:off x="1193165" y="698500"/>
          <a:ext cx="442595" cy="0"/>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xdr:cNvPicPr>
          <a:picLocks noChangeAspect="1"/>
        </xdr:cNvPicPr>
      </xdr:nvPicPr>
      <xdr:blipFill>
        <a:blip r:embed="rId27" cstate="email"/>
        <a:stretch>
          <a:fillRect/>
        </a:stretch>
      </xdr:blipFill>
      <xdr:spPr>
        <a:xfrm>
          <a:off x="1233170" y="698500"/>
          <a:ext cx="402590" cy="0"/>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xdr:cNvPicPr>
          <a:picLocks noChangeAspect="1"/>
        </xdr:cNvPicPr>
      </xdr:nvPicPr>
      <xdr:blipFill>
        <a:blip r:embed="rId28" cstate="email"/>
        <a:stretch>
          <a:fillRect/>
        </a:stretch>
      </xdr:blipFill>
      <xdr:spPr>
        <a:xfrm>
          <a:off x="1273810" y="698500"/>
          <a:ext cx="361950" cy="0"/>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xdr:cNvPicPr>
          <a:picLocks noChangeAspect="1"/>
        </xdr:cNvPicPr>
      </xdr:nvPicPr>
      <xdr:blipFill>
        <a:blip r:embed="rId29" cstate="email"/>
        <a:stretch>
          <a:fillRect/>
        </a:stretch>
      </xdr:blipFill>
      <xdr:spPr>
        <a:xfrm>
          <a:off x="1253490" y="698500"/>
          <a:ext cx="382270" cy="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xdr:cNvPicPr>
          <a:picLocks noChangeAspect="1"/>
        </xdr:cNvPicPr>
      </xdr:nvPicPr>
      <xdr:blipFill>
        <a:blip r:embed="rId30" cstate="email"/>
        <a:stretch>
          <a:fillRect/>
        </a:stretch>
      </xdr:blipFill>
      <xdr:spPr>
        <a:xfrm>
          <a:off x="1256665" y="698500"/>
          <a:ext cx="379095" cy="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xdr:cNvPicPr>
          <a:picLocks noChangeAspect="1"/>
        </xdr:cNvPicPr>
      </xdr:nvPicPr>
      <xdr:blipFill>
        <a:blip r:embed="rId31" cstate="email"/>
        <a:stretch>
          <a:fillRect/>
        </a:stretch>
      </xdr:blipFill>
      <xdr:spPr>
        <a:xfrm>
          <a:off x="1259840" y="698500"/>
          <a:ext cx="375920" cy="0"/>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xdr:cNvPicPr>
          <a:picLocks noChangeAspect="1"/>
        </xdr:cNvPicPr>
      </xdr:nvPicPr>
      <xdr:blipFill>
        <a:blip r:embed="rId32" cstate="email"/>
        <a:stretch>
          <a:fillRect/>
        </a:stretch>
      </xdr:blipFill>
      <xdr:spPr>
        <a:xfrm>
          <a:off x="1259205" y="698500"/>
          <a:ext cx="376555" cy="0"/>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xdr:cNvPicPr>
          <a:picLocks noChangeAspect="1"/>
        </xdr:cNvPicPr>
      </xdr:nvPicPr>
      <xdr:blipFill>
        <a:blip r:embed="rId33" cstate="email"/>
        <a:stretch>
          <a:fillRect/>
        </a:stretch>
      </xdr:blipFill>
      <xdr:spPr>
        <a:xfrm>
          <a:off x="1236980" y="698500"/>
          <a:ext cx="398780" cy="0"/>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xdr:cNvPicPr>
          <a:picLocks noChangeAspect="1"/>
        </xdr:cNvPicPr>
      </xdr:nvPicPr>
      <xdr:blipFill>
        <a:blip r:embed="rId34" cstate="email"/>
        <a:stretch>
          <a:fillRect/>
        </a:stretch>
      </xdr:blipFill>
      <xdr:spPr>
        <a:xfrm>
          <a:off x="1256665" y="698500"/>
          <a:ext cx="379095" cy="0"/>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xdr:cNvPicPr>
          <a:picLocks noChangeAspect="1"/>
        </xdr:cNvPicPr>
      </xdr:nvPicPr>
      <xdr:blipFill>
        <a:blip r:embed="rId35" cstate="email"/>
        <a:stretch>
          <a:fillRect/>
        </a:stretch>
      </xdr:blipFill>
      <xdr:spPr>
        <a:xfrm>
          <a:off x="1140460" y="698500"/>
          <a:ext cx="475615" cy="0"/>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xdr:cNvPicPr>
          <a:picLocks noChangeAspect="1"/>
        </xdr:cNvPicPr>
      </xdr:nvPicPr>
      <xdr:blipFill>
        <a:blip r:embed="rId36" cstate="email"/>
        <a:stretch>
          <a:fillRect/>
        </a:stretch>
      </xdr:blipFill>
      <xdr:spPr>
        <a:xfrm>
          <a:off x="1162685" y="698500"/>
          <a:ext cx="473075" cy="0"/>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xdr:cNvPicPr>
          <a:picLocks noChangeAspect="1"/>
        </xdr:cNvPicPr>
      </xdr:nvPicPr>
      <xdr:blipFill>
        <a:blip r:embed="rId37" cstate="email"/>
        <a:stretch>
          <a:fillRect/>
        </a:stretch>
      </xdr:blipFill>
      <xdr:spPr>
        <a:xfrm>
          <a:off x="1236980" y="698500"/>
          <a:ext cx="398780" cy="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xdr:cNvPicPr>
          <a:picLocks noChangeAspect="1"/>
        </xdr:cNvPicPr>
      </xdr:nvPicPr>
      <xdr:blipFill>
        <a:blip r:embed="rId38" cstate="email"/>
        <a:stretch>
          <a:fillRect/>
        </a:stretch>
      </xdr:blipFill>
      <xdr:spPr>
        <a:xfrm>
          <a:off x="1236980" y="698500"/>
          <a:ext cx="398780" cy="0"/>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xdr:cNvPicPr>
          <a:picLocks noChangeAspect="1"/>
        </xdr:cNvPicPr>
      </xdr:nvPicPr>
      <xdr:blipFill>
        <a:blip r:embed="rId39" cstate="email"/>
        <a:stretch>
          <a:fillRect/>
        </a:stretch>
      </xdr:blipFill>
      <xdr:spPr>
        <a:xfrm>
          <a:off x="1228090" y="698500"/>
          <a:ext cx="407670" cy="0"/>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xdr:cNvPicPr>
          <a:picLocks noChangeAspect="1"/>
        </xdr:cNvPicPr>
      </xdr:nvPicPr>
      <xdr:blipFill>
        <a:blip r:embed="rId40" cstate="email"/>
        <a:stretch>
          <a:fillRect/>
        </a:stretch>
      </xdr:blipFill>
      <xdr:spPr>
        <a:xfrm>
          <a:off x="1216660" y="698500"/>
          <a:ext cx="419100" cy="0"/>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xdr:cNvPicPr>
          <a:picLocks noChangeAspect="1"/>
        </xdr:cNvPicPr>
      </xdr:nvPicPr>
      <xdr:blipFill>
        <a:blip r:embed="rId41" cstate="email"/>
        <a:stretch>
          <a:fillRect/>
        </a:stretch>
      </xdr:blipFill>
      <xdr:spPr>
        <a:xfrm>
          <a:off x="1057910" y="698500"/>
          <a:ext cx="577850" cy="0"/>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xdr:cNvPicPr>
          <a:picLocks noChangeAspect="1"/>
        </xdr:cNvPicPr>
      </xdr:nvPicPr>
      <xdr:blipFill>
        <a:blip r:embed="rId42" cstate="email"/>
        <a:stretch>
          <a:fillRect/>
        </a:stretch>
      </xdr:blipFill>
      <xdr:spPr>
        <a:xfrm>
          <a:off x="1122680" y="698500"/>
          <a:ext cx="496570" cy="0"/>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xdr:cNvPicPr>
          <a:picLocks noChangeAspect="1"/>
        </xdr:cNvPicPr>
      </xdr:nvPicPr>
      <xdr:blipFill>
        <a:blip r:embed="rId43" cstate="email"/>
        <a:stretch>
          <a:fillRect/>
        </a:stretch>
      </xdr:blipFill>
      <xdr:spPr>
        <a:xfrm>
          <a:off x="1176020" y="698500"/>
          <a:ext cx="459740" cy="0"/>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xdr:cNvPicPr>
          <a:picLocks noChangeAspect="1"/>
        </xdr:cNvPicPr>
      </xdr:nvPicPr>
      <xdr:blipFill>
        <a:blip r:embed="rId44" cstate="email"/>
        <a:stretch>
          <a:fillRect/>
        </a:stretch>
      </xdr:blipFill>
      <xdr:spPr>
        <a:xfrm>
          <a:off x="1085215" y="698500"/>
          <a:ext cx="474980" cy="0"/>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xdr:cNvPicPr>
          <a:picLocks noChangeAspect="1"/>
        </xdr:cNvPicPr>
      </xdr:nvPicPr>
      <xdr:blipFill>
        <a:blip r:embed="rId45" cstate="email"/>
        <a:stretch>
          <a:fillRect/>
        </a:stretch>
      </xdr:blipFill>
      <xdr:spPr>
        <a:xfrm>
          <a:off x="1145540" y="698500"/>
          <a:ext cx="471170" cy="0"/>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xdr:cNvPicPr>
          <a:picLocks noChangeAspect="1"/>
        </xdr:cNvPicPr>
      </xdr:nvPicPr>
      <xdr:blipFill>
        <a:blip r:embed="rId46" cstate="email"/>
        <a:stretch>
          <a:fillRect/>
        </a:stretch>
      </xdr:blipFill>
      <xdr:spPr>
        <a:xfrm>
          <a:off x="1145540" y="698500"/>
          <a:ext cx="464820" cy="0"/>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xdr:cNvPicPr>
          <a:picLocks noChangeAspect="1"/>
        </xdr:cNvPicPr>
      </xdr:nvPicPr>
      <xdr:blipFill>
        <a:blip r:embed="rId47" cstate="email"/>
        <a:stretch>
          <a:fillRect/>
        </a:stretch>
      </xdr:blipFill>
      <xdr:spPr>
        <a:xfrm>
          <a:off x="1114425" y="698500"/>
          <a:ext cx="497205" cy="0"/>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xdr:cNvPicPr>
          <a:picLocks noChangeAspect="1"/>
        </xdr:cNvPicPr>
      </xdr:nvPicPr>
      <xdr:blipFill>
        <a:blip r:embed="rId48" cstate="email"/>
        <a:stretch>
          <a:fillRect/>
        </a:stretch>
      </xdr:blipFill>
      <xdr:spPr>
        <a:xfrm>
          <a:off x="1145540" y="698500"/>
          <a:ext cx="470535" cy="0"/>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xdr:cNvPicPr>
          <a:picLocks noChangeAspect="1"/>
        </xdr:cNvPicPr>
      </xdr:nvPicPr>
      <xdr:blipFill>
        <a:blip r:embed="rId49" cstate="email"/>
        <a:stretch>
          <a:fillRect/>
        </a:stretch>
      </xdr:blipFill>
      <xdr:spPr>
        <a:xfrm>
          <a:off x="1165860" y="698500"/>
          <a:ext cx="454025" cy="0"/>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xdr:cNvPicPr>
          <a:picLocks noChangeAspect="1"/>
        </xdr:cNvPicPr>
      </xdr:nvPicPr>
      <xdr:blipFill>
        <a:blip r:embed="rId50" cstate="email"/>
        <a:stretch>
          <a:fillRect/>
        </a:stretch>
      </xdr:blipFill>
      <xdr:spPr>
        <a:xfrm>
          <a:off x="1125220" y="698500"/>
          <a:ext cx="481330" cy="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xdr:cNvPicPr>
          <a:picLocks noChangeAspect="1"/>
        </xdr:cNvPicPr>
      </xdr:nvPicPr>
      <xdr:blipFill>
        <a:blip r:embed="rId51" cstate="email"/>
        <a:stretch>
          <a:fillRect/>
        </a:stretch>
      </xdr:blipFill>
      <xdr:spPr>
        <a:xfrm>
          <a:off x="1165860" y="698500"/>
          <a:ext cx="449580" cy="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xdr:cNvPicPr>
          <a:picLocks noChangeAspect="1"/>
        </xdr:cNvPicPr>
      </xdr:nvPicPr>
      <xdr:blipFill>
        <a:blip r:embed="rId52" cstate="email"/>
        <a:stretch>
          <a:fillRect/>
        </a:stretch>
      </xdr:blipFill>
      <xdr:spPr>
        <a:xfrm>
          <a:off x="1165860" y="698500"/>
          <a:ext cx="449580" cy="0"/>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xdr:cNvPicPr>
          <a:picLocks noChangeAspect="1"/>
        </xdr:cNvPicPr>
      </xdr:nvPicPr>
      <xdr:blipFill>
        <a:blip r:embed="rId53" cstate="email"/>
        <a:stretch>
          <a:fillRect/>
        </a:stretch>
      </xdr:blipFill>
      <xdr:spPr>
        <a:xfrm>
          <a:off x="1205865" y="698500"/>
          <a:ext cx="417830" cy="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xdr:cNvPicPr>
          <a:picLocks noChangeAspect="1"/>
        </xdr:cNvPicPr>
      </xdr:nvPicPr>
      <xdr:blipFill>
        <a:blip r:embed="rId54" cstate="email"/>
        <a:stretch>
          <a:fillRect/>
        </a:stretch>
      </xdr:blipFill>
      <xdr:spPr>
        <a:xfrm>
          <a:off x="1165860" y="698500"/>
          <a:ext cx="446405" cy="0"/>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xdr:cNvPicPr>
          <a:picLocks noChangeAspect="1"/>
        </xdr:cNvPicPr>
      </xdr:nvPicPr>
      <xdr:blipFill>
        <a:blip r:embed="rId55" cstate="email"/>
        <a:stretch>
          <a:fillRect/>
        </a:stretch>
      </xdr:blipFill>
      <xdr:spPr>
        <a:xfrm>
          <a:off x="1125220" y="698500"/>
          <a:ext cx="483870" cy="0"/>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xdr:cNvPicPr>
          <a:picLocks noChangeAspect="1"/>
        </xdr:cNvPicPr>
      </xdr:nvPicPr>
      <xdr:blipFill>
        <a:blip r:embed="rId55" cstate="email"/>
        <a:stretch>
          <a:fillRect/>
        </a:stretch>
      </xdr:blipFill>
      <xdr:spPr>
        <a:xfrm>
          <a:off x="1125220" y="698500"/>
          <a:ext cx="483870" cy="0"/>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xdr:cNvPicPr>
          <a:picLocks noChangeAspect="1"/>
        </xdr:cNvPicPr>
      </xdr:nvPicPr>
      <xdr:blipFill>
        <a:blip r:embed="rId56" cstate="email"/>
        <a:stretch>
          <a:fillRect/>
        </a:stretch>
      </xdr:blipFill>
      <xdr:spPr>
        <a:xfrm>
          <a:off x="1118235" y="698500"/>
          <a:ext cx="495300" cy="0"/>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xdr:cNvPicPr>
          <a:picLocks noChangeAspect="1"/>
        </xdr:cNvPicPr>
      </xdr:nvPicPr>
      <xdr:blipFill>
        <a:blip r:embed="rId57" cstate="email"/>
        <a:stretch>
          <a:fillRect/>
        </a:stretch>
      </xdr:blipFill>
      <xdr:spPr>
        <a:xfrm>
          <a:off x="1118235" y="698500"/>
          <a:ext cx="495300" cy="0"/>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xdr:cNvPicPr>
          <a:picLocks noChangeAspect="1"/>
        </xdr:cNvPicPr>
      </xdr:nvPicPr>
      <xdr:blipFill>
        <a:blip r:embed="rId58" cstate="email"/>
        <a:stretch>
          <a:fillRect/>
        </a:stretch>
      </xdr:blipFill>
      <xdr:spPr>
        <a:xfrm>
          <a:off x="1092835" y="698500"/>
          <a:ext cx="542925" cy="0"/>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xdr:cNvPicPr>
          <a:picLocks noChangeAspect="1"/>
        </xdr:cNvPicPr>
      </xdr:nvPicPr>
      <xdr:blipFill>
        <a:blip r:embed="rId59" cstate="email"/>
        <a:stretch>
          <a:fillRect/>
        </a:stretch>
      </xdr:blipFill>
      <xdr:spPr>
        <a:xfrm>
          <a:off x="1105535" y="698500"/>
          <a:ext cx="530225" cy="0"/>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xdr:cNvPicPr>
          <a:picLocks noChangeAspect="1"/>
        </xdr:cNvPicPr>
      </xdr:nvPicPr>
      <xdr:blipFill>
        <a:blip r:embed="rId60" cstate="email"/>
        <a:stretch>
          <a:fillRect/>
        </a:stretch>
      </xdr:blipFill>
      <xdr:spPr>
        <a:xfrm>
          <a:off x="1098550" y="698500"/>
          <a:ext cx="537210" cy="0"/>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xdr:cNvPicPr>
          <a:picLocks noChangeAspect="1"/>
        </xdr:cNvPicPr>
      </xdr:nvPicPr>
      <xdr:blipFill>
        <a:blip r:embed="rId61" cstate="email"/>
        <a:stretch>
          <a:fillRect/>
        </a:stretch>
      </xdr:blipFill>
      <xdr:spPr>
        <a:xfrm>
          <a:off x="1155065" y="698500"/>
          <a:ext cx="480695" cy="0"/>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xdr:cNvPicPr>
          <a:picLocks noChangeAspect="1"/>
        </xdr:cNvPicPr>
      </xdr:nvPicPr>
      <xdr:blipFill>
        <a:blip r:embed="rId62" cstate="email"/>
        <a:stretch>
          <a:fillRect/>
        </a:stretch>
      </xdr:blipFill>
      <xdr:spPr>
        <a:xfrm>
          <a:off x="1145540" y="698500"/>
          <a:ext cx="490220" cy="0"/>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xdr:cNvPicPr>
          <a:picLocks noChangeAspect="1"/>
        </xdr:cNvPicPr>
      </xdr:nvPicPr>
      <xdr:blipFill>
        <a:blip r:embed="rId63" cstate="email"/>
        <a:stretch>
          <a:fillRect/>
        </a:stretch>
      </xdr:blipFill>
      <xdr:spPr>
        <a:xfrm>
          <a:off x="1145540" y="698500"/>
          <a:ext cx="490220" cy="0"/>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xdr:cNvPicPr>
          <a:picLocks noChangeAspect="1"/>
        </xdr:cNvPicPr>
      </xdr:nvPicPr>
      <xdr:blipFill>
        <a:blip r:embed="rId64" cstate="email"/>
        <a:stretch>
          <a:fillRect/>
        </a:stretch>
      </xdr:blipFill>
      <xdr:spPr>
        <a:xfrm>
          <a:off x="1145540" y="698500"/>
          <a:ext cx="490220" cy="0"/>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xdr:cNvPicPr>
          <a:picLocks noChangeAspect="1"/>
        </xdr:cNvPicPr>
      </xdr:nvPicPr>
      <xdr:blipFill>
        <a:blip r:embed="rId65" cstate="email"/>
        <a:stretch>
          <a:fillRect/>
        </a:stretch>
      </xdr:blipFill>
      <xdr:spPr>
        <a:xfrm>
          <a:off x="1165860" y="698500"/>
          <a:ext cx="469900" cy="0"/>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xdr:cNvPicPr>
          <a:picLocks noChangeAspect="1"/>
        </xdr:cNvPicPr>
      </xdr:nvPicPr>
      <xdr:blipFill>
        <a:blip r:embed="rId66" cstate="email"/>
        <a:stretch>
          <a:fillRect/>
        </a:stretch>
      </xdr:blipFill>
      <xdr:spPr>
        <a:xfrm>
          <a:off x="1216660" y="698500"/>
          <a:ext cx="419100" cy="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xdr:cNvPicPr>
          <a:picLocks noChangeAspect="1"/>
        </xdr:cNvPicPr>
      </xdr:nvPicPr>
      <xdr:blipFill>
        <a:blip r:embed="rId66" cstate="email"/>
        <a:stretch>
          <a:fillRect/>
        </a:stretch>
      </xdr:blipFill>
      <xdr:spPr>
        <a:xfrm>
          <a:off x="1216660" y="698500"/>
          <a:ext cx="419100" cy="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xdr:cNvPicPr>
          <a:picLocks noChangeAspect="1"/>
        </xdr:cNvPicPr>
      </xdr:nvPicPr>
      <xdr:blipFill>
        <a:blip r:embed="rId67" cstate="email"/>
        <a:stretch>
          <a:fillRect/>
        </a:stretch>
      </xdr:blipFill>
      <xdr:spPr>
        <a:xfrm>
          <a:off x="1216660" y="698500"/>
          <a:ext cx="419100" cy="0"/>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xdr:cNvPicPr>
          <a:picLocks noChangeAspect="1"/>
        </xdr:cNvPicPr>
      </xdr:nvPicPr>
      <xdr:blipFill>
        <a:blip r:embed="rId68" cstate="email"/>
        <a:stretch>
          <a:fillRect/>
        </a:stretch>
      </xdr:blipFill>
      <xdr:spPr>
        <a:xfrm>
          <a:off x="1216660" y="698500"/>
          <a:ext cx="419100" cy="0"/>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xdr:cNvPicPr>
          <a:picLocks noChangeAspect="1"/>
        </xdr:cNvPicPr>
      </xdr:nvPicPr>
      <xdr:blipFill>
        <a:blip r:embed="rId69" cstate="email"/>
        <a:stretch>
          <a:fillRect/>
        </a:stretch>
      </xdr:blipFill>
      <xdr:spPr>
        <a:xfrm>
          <a:off x="1207135" y="698500"/>
          <a:ext cx="428625" cy="0"/>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xdr:cNvPicPr>
          <a:picLocks noChangeAspect="1"/>
        </xdr:cNvPicPr>
      </xdr:nvPicPr>
      <xdr:blipFill>
        <a:blip r:embed="rId70" cstate="email"/>
        <a:stretch>
          <a:fillRect/>
        </a:stretch>
      </xdr:blipFill>
      <xdr:spPr>
        <a:xfrm>
          <a:off x="1216660" y="698500"/>
          <a:ext cx="419100" cy="0"/>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xdr:cNvPicPr>
          <a:picLocks noChangeAspect="1"/>
        </xdr:cNvPicPr>
      </xdr:nvPicPr>
      <xdr:blipFill>
        <a:blip r:embed="rId71" cstate="email"/>
        <a:stretch>
          <a:fillRect/>
        </a:stretch>
      </xdr:blipFill>
      <xdr:spPr>
        <a:xfrm>
          <a:off x="1216660" y="698500"/>
          <a:ext cx="419100" cy="0"/>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xdr:cNvPicPr>
          <a:picLocks noChangeAspect="1"/>
        </xdr:cNvPicPr>
      </xdr:nvPicPr>
      <xdr:blipFill>
        <a:blip r:embed="rId72" cstate="email"/>
        <a:stretch>
          <a:fillRect/>
        </a:stretch>
      </xdr:blipFill>
      <xdr:spPr>
        <a:xfrm>
          <a:off x="1256665" y="698500"/>
          <a:ext cx="379095" cy="0"/>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xdr:cNvPicPr>
          <a:picLocks noChangeAspect="1"/>
        </xdr:cNvPicPr>
      </xdr:nvPicPr>
      <xdr:blipFill>
        <a:blip r:embed="rId72" cstate="email"/>
        <a:stretch>
          <a:fillRect/>
        </a:stretch>
      </xdr:blipFill>
      <xdr:spPr>
        <a:xfrm>
          <a:off x="1256665" y="698500"/>
          <a:ext cx="379095" cy="0"/>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xdr:cNvPicPr>
          <a:picLocks noChangeAspect="1"/>
        </xdr:cNvPicPr>
      </xdr:nvPicPr>
      <xdr:blipFill>
        <a:blip r:embed="rId72" cstate="email"/>
        <a:stretch>
          <a:fillRect/>
        </a:stretch>
      </xdr:blipFill>
      <xdr:spPr>
        <a:xfrm>
          <a:off x="1256665" y="698500"/>
          <a:ext cx="379095" cy="0"/>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xdr:cNvPicPr>
          <a:picLocks noChangeAspect="1"/>
        </xdr:cNvPicPr>
      </xdr:nvPicPr>
      <xdr:blipFill>
        <a:blip r:embed="rId73" cstate="email"/>
        <a:stretch>
          <a:fillRect/>
        </a:stretch>
      </xdr:blipFill>
      <xdr:spPr>
        <a:xfrm>
          <a:off x="1256665" y="698500"/>
          <a:ext cx="379095" cy="0"/>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xdr:cNvPicPr>
          <a:picLocks noChangeAspect="1"/>
        </xdr:cNvPicPr>
      </xdr:nvPicPr>
      <xdr:blipFill>
        <a:blip r:embed="rId73" cstate="email"/>
        <a:stretch>
          <a:fillRect/>
        </a:stretch>
      </xdr:blipFill>
      <xdr:spPr>
        <a:xfrm>
          <a:off x="1256665" y="698500"/>
          <a:ext cx="379095" cy="0"/>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xdr:cNvPicPr>
          <a:picLocks noChangeAspect="1"/>
        </xdr:cNvPicPr>
      </xdr:nvPicPr>
      <xdr:blipFill>
        <a:blip r:embed="rId74" cstate="email"/>
        <a:stretch>
          <a:fillRect/>
        </a:stretch>
      </xdr:blipFill>
      <xdr:spPr>
        <a:xfrm>
          <a:off x="1276985" y="698500"/>
          <a:ext cx="358775" cy="0"/>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xdr:cNvPicPr>
          <a:picLocks noChangeAspect="1"/>
        </xdr:cNvPicPr>
      </xdr:nvPicPr>
      <xdr:blipFill>
        <a:blip r:embed="rId75" cstate="email"/>
        <a:stretch>
          <a:fillRect/>
        </a:stretch>
      </xdr:blipFill>
      <xdr:spPr>
        <a:xfrm>
          <a:off x="1256665" y="698500"/>
          <a:ext cx="379095" cy="0"/>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xdr:cNvPicPr>
          <a:picLocks noChangeAspect="1"/>
        </xdr:cNvPicPr>
      </xdr:nvPicPr>
      <xdr:blipFill>
        <a:blip r:embed="rId75" cstate="email"/>
        <a:stretch>
          <a:fillRect/>
        </a:stretch>
      </xdr:blipFill>
      <xdr:spPr>
        <a:xfrm>
          <a:off x="1256665" y="698500"/>
          <a:ext cx="379095" cy="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xdr:cNvPicPr>
          <a:picLocks noChangeAspect="1"/>
        </xdr:cNvPicPr>
      </xdr:nvPicPr>
      <xdr:blipFill>
        <a:blip r:embed="rId76" cstate="email"/>
        <a:stretch>
          <a:fillRect/>
        </a:stretch>
      </xdr:blipFill>
      <xdr:spPr>
        <a:xfrm>
          <a:off x="1297305" y="698500"/>
          <a:ext cx="338455" cy="0"/>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xdr:cNvPicPr>
          <a:picLocks noChangeAspect="1"/>
        </xdr:cNvPicPr>
      </xdr:nvPicPr>
      <xdr:blipFill>
        <a:blip r:embed="rId76" cstate="email"/>
        <a:stretch>
          <a:fillRect/>
        </a:stretch>
      </xdr:blipFill>
      <xdr:spPr>
        <a:xfrm>
          <a:off x="1297305" y="698500"/>
          <a:ext cx="338455" cy="0"/>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xdr:cNvPicPr>
          <a:picLocks noChangeAspect="1"/>
        </xdr:cNvPicPr>
      </xdr:nvPicPr>
      <xdr:blipFill>
        <a:blip r:embed="rId76" cstate="email"/>
        <a:stretch>
          <a:fillRect/>
        </a:stretch>
      </xdr:blipFill>
      <xdr:spPr>
        <a:xfrm>
          <a:off x="1297305" y="698500"/>
          <a:ext cx="338455" cy="0"/>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xdr:cNvPicPr>
          <a:picLocks noChangeAspect="1"/>
        </xdr:cNvPicPr>
      </xdr:nvPicPr>
      <xdr:blipFill>
        <a:blip r:embed="rId77" cstate="email"/>
        <a:stretch>
          <a:fillRect/>
        </a:stretch>
      </xdr:blipFill>
      <xdr:spPr>
        <a:xfrm>
          <a:off x="1276985" y="698500"/>
          <a:ext cx="358775" cy="0"/>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xdr:cNvPicPr>
          <a:picLocks noChangeAspect="1"/>
        </xdr:cNvPicPr>
      </xdr:nvPicPr>
      <xdr:blipFill>
        <a:blip r:embed="rId77" cstate="email"/>
        <a:stretch>
          <a:fillRect/>
        </a:stretch>
      </xdr:blipFill>
      <xdr:spPr>
        <a:xfrm>
          <a:off x="1276985" y="698500"/>
          <a:ext cx="358775" cy="0"/>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xdr:cNvPicPr>
          <a:picLocks noChangeAspect="1"/>
        </xdr:cNvPicPr>
      </xdr:nvPicPr>
      <xdr:blipFill>
        <a:blip r:embed="rId78" cstate="email"/>
        <a:stretch>
          <a:fillRect/>
        </a:stretch>
      </xdr:blipFill>
      <xdr:spPr>
        <a:xfrm>
          <a:off x="1196340" y="698500"/>
          <a:ext cx="439420" cy="0"/>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xdr:cNvPicPr>
          <a:picLocks noChangeAspect="1"/>
        </xdr:cNvPicPr>
      </xdr:nvPicPr>
      <xdr:blipFill>
        <a:blip r:embed="rId79" cstate="email"/>
        <a:stretch>
          <a:fillRect/>
        </a:stretch>
      </xdr:blipFill>
      <xdr:spPr>
        <a:xfrm>
          <a:off x="1216660" y="698500"/>
          <a:ext cx="419100" cy="0"/>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xdr:cNvPicPr>
          <a:picLocks noChangeAspect="1"/>
        </xdr:cNvPicPr>
      </xdr:nvPicPr>
      <xdr:blipFill>
        <a:blip r:embed="rId80" cstate="email"/>
        <a:stretch>
          <a:fillRect/>
        </a:stretch>
      </xdr:blipFill>
      <xdr:spPr>
        <a:xfrm>
          <a:off x="1196340" y="698500"/>
          <a:ext cx="439420" cy="0"/>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xdr:cNvPicPr>
          <a:picLocks noChangeAspect="1"/>
        </xdr:cNvPicPr>
      </xdr:nvPicPr>
      <xdr:blipFill>
        <a:blip r:embed="rId81" cstate="email"/>
        <a:stretch>
          <a:fillRect/>
        </a:stretch>
      </xdr:blipFill>
      <xdr:spPr>
        <a:xfrm>
          <a:off x="1176020" y="698500"/>
          <a:ext cx="459740" cy="0"/>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xdr:cNvPicPr>
          <a:picLocks noChangeAspect="1"/>
        </xdr:cNvPicPr>
      </xdr:nvPicPr>
      <xdr:blipFill>
        <a:blip r:embed="rId82" cstate="email"/>
        <a:stretch>
          <a:fillRect/>
        </a:stretch>
      </xdr:blipFill>
      <xdr:spPr>
        <a:xfrm>
          <a:off x="1216660" y="698500"/>
          <a:ext cx="419100" cy="0"/>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xdr:cNvPicPr>
          <a:picLocks noChangeAspect="1"/>
        </xdr:cNvPicPr>
      </xdr:nvPicPr>
      <xdr:blipFill>
        <a:blip r:embed="rId83" cstate="email"/>
        <a:stretch>
          <a:fillRect/>
        </a:stretch>
      </xdr:blipFill>
      <xdr:spPr>
        <a:xfrm>
          <a:off x="1228090" y="698500"/>
          <a:ext cx="407670" cy="0"/>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xdr:cNvPicPr>
          <a:picLocks noChangeAspect="1"/>
        </xdr:cNvPicPr>
      </xdr:nvPicPr>
      <xdr:blipFill>
        <a:blip r:embed="rId84" cstate="email"/>
        <a:stretch>
          <a:fillRect/>
        </a:stretch>
      </xdr:blipFill>
      <xdr:spPr>
        <a:xfrm>
          <a:off x="1176020" y="698500"/>
          <a:ext cx="457200" cy="0"/>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xdr:cNvPicPr>
          <a:picLocks noChangeAspect="1"/>
        </xdr:cNvPicPr>
      </xdr:nvPicPr>
      <xdr:blipFill>
        <a:blip r:embed="rId85" cstate="email"/>
        <a:stretch>
          <a:fillRect/>
        </a:stretch>
      </xdr:blipFill>
      <xdr:spPr>
        <a:xfrm>
          <a:off x="1216660" y="698500"/>
          <a:ext cx="419100" cy="0"/>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xdr:cNvPicPr>
          <a:picLocks noChangeAspect="1"/>
        </xdr:cNvPicPr>
      </xdr:nvPicPr>
      <xdr:blipFill>
        <a:blip r:embed="rId86" cstate="email"/>
        <a:stretch>
          <a:fillRect/>
        </a:stretch>
      </xdr:blipFill>
      <xdr:spPr>
        <a:xfrm>
          <a:off x="1216660" y="698500"/>
          <a:ext cx="419100" cy="0"/>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xdr:cNvPicPr>
          <a:picLocks noChangeAspect="1"/>
        </xdr:cNvPicPr>
      </xdr:nvPicPr>
      <xdr:blipFill>
        <a:blip r:embed="rId86" cstate="email"/>
        <a:stretch>
          <a:fillRect/>
        </a:stretch>
      </xdr:blipFill>
      <xdr:spPr>
        <a:xfrm>
          <a:off x="1216660" y="698500"/>
          <a:ext cx="419100" cy="0"/>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xdr:cNvPicPr>
          <a:picLocks noChangeAspect="1"/>
        </xdr:cNvPicPr>
      </xdr:nvPicPr>
      <xdr:blipFill>
        <a:blip r:embed="rId87" cstate="email"/>
        <a:stretch>
          <a:fillRect/>
        </a:stretch>
      </xdr:blipFill>
      <xdr:spPr>
        <a:xfrm>
          <a:off x="1216660" y="698500"/>
          <a:ext cx="419100" cy="0"/>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xdr:cNvPicPr>
          <a:picLocks noChangeAspect="1"/>
        </xdr:cNvPicPr>
      </xdr:nvPicPr>
      <xdr:blipFill>
        <a:blip r:embed="rId88" cstate="email"/>
        <a:stretch>
          <a:fillRect/>
        </a:stretch>
      </xdr:blipFill>
      <xdr:spPr>
        <a:xfrm>
          <a:off x="1216660" y="698500"/>
          <a:ext cx="419100" cy="0"/>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xdr:cNvPicPr>
          <a:picLocks noChangeAspect="1"/>
        </xdr:cNvPicPr>
      </xdr:nvPicPr>
      <xdr:blipFill>
        <a:blip r:embed="rId89"/>
        <a:stretch>
          <a:fillRect/>
        </a:stretch>
      </xdr:blipFill>
      <xdr:spPr>
        <a:xfrm>
          <a:off x="1367790" y="698500"/>
          <a:ext cx="267970" cy="0"/>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xdr:cNvPicPr>
          <a:picLocks noChangeAspect="1"/>
        </xdr:cNvPicPr>
      </xdr:nvPicPr>
      <xdr:blipFill>
        <a:blip r:embed="rId90"/>
        <a:stretch>
          <a:fillRect/>
        </a:stretch>
      </xdr:blipFill>
      <xdr:spPr>
        <a:xfrm>
          <a:off x="1347470" y="698500"/>
          <a:ext cx="288290" cy="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xdr:cNvPicPr>
          <a:picLocks noChangeAspect="1"/>
        </xdr:cNvPicPr>
      </xdr:nvPicPr>
      <xdr:blipFill>
        <a:blip r:embed="rId91" cstate="email"/>
        <a:stretch>
          <a:fillRect/>
        </a:stretch>
      </xdr:blipFill>
      <xdr:spPr>
        <a:xfrm>
          <a:off x="1236980" y="698500"/>
          <a:ext cx="398780" cy="0"/>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xdr:cNvPicPr>
          <a:picLocks noChangeAspect="1"/>
        </xdr:cNvPicPr>
      </xdr:nvPicPr>
      <xdr:blipFill>
        <a:blip r:embed="rId92" cstate="email"/>
        <a:stretch>
          <a:fillRect/>
        </a:stretch>
      </xdr:blipFill>
      <xdr:spPr>
        <a:xfrm>
          <a:off x="1232535" y="698500"/>
          <a:ext cx="403225" cy="0"/>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xdr:cNvPicPr>
          <a:picLocks noChangeAspect="1"/>
        </xdr:cNvPicPr>
      </xdr:nvPicPr>
      <xdr:blipFill>
        <a:blip r:embed="rId93" cstate="email"/>
        <a:stretch>
          <a:fillRect/>
        </a:stretch>
      </xdr:blipFill>
      <xdr:spPr>
        <a:xfrm>
          <a:off x="1236980" y="698500"/>
          <a:ext cx="398780" cy="0"/>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xdr:cNvPicPr>
          <a:picLocks noChangeAspect="1"/>
        </xdr:cNvPicPr>
      </xdr:nvPicPr>
      <xdr:blipFill>
        <a:blip r:embed="rId94" cstate="email"/>
        <a:stretch>
          <a:fillRect/>
        </a:stretch>
      </xdr:blipFill>
      <xdr:spPr>
        <a:xfrm>
          <a:off x="1256665" y="698500"/>
          <a:ext cx="379095" cy="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xdr:cNvPicPr>
          <a:picLocks noChangeAspect="1"/>
        </xdr:cNvPicPr>
      </xdr:nvPicPr>
      <xdr:blipFill>
        <a:blip r:embed="rId95" cstate="email"/>
        <a:stretch>
          <a:fillRect/>
        </a:stretch>
      </xdr:blipFill>
      <xdr:spPr>
        <a:xfrm>
          <a:off x="1216660" y="698500"/>
          <a:ext cx="419100" cy="0"/>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xdr:cNvPicPr>
          <a:picLocks noChangeAspect="1"/>
        </xdr:cNvPicPr>
      </xdr:nvPicPr>
      <xdr:blipFill>
        <a:blip r:embed="rId95" cstate="email"/>
        <a:stretch>
          <a:fillRect/>
        </a:stretch>
      </xdr:blipFill>
      <xdr:spPr>
        <a:xfrm>
          <a:off x="1216660" y="698500"/>
          <a:ext cx="419100" cy="0"/>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xdr:cNvPicPr>
          <a:picLocks noChangeAspect="1"/>
        </xdr:cNvPicPr>
      </xdr:nvPicPr>
      <xdr:blipFill>
        <a:blip r:embed="rId96" cstate="email"/>
        <a:stretch>
          <a:fillRect/>
        </a:stretch>
      </xdr:blipFill>
      <xdr:spPr>
        <a:xfrm>
          <a:off x="1166495" y="698500"/>
          <a:ext cx="466725" cy="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xdr:cNvPicPr>
          <a:picLocks noChangeAspect="1"/>
        </xdr:cNvPicPr>
      </xdr:nvPicPr>
      <xdr:blipFill>
        <a:blip r:embed="rId97" cstate="email"/>
        <a:stretch>
          <a:fillRect/>
        </a:stretch>
      </xdr:blipFill>
      <xdr:spPr>
        <a:xfrm>
          <a:off x="1236980" y="698500"/>
          <a:ext cx="398780" cy="0"/>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xdr:cNvPicPr>
          <a:picLocks noChangeAspect="1"/>
        </xdr:cNvPicPr>
      </xdr:nvPicPr>
      <xdr:blipFill>
        <a:blip r:embed="rId97" cstate="email"/>
        <a:stretch>
          <a:fillRect/>
        </a:stretch>
      </xdr:blipFill>
      <xdr:spPr>
        <a:xfrm>
          <a:off x="1236980" y="698500"/>
          <a:ext cx="398780" cy="0"/>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xdr:cNvPicPr>
          <a:picLocks noChangeAspect="1"/>
        </xdr:cNvPicPr>
      </xdr:nvPicPr>
      <xdr:blipFill>
        <a:blip r:embed="rId98" cstate="email"/>
        <a:stretch>
          <a:fillRect/>
        </a:stretch>
      </xdr:blipFill>
      <xdr:spPr>
        <a:xfrm>
          <a:off x="1256665" y="698500"/>
          <a:ext cx="379095" cy="0"/>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xdr:cNvPicPr>
          <a:picLocks noChangeAspect="1"/>
        </xdr:cNvPicPr>
      </xdr:nvPicPr>
      <xdr:blipFill>
        <a:blip r:embed="rId99" cstate="email"/>
        <a:stretch>
          <a:fillRect/>
        </a:stretch>
      </xdr:blipFill>
      <xdr:spPr>
        <a:xfrm>
          <a:off x="1236980" y="698500"/>
          <a:ext cx="398780" cy="0"/>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xdr:cNvPicPr>
          <a:picLocks noChangeAspect="1"/>
        </xdr:cNvPicPr>
      </xdr:nvPicPr>
      <xdr:blipFill>
        <a:blip r:embed="rId100" cstate="email"/>
        <a:stretch>
          <a:fillRect/>
        </a:stretch>
      </xdr:blipFill>
      <xdr:spPr>
        <a:xfrm>
          <a:off x="1236980" y="698500"/>
          <a:ext cx="398780" cy="0"/>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xdr:cNvPicPr>
          <a:picLocks noChangeAspect="1"/>
        </xdr:cNvPicPr>
      </xdr:nvPicPr>
      <xdr:blipFill>
        <a:blip r:embed="rId100" cstate="email"/>
        <a:stretch>
          <a:fillRect/>
        </a:stretch>
      </xdr:blipFill>
      <xdr:spPr>
        <a:xfrm>
          <a:off x="1236980" y="698500"/>
          <a:ext cx="398780" cy="0"/>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xdr:cNvPicPr>
          <a:picLocks noChangeAspect="1"/>
        </xdr:cNvPicPr>
      </xdr:nvPicPr>
      <xdr:blipFill>
        <a:blip r:embed="rId101" cstate="email"/>
        <a:stretch>
          <a:fillRect/>
        </a:stretch>
      </xdr:blipFill>
      <xdr:spPr>
        <a:xfrm>
          <a:off x="1216660" y="698500"/>
          <a:ext cx="419100" cy="0"/>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xdr:cNvPicPr>
          <a:picLocks noChangeAspect="1"/>
        </xdr:cNvPicPr>
      </xdr:nvPicPr>
      <xdr:blipFill>
        <a:blip r:embed="rId102" cstate="email"/>
        <a:stretch>
          <a:fillRect/>
        </a:stretch>
      </xdr:blipFill>
      <xdr:spPr>
        <a:xfrm>
          <a:off x="1236980" y="698500"/>
          <a:ext cx="398780" cy="0"/>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xdr:cNvPicPr>
          <a:picLocks noChangeAspect="1"/>
        </xdr:cNvPicPr>
      </xdr:nvPicPr>
      <xdr:blipFill>
        <a:blip r:embed="rId102" cstate="email"/>
        <a:stretch>
          <a:fillRect/>
        </a:stretch>
      </xdr:blipFill>
      <xdr:spPr>
        <a:xfrm>
          <a:off x="1236980" y="698500"/>
          <a:ext cx="398780" cy="0"/>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xdr:cNvPicPr>
          <a:picLocks noChangeAspect="1"/>
        </xdr:cNvPicPr>
      </xdr:nvPicPr>
      <xdr:blipFill>
        <a:blip r:embed="rId103" cstate="email"/>
        <a:stretch>
          <a:fillRect/>
        </a:stretch>
      </xdr:blipFill>
      <xdr:spPr>
        <a:xfrm>
          <a:off x="1256665" y="698500"/>
          <a:ext cx="379095" cy="0"/>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xdr:cNvPicPr>
          <a:picLocks noChangeAspect="1"/>
        </xdr:cNvPicPr>
      </xdr:nvPicPr>
      <xdr:blipFill>
        <a:blip r:embed="rId103" cstate="email"/>
        <a:stretch>
          <a:fillRect/>
        </a:stretch>
      </xdr:blipFill>
      <xdr:spPr>
        <a:xfrm>
          <a:off x="1256665" y="698500"/>
          <a:ext cx="379095" cy="0"/>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xdr:cNvPicPr>
          <a:picLocks noChangeAspect="1"/>
        </xdr:cNvPicPr>
      </xdr:nvPicPr>
      <xdr:blipFill>
        <a:blip r:embed="rId104" cstate="email"/>
        <a:stretch>
          <a:fillRect/>
        </a:stretch>
      </xdr:blipFill>
      <xdr:spPr>
        <a:xfrm>
          <a:off x="1236980" y="698500"/>
          <a:ext cx="398780" cy="0"/>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xdr:cNvPicPr>
          <a:picLocks noChangeAspect="1"/>
        </xdr:cNvPicPr>
      </xdr:nvPicPr>
      <xdr:blipFill>
        <a:blip r:embed="rId105" cstate="email"/>
        <a:stretch>
          <a:fillRect/>
        </a:stretch>
      </xdr:blipFill>
      <xdr:spPr>
        <a:xfrm>
          <a:off x="1228090" y="698500"/>
          <a:ext cx="407670" cy="0"/>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xdr:cNvPicPr>
          <a:picLocks noChangeAspect="1"/>
        </xdr:cNvPicPr>
      </xdr:nvPicPr>
      <xdr:blipFill>
        <a:blip r:embed="rId106" cstate="email"/>
        <a:stretch>
          <a:fillRect/>
        </a:stretch>
      </xdr:blipFill>
      <xdr:spPr>
        <a:xfrm>
          <a:off x="1236980" y="698500"/>
          <a:ext cx="398780" cy="0"/>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xdr:cNvPicPr>
          <a:picLocks noChangeAspect="1"/>
        </xdr:cNvPicPr>
      </xdr:nvPicPr>
      <xdr:blipFill>
        <a:blip r:embed="rId107" cstate="email"/>
        <a:stretch>
          <a:fillRect/>
        </a:stretch>
      </xdr:blipFill>
      <xdr:spPr>
        <a:xfrm>
          <a:off x="1276985" y="698500"/>
          <a:ext cx="358775" cy="0"/>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xdr:cNvPicPr>
          <a:picLocks noChangeAspect="1"/>
        </xdr:cNvPicPr>
      </xdr:nvPicPr>
      <xdr:blipFill>
        <a:blip r:embed="rId108" cstate="email"/>
        <a:stretch>
          <a:fillRect/>
        </a:stretch>
      </xdr:blipFill>
      <xdr:spPr>
        <a:xfrm>
          <a:off x="1236345" y="698500"/>
          <a:ext cx="399415" cy="0"/>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xdr:cNvPicPr>
          <a:picLocks noChangeAspect="1"/>
        </xdr:cNvPicPr>
      </xdr:nvPicPr>
      <xdr:blipFill>
        <a:blip r:embed="rId109" cstate="email"/>
        <a:stretch>
          <a:fillRect/>
        </a:stretch>
      </xdr:blipFill>
      <xdr:spPr>
        <a:xfrm>
          <a:off x="1256665" y="698500"/>
          <a:ext cx="379095" cy="0"/>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xdr:cNvPicPr>
          <a:picLocks noChangeAspect="1"/>
        </xdr:cNvPicPr>
      </xdr:nvPicPr>
      <xdr:blipFill>
        <a:blip r:embed="rId110" cstate="email"/>
        <a:stretch>
          <a:fillRect/>
        </a:stretch>
      </xdr:blipFill>
      <xdr:spPr>
        <a:xfrm>
          <a:off x="1216660" y="698500"/>
          <a:ext cx="419100" cy="0"/>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xdr:cNvPicPr>
          <a:picLocks noChangeAspect="1"/>
        </xdr:cNvPicPr>
      </xdr:nvPicPr>
      <xdr:blipFill>
        <a:blip r:embed="rId110" cstate="email"/>
        <a:stretch>
          <a:fillRect/>
        </a:stretch>
      </xdr:blipFill>
      <xdr:spPr>
        <a:xfrm>
          <a:off x="1216660" y="698500"/>
          <a:ext cx="419100" cy="0"/>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xdr:cNvPicPr>
          <a:picLocks noChangeAspect="1"/>
        </xdr:cNvPicPr>
      </xdr:nvPicPr>
      <xdr:blipFill>
        <a:blip r:embed="rId111" cstate="email"/>
        <a:stretch>
          <a:fillRect/>
        </a:stretch>
      </xdr:blipFill>
      <xdr:spPr>
        <a:xfrm>
          <a:off x="1236980" y="698500"/>
          <a:ext cx="398780" cy="0"/>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xdr:cNvPicPr>
          <a:picLocks noChangeAspect="1"/>
        </xdr:cNvPicPr>
      </xdr:nvPicPr>
      <xdr:blipFill>
        <a:blip r:embed="rId112" cstate="email"/>
        <a:stretch>
          <a:fillRect/>
        </a:stretch>
      </xdr:blipFill>
      <xdr:spPr>
        <a:xfrm>
          <a:off x="1216660" y="698500"/>
          <a:ext cx="419100" cy="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xdr:cNvPicPr>
          <a:picLocks noChangeAspect="1"/>
        </xdr:cNvPicPr>
      </xdr:nvPicPr>
      <xdr:blipFill>
        <a:blip r:embed="rId113" cstate="email"/>
        <a:stretch>
          <a:fillRect/>
        </a:stretch>
      </xdr:blipFill>
      <xdr:spPr>
        <a:xfrm>
          <a:off x="1256665" y="698500"/>
          <a:ext cx="379095" cy="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xdr:cNvPicPr>
          <a:picLocks noChangeAspect="1"/>
        </xdr:cNvPicPr>
      </xdr:nvPicPr>
      <xdr:blipFill>
        <a:blip r:embed="rId114" cstate="email"/>
        <a:stretch>
          <a:fillRect/>
        </a:stretch>
      </xdr:blipFill>
      <xdr:spPr>
        <a:xfrm>
          <a:off x="1297305" y="698500"/>
          <a:ext cx="338455" cy="0"/>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xdr:cNvPicPr>
          <a:picLocks noChangeAspect="1"/>
        </xdr:cNvPicPr>
      </xdr:nvPicPr>
      <xdr:blipFill>
        <a:blip r:embed="rId114" cstate="email"/>
        <a:stretch>
          <a:fillRect/>
        </a:stretch>
      </xdr:blipFill>
      <xdr:spPr>
        <a:xfrm>
          <a:off x="1297305" y="698500"/>
          <a:ext cx="338455" cy="0"/>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xdr:cNvPicPr>
          <a:picLocks noChangeAspect="1"/>
        </xdr:cNvPicPr>
      </xdr:nvPicPr>
      <xdr:blipFill>
        <a:blip r:embed="rId114" cstate="email"/>
        <a:stretch>
          <a:fillRect/>
        </a:stretch>
      </xdr:blipFill>
      <xdr:spPr>
        <a:xfrm>
          <a:off x="1297305" y="698500"/>
          <a:ext cx="338455" cy="0"/>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xdr:cNvPicPr>
          <a:picLocks noChangeAspect="1"/>
        </xdr:cNvPicPr>
      </xdr:nvPicPr>
      <xdr:blipFill>
        <a:blip r:embed="rId115" cstate="email"/>
        <a:stretch>
          <a:fillRect/>
        </a:stretch>
      </xdr:blipFill>
      <xdr:spPr>
        <a:xfrm>
          <a:off x="1256665" y="698500"/>
          <a:ext cx="379095" cy="0"/>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xdr:cNvPicPr>
          <a:picLocks noChangeAspect="1"/>
        </xdr:cNvPicPr>
      </xdr:nvPicPr>
      <xdr:blipFill>
        <a:blip r:embed="rId115" cstate="email"/>
        <a:stretch>
          <a:fillRect/>
        </a:stretch>
      </xdr:blipFill>
      <xdr:spPr>
        <a:xfrm>
          <a:off x="1256665" y="698500"/>
          <a:ext cx="379095" cy="0"/>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xdr:cNvPicPr>
          <a:picLocks noChangeAspect="1"/>
        </xdr:cNvPicPr>
      </xdr:nvPicPr>
      <xdr:blipFill>
        <a:blip r:embed="rId116" cstate="email"/>
        <a:stretch>
          <a:fillRect/>
        </a:stretch>
      </xdr:blipFill>
      <xdr:spPr>
        <a:xfrm>
          <a:off x="1224280" y="698500"/>
          <a:ext cx="405130" cy="0"/>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xdr:cNvPicPr>
          <a:picLocks noChangeAspect="1"/>
        </xdr:cNvPicPr>
      </xdr:nvPicPr>
      <xdr:blipFill>
        <a:blip r:embed="rId117" cstate="email"/>
        <a:stretch>
          <a:fillRect/>
        </a:stretch>
      </xdr:blipFill>
      <xdr:spPr>
        <a:xfrm>
          <a:off x="1276985" y="698500"/>
          <a:ext cx="358775" cy="0"/>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xdr:cNvPicPr>
          <a:picLocks noChangeAspect="1"/>
        </xdr:cNvPicPr>
      </xdr:nvPicPr>
      <xdr:blipFill>
        <a:blip r:embed="rId118" cstate="email"/>
        <a:stretch>
          <a:fillRect/>
        </a:stretch>
      </xdr:blipFill>
      <xdr:spPr>
        <a:xfrm>
          <a:off x="1276985" y="698500"/>
          <a:ext cx="358775" cy="0"/>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xdr:cNvPicPr>
          <a:picLocks noChangeAspect="1"/>
        </xdr:cNvPicPr>
      </xdr:nvPicPr>
      <xdr:blipFill>
        <a:blip r:embed="rId119" cstate="email"/>
        <a:stretch>
          <a:fillRect/>
        </a:stretch>
      </xdr:blipFill>
      <xdr:spPr>
        <a:xfrm>
          <a:off x="1276985" y="698500"/>
          <a:ext cx="358775" cy="0"/>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xdr:cNvPicPr>
          <a:picLocks noChangeAspect="1"/>
        </xdr:cNvPicPr>
      </xdr:nvPicPr>
      <xdr:blipFill>
        <a:blip r:embed="rId120" cstate="email"/>
        <a:stretch>
          <a:fillRect/>
        </a:stretch>
      </xdr:blipFill>
      <xdr:spPr>
        <a:xfrm>
          <a:off x="1276985" y="698500"/>
          <a:ext cx="358775" cy="0"/>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xdr:cNvPicPr>
          <a:picLocks noChangeAspect="1"/>
        </xdr:cNvPicPr>
      </xdr:nvPicPr>
      <xdr:blipFill>
        <a:blip r:embed="rId121" cstate="email"/>
        <a:stretch>
          <a:fillRect/>
        </a:stretch>
      </xdr:blipFill>
      <xdr:spPr>
        <a:xfrm>
          <a:off x="1256665" y="698500"/>
          <a:ext cx="379095" cy="0"/>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xdr:cNvPicPr>
          <a:picLocks noChangeAspect="1"/>
        </xdr:cNvPicPr>
      </xdr:nvPicPr>
      <xdr:blipFill>
        <a:blip r:embed="rId122" cstate="email"/>
        <a:stretch>
          <a:fillRect/>
        </a:stretch>
      </xdr:blipFill>
      <xdr:spPr>
        <a:xfrm>
          <a:off x="1276985" y="698500"/>
          <a:ext cx="358775" cy="0"/>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xdr:cNvPicPr>
          <a:picLocks noChangeAspect="1"/>
        </xdr:cNvPicPr>
      </xdr:nvPicPr>
      <xdr:blipFill>
        <a:blip r:embed="rId123" cstate="email"/>
        <a:stretch>
          <a:fillRect/>
        </a:stretch>
      </xdr:blipFill>
      <xdr:spPr>
        <a:xfrm>
          <a:off x="1297305" y="698500"/>
          <a:ext cx="338455" cy="0"/>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xdr:cNvPicPr>
          <a:picLocks noChangeAspect="1"/>
        </xdr:cNvPicPr>
      </xdr:nvPicPr>
      <xdr:blipFill>
        <a:blip r:embed="rId124" cstate="email"/>
        <a:stretch>
          <a:fillRect/>
        </a:stretch>
      </xdr:blipFill>
      <xdr:spPr>
        <a:xfrm>
          <a:off x="1297305" y="698500"/>
          <a:ext cx="338455" cy="0"/>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xdr:cNvPicPr>
          <a:picLocks noChangeAspect="1" noChangeArrowheads="1"/>
        </xdr:cNvPicPr>
      </xdr:nvPicPr>
      <xdr:blipFill>
        <a:blip r:embed="rId125"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xdr:cNvPicPr>
          <a:picLocks noChangeAspect="1" noChangeArrowheads="1"/>
        </xdr:cNvPicPr>
      </xdr:nvPicPr>
      <xdr:blipFill>
        <a:blip r:embed="rId126"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xdr:cNvPicPr>
          <a:picLocks noChangeAspect="1" noChangeArrowheads="1"/>
        </xdr:cNvPicPr>
      </xdr:nvPicPr>
      <xdr:blipFill>
        <a:blip r:embed="rId127"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xdr:cNvPicPr>
          <a:picLocks noChangeAspect="1" noChangeArrowheads="1"/>
        </xdr:cNvPicPr>
      </xdr:nvPicPr>
      <xdr:blipFill>
        <a:blip r:embed="rId128"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xdr:cNvPicPr>
          <a:picLocks noChangeAspect="1" noChangeArrowheads="1"/>
        </xdr:cNvPicPr>
      </xdr:nvPicPr>
      <xdr:blipFill>
        <a:blip r:embed="rId128"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xdr:cNvPicPr>
          <a:picLocks noChangeAspect="1" noChangeArrowheads="1"/>
        </xdr:cNvPicPr>
      </xdr:nvPicPr>
      <xdr:blipFill>
        <a:blip r:embed="rId129"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xdr:cNvPicPr>
          <a:picLocks noChangeAspect="1" noChangeArrowheads="1"/>
        </xdr:cNvPicPr>
      </xdr:nvPicPr>
      <xdr:blipFill>
        <a:blip r:embed="rId129"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xdr:cNvPicPr>
          <a:picLocks noChangeAspect="1" noChangeArrowheads="1"/>
        </xdr:cNvPicPr>
      </xdr:nvPicPr>
      <xdr:blipFill>
        <a:blip r:embed="rId130"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xdr:cNvPicPr>
          <a:picLocks noChangeAspect="1" noChangeArrowheads="1"/>
        </xdr:cNvPicPr>
      </xdr:nvPicPr>
      <xdr:blipFill>
        <a:blip r:embed="rId131"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xdr:cNvPicPr>
          <a:picLocks noChangeAspect="1" noChangeArrowheads="1"/>
        </xdr:cNvPicPr>
      </xdr:nvPicPr>
      <xdr:blipFill>
        <a:blip r:embed="rId131"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xdr:cNvPicPr>
          <a:picLocks noChangeAspect="1" noChangeArrowheads="1"/>
        </xdr:cNvPicPr>
      </xdr:nvPicPr>
      <xdr:blipFill>
        <a:blip r:embed="rId132" cstate="print"/>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xdr:cNvPicPr>
          <a:picLocks noChangeAspect="1" noChangeArrowheads="1"/>
        </xdr:cNvPicPr>
      </xdr:nvPicPr>
      <xdr:blipFill>
        <a:blip r:embed="rId133" cstate="print"/>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xdr:cNvPicPr>
          <a:picLocks noChangeAspect="1" noChangeArrowheads="1"/>
        </xdr:cNvPicPr>
      </xdr:nvPicPr>
      <xdr:blipFill>
        <a:blip r:embed="rId134" cstate="print"/>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xdr:cNvPicPr>
          <a:picLocks noChangeAspect="1" noChangeArrowheads="1"/>
        </xdr:cNvPicPr>
      </xdr:nvPicPr>
      <xdr:blipFill>
        <a:blip r:embed="rId135" cstate="print"/>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xdr:cNvPicPr>
          <a:picLocks noChangeAspect="1" noChangeArrowheads="1"/>
        </xdr:cNvPicPr>
      </xdr:nvPicPr>
      <xdr:blipFill>
        <a:blip r:embed="rId136" cstate="print"/>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xdr:cNvPicPr>
          <a:picLocks noChangeAspect="1" noChangeArrowheads="1"/>
        </xdr:cNvPicPr>
      </xdr:nvPicPr>
      <xdr:blipFill>
        <a:blip r:embed="rId137" cstate="print"/>
        <a:srcRect/>
        <a:stretch>
          <a:fillRect/>
        </a:stretch>
      </xdr:blipFill>
      <xdr:spPr>
        <a:xfrm flipH="1">
          <a:off x="1525270" y="698500"/>
          <a:ext cx="11049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xdr:cNvPicPr>
          <a:picLocks noChangeAspect="1" noChangeArrowheads="1"/>
        </xdr:cNvPicPr>
      </xdr:nvPicPr>
      <xdr:blipFill>
        <a:blip r:embed="rId138" cstate="print"/>
        <a:srcRect/>
        <a:stretch>
          <a:fillRect/>
        </a:stretch>
      </xdr:blipFill>
      <xdr:spPr>
        <a:xfrm>
          <a:off x="1329055" y="698500"/>
          <a:ext cx="30670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xdr:cNvPicPr>
          <a:picLocks noChangeAspect="1" noChangeArrowheads="1"/>
        </xdr:cNvPicPr>
      </xdr:nvPicPr>
      <xdr:blipFill>
        <a:blip r:embed="rId139" cstate="print"/>
        <a:srcRect/>
        <a:stretch>
          <a:fillRect/>
        </a:stretch>
      </xdr:blipFill>
      <xdr:spPr>
        <a:xfrm>
          <a:off x="1233805" y="698500"/>
          <a:ext cx="4019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xdr:cNvPicPr>
          <a:picLocks noChangeAspect="1" noChangeArrowheads="1"/>
        </xdr:cNvPicPr>
      </xdr:nvPicPr>
      <xdr:blipFill>
        <a:blip r:embed="rId140"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xdr:cNvPicPr>
          <a:picLocks noChangeAspect="1" noChangeArrowheads="1"/>
        </xdr:cNvPicPr>
      </xdr:nvPicPr>
      <xdr:blipFill>
        <a:blip r:embed="rId141"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xdr:cNvPicPr>
          <a:picLocks noChangeAspect="1" noChangeArrowheads="1"/>
        </xdr:cNvPicPr>
      </xdr:nvPicPr>
      <xdr:blipFill>
        <a:blip r:embed="rId142" cstate="print"/>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xdr:cNvPicPr>
          <a:picLocks noChangeAspect="1" noChangeArrowheads="1"/>
        </xdr:cNvPicPr>
      </xdr:nvPicPr>
      <xdr:blipFill>
        <a:blip r:embed="rId143"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xdr:cNvPicPr>
          <a:picLocks noChangeAspect="1" noChangeArrowheads="1"/>
        </xdr:cNvPicPr>
      </xdr:nvPicPr>
      <xdr:blipFill>
        <a:blip r:embed="rId144" cstate="print"/>
        <a:srcRect/>
        <a:stretch>
          <a:fillRect/>
        </a:stretch>
      </xdr:blipFill>
      <xdr:spPr>
        <a:xfrm>
          <a:off x="1233805" y="698500"/>
          <a:ext cx="4019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xdr:cNvPicPr>
          <a:picLocks noChangeAspect="1" noChangeArrowheads="1"/>
        </xdr:cNvPicPr>
      </xdr:nvPicPr>
      <xdr:blipFill>
        <a:blip r:embed="rId145" cstate="print"/>
        <a:srcRect/>
        <a:stretch>
          <a:fillRect/>
        </a:stretch>
      </xdr:blipFill>
      <xdr:spPr>
        <a:xfrm>
          <a:off x="1233805" y="698500"/>
          <a:ext cx="4019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xdr:cNvPicPr>
          <a:picLocks noChangeAspect="1" noChangeArrowheads="1"/>
        </xdr:cNvPicPr>
      </xdr:nvPicPr>
      <xdr:blipFill>
        <a:blip r:embed="rId146" cstate="email"/>
        <a:srcRect/>
        <a:stretch>
          <a:fillRect/>
        </a:stretch>
      </xdr:blipFill>
      <xdr:spPr>
        <a:xfrm>
          <a:off x="1233805" y="698500"/>
          <a:ext cx="4019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xdr:cNvPicPr>
          <a:picLocks noChangeAspect="1" noChangeArrowheads="1"/>
        </xdr:cNvPicPr>
      </xdr:nvPicPr>
      <xdr:blipFill>
        <a:blip r:embed="rId147" cstate="email"/>
        <a:srcRect/>
        <a:stretch>
          <a:fillRect/>
        </a:stretch>
      </xdr:blipFill>
      <xdr:spPr>
        <a:xfrm>
          <a:off x="1233805" y="698500"/>
          <a:ext cx="4019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xdr:cNvPicPr>
          <a:picLocks noChangeAspect="1" noChangeArrowheads="1"/>
        </xdr:cNvPicPr>
      </xdr:nvPicPr>
      <xdr:blipFill>
        <a:blip r:embed="rId147" cstate="email"/>
        <a:srcRect/>
        <a:stretch>
          <a:fillRect/>
        </a:stretch>
      </xdr:blipFill>
      <xdr:spPr>
        <a:xfrm>
          <a:off x="1233805" y="698500"/>
          <a:ext cx="4019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xdr:cNvPicPr>
          <a:picLocks noChangeAspect="1" noChangeArrowheads="1"/>
        </xdr:cNvPicPr>
      </xdr:nvPicPr>
      <xdr:blipFill>
        <a:blip r:embed="rId148" cstate="email"/>
        <a:srcRect/>
        <a:stretch>
          <a:fillRect/>
        </a:stretch>
      </xdr:blipFill>
      <xdr:spPr>
        <a:xfrm>
          <a:off x="1233805" y="698500"/>
          <a:ext cx="4019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xdr:cNvPicPr>
          <a:picLocks noChangeAspect="1" noChangeArrowheads="1"/>
        </xdr:cNvPicPr>
      </xdr:nvPicPr>
      <xdr:blipFill>
        <a:blip r:embed="rId149" cstate="email"/>
        <a:srcRect/>
        <a:stretch>
          <a:fillRect/>
        </a:stretch>
      </xdr:blipFill>
      <xdr:spPr>
        <a:xfrm>
          <a:off x="1325880" y="698500"/>
          <a:ext cx="3098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xdr:cNvPicPr>
          <a:picLocks noChangeAspect="1" noChangeArrowheads="1"/>
        </xdr:cNvPicPr>
      </xdr:nvPicPr>
      <xdr:blipFill>
        <a:blip r:embed="rId150" cstate="email"/>
        <a:srcRect/>
        <a:stretch>
          <a:fillRect/>
        </a:stretch>
      </xdr:blipFill>
      <xdr:spPr>
        <a:xfrm>
          <a:off x="1259205" y="698500"/>
          <a:ext cx="3765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xdr:cNvPicPr>
          <a:picLocks noChangeAspect="1" noChangeArrowheads="1"/>
        </xdr:cNvPicPr>
      </xdr:nvPicPr>
      <xdr:blipFill>
        <a:blip r:embed="rId151" cstate="email"/>
        <a:srcRect/>
        <a:stretch>
          <a:fillRect/>
        </a:stretch>
      </xdr:blipFill>
      <xdr:spPr>
        <a:xfrm>
          <a:off x="1271905" y="698500"/>
          <a:ext cx="3638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xdr:cNvPicPr>
          <a:picLocks noChangeAspect="1" noChangeArrowheads="1"/>
        </xdr:cNvPicPr>
      </xdr:nvPicPr>
      <xdr:blipFill>
        <a:blip r:embed="rId152" cstate="print"/>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xdr:cNvPicPr>
          <a:picLocks noChangeAspect="1" noChangeArrowheads="1"/>
        </xdr:cNvPicPr>
      </xdr:nvPicPr>
      <xdr:blipFill>
        <a:blip r:embed="rId153"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xdr:cNvPicPr>
          <a:picLocks noChangeAspect="1" noChangeArrowheads="1"/>
        </xdr:cNvPicPr>
      </xdr:nvPicPr>
      <xdr:blipFill>
        <a:blip r:embed="rId153"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xdr:cNvPicPr>
          <a:picLocks noChangeAspect="1" noChangeArrowheads="1"/>
        </xdr:cNvPicPr>
      </xdr:nvPicPr>
      <xdr:blipFill>
        <a:blip r:embed="rId154"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xdr:cNvPicPr>
          <a:picLocks noChangeAspect="1" noChangeArrowheads="1"/>
        </xdr:cNvPicPr>
      </xdr:nvPicPr>
      <xdr:blipFill>
        <a:blip r:embed="rId154"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xdr:cNvPicPr>
          <a:picLocks noChangeAspect="1" noChangeArrowheads="1"/>
        </xdr:cNvPicPr>
      </xdr:nvPicPr>
      <xdr:blipFill>
        <a:blip r:embed="rId155"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xdr:cNvPicPr>
          <a:picLocks noChangeAspect="1" noChangeArrowheads="1"/>
        </xdr:cNvPicPr>
      </xdr:nvPicPr>
      <xdr:blipFill>
        <a:blip r:embed="rId156"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xdr:cNvPicPr>
          <a:picLocks noChangeAspect="1" noChangeArrowheads="1"/>
        </xdr:cNvPicPr>
      </xdr:nvPicPr>
      <xdr:blipFill>
        <a:blip r:embed="rId157" cstate="print"/>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xdr:cNvPicPr>
          <a:picLocks noChangeAspect="1" noChangeArrowheads="1"/>
        </xdr:cNvPicPr>
      </xdr:nvPicPr>
      <xdr:blipFill>
        <a:blip r:embed="rId158"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xdr:cNvPicPr>
          <a:picLocks noChangeAspect="1" noChangeArrowheads="1"/>
        </xdr:cNvPicPr>
      </xdr:nvPicPr>
      <xdr:blipFill>
        <a:blip r:embed="rId159"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xdr:cNvPicPr>
          <a:picLocks noChangeAspect="1" noChangeArrowheads="1"/>
        </xdr:cNvPicPr>
      </xdr:nvPicPr>
      <xdr:blipFill>
        <a:blip r:embed="rId159"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xdr:cNvPicPr>
          <a:picLocks noChangeAspect="1" noChangeArrowheads="1"/>
        </xdr:cNvPicPr>
      </xdr:nvPicPr>
      <xdr:blipFill>
        <a:blip r:embed="rId160"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xdr:cNvPicPr>
          <a:picLocks noChangeAspect="1" noChangeArrowheads="1"/>
        </xdr:cNvPicPr>
      </xdr:nvPicPr>
      <xdr:blipFill>
        <a:blip r:embed="rId161"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xdr:cNvPicPr>
          <a:picLocks noChangeAspect="1" noChangeArrowheads="1"/>
        </xdr:cNvPicPr>
      </xdr:nvPicPr>
      <xdr:blipFill>
        <a:blip r:embed="rId162"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xdr:cNvPicPr>
          <a:picLocks noChangeAspect="1" noChangeArrowheads="1"/>
        </xdr:cNvPicPr>
      </xdr:nvPicPr>
      <xdr:blipFill>
        <a:blip r:embed="rId163"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xdr:cNvPicPr>
          <a:picLocks noChangeAspect="1" noChangeArrowheads="1"/>
        </xdr:cNvPicPr>
      </xdr:nvPicPr>
      <xdr:blipFill>
        <a:blip r:embed="rId163"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xdr:cNvPicPr>
          <a:picLocks noChangeAspect="1" noChangeArrowheads="1"/>
        </xdr:cNvPicPr>
      </xdr:nvPicPr>
      <xdr:blipFill>
        <a:blip r:embed="rId159"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xdr:cNvPicPr>
          <a:picLocks noChangeAspect="1" noChangeArrowheads="1"/>
        </xdr:cNvPicPr>
      </xdr:nvPicPr>
      <xdr:blipFill>
        <a:blip r:embed="rId164"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xdr:cNvPicPr>
          <a:picLocks noChangeAspect="1" noChangeArrowheads="1"/>
        </xdr:cNvPicPr>
      </xdr:nvPicPr>
      <xdr:blipFill>
        <a:blip r:embed="rId165" cstate="print"/>
        <a:srcRect/>
        <a:stretch>
          <a:fillRect/>
        </a:stretch>
      </xdr:blipFill>
      <xdr:spPr>
        <a:xfrm>
          <a:off x="1348105" y="698500"/>
          <a:ext cx="2876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xdr:cNvPicPr>
          <a:picLocks noChangeAspect="1" noChangeArrowheads="1"/>
        </xdr:cNvPicPr>
      </xdr:nvPicPr>
      <xdr:blipFill>
        <a:blip r:embed="rId166"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xdr:cNvPicPr>
          <a:picLocks noChangeAspect="1" noChangeArrowheads="1"/>
        </xdr:cNvPicPr>
      </xdr:nvPicPr>
      <xdr:blipFill>
        <a:blip r:embed="rId167" cstate="print">
          <a:extLst>
            <a:ext uri="{28A0092B-C50C-407E-A947-70E740481C1C}">
              <a14:useLocalDpi xmlns:a14="http://schemas.microsoft.com/office/drawing/2010/main" val="0"/>
            </a:ext>
          </a:extLst>
        </a:blip>
        <a:srcRect/>
        <a:stretch>
          <a:fillRect/>
        </a:stretch>
      </xdr:blipFill>
      <xdr:spPr>
        <a:xfrm>
          <a:off x="944880" y="698500"/>
          <a:ext cx="59309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xdr:cNvPicPr>
          <a:picLocks noChangeAspect="1" noChangeArrowheads="1"/>
        </xdr:cNvPicPr>
      </xdr:nvPicPr>
      <xdr:blipFill>
        <a:blip r:embed="rId168"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xdr:cNvPicPr>
          <a:picLocks noChangeAspect="1" noChangeArrowheads="1"/>
        </xdr:cNvPicPr>
      </xdr:nvPicPr>
      <xdr:blipFill>
        <a:blip r:embed="rId169"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xdr:cNvPicPr>
          <a:picLocks noChangeAspect="1" noChangeArrowheads="1"/>
        </xdr:cNvPicPr>
      </xdr:nvPicPr>
      <xdr:blipFill>
        <a:blip r:embed="rId170"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xdr:cNvPicPr>
          <a:picLocks noChangeAspect="1" noChangeArrowheads="1"/>
        </xdr:cNvPicPr>
      </xdr:nvPicPr>
      <xdr:blipFill>
        <a:blip r:embed="rId171"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xdr:cNvPicPr>
          <a:picLocks noChangeAspect="1" noChangeArrowheads="1"/>
        </xdr:cNvPicPr>
      </xdr:nvPicPr>
      <xdr:blipFill>
        <a:blip r:embed="rId172" cstate="email"/>
        <a:srcRect/>
        <a:stretch>
          <a:fillRect/>
        </a:stretch>
      </xdr:blipFill>
      <xdr:spPr>
        <a:xfrm>
          <a:off x="1195705" y="698500"/>
          <a:ext cx="4400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xdr:cNvPicPr>
          <a:picLocks noChangeAspect="1" noChangeArrowheads="1"/>
        </xdr:cNvPicPr>
      </xdr:nvPicPr>
      <xdr:blipFill>
        <a:blip r:embed="rId173" cstate="email"/>
        <a:srcRect/>
        <a:stretch>
          <a:fillRect/>
        </a:stretch>
      </xdr:blipFill>
      <xdr:spPr>
        <a:xfrm>
          <a:off x="1195705" y="698500"/>
          <a:ext cx="4400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xdr:cNvPicPr>
          <a:picLocks noChangeAspect="1" noChangeArrowheads="1"/>
        </xdr:cNvPicPr>
      </xdr:nvPicPr>
      <xdr:blipFill>
        <a:blip r:embed="rId174" cstate="email"/>
        <a:srcRect/>
        <a:stretch>
          <a:fillRect/>
        </a:stretch>
      </xdr:blipFill>
      <xdr:spPr>
        <a:xfrm>
          <a:off x="1195705" y="698500"/>
          <a:ext cx="4400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xdr:cNvPicPr>
          <a:picLocks noChangeAspect="1" noChangeArrowheads="1"/>
        </xdr:cNvPicPr>
      </xdr:nvPicPr>
      <xdr:blipFill>
        <a:blip r:embed="rId175" cstate="email"/>
        <a:srcRect/>
        <a:stretch>
          <a:fillRect/>
        </a:stretch>
      </xdr:blipFill>
      <xdr:spPr>
        <a:xfrm>
          <a:off x="1195705" y="698500"/>
          <a:ext cx="4400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xdr:cNvPicPr>
          <a:picLocks noChangeAspect="1" noChangeArrowheads="1"/>
        </xdr:cNvPicPr>
      </xdr:nvPicPr>
      <xdr:blipFill>
        <a:blip r:embed="rId176" cstate="print"/>
        <a:srcRect/>
        <a:stretch>
          <a:fillRect/>
        </a:stretch>
      </xdr:blipFill>
      <xdr:spPr>
        <a:xfrm>
          <a:off x="1195705" y="698500"/>
          <a:ext cx="4400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xdr:cNvPicPr>
          <a:picLocks noChangeAspect="1" noChangeArrowheads="1"/>
        </xdr:cNvPicPr>
      </xdr:nvPicPr>
      <xdr:blipFill>
        <a:blip r:embed="rId177" cstate="email"/>
        <a:srcRect/>
        <a:stretch>
          <a:fillRect/>
        </a:stretch>
      </xdr:blipFill>
      <xdr:spPr>
        <a:xfrm>
          <a:off x="1195705" y="698500"/>
          <a:ext cx="4400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xdr:cNvPicPr>
          <a:picLocks noChangeAspect="1" noChangeArrowheads="1"/>
        </xdr:cNvPicPr>
      </xdr:nvPicPr>
      <xdr:blipFill>
        <a:blip r:embed="rId178" cstate="email"/>
        <a:srcRect/>
        <a:stretch>
          <a:fillRect/>
        </a:stretch>
      </xdr:blipFill>
      <xdr:spPr>
        <a:xfrm>
          <a:off x="1195705" y="698500"/>
          <a:ext cx="4400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xdr:cNvPicPr>
          <a:picLocks noChangeAspect="1" noChangeArrowheads="1"/>
        </xdr:cNvPicPr>
      </xdr:nvPicPr>
      <xdr:blipFill>
        <a:blip r:embed="rId179" cstate="email"/>
        <a:srcRect/>
        <a:stretch>
          <a:fillRect/>
        </a:stretch>
      </xdr:blipFill>
      <xdr:spPr>
        <a:xfrm>
          <a:off x="1411605" y="698500"/>
          <a:ext cx="224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xdr:cNvPicPr>
          <a:picLocks noChangeAspect="1" noChangeArrowheads="1"/>
        </xdr:cNvPicPr>
      </xdr:nvPicPr>
      <xdr:blipFill>
        <a:blip r:embed="rId180" cstate="print"/>
        <a:srcRect/>
        <a:stretch>
          <a:fillRect/>
        </a:stretch>
      </xdr:blipFill>
      <xdr:spPr>
        <a:xfrm>
          <a:off x="1424305" y="698500"/>
          <a:ext cx="211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xdr:cNvPicPr>
          <a:picLocks noChangeAspect="1" noChangeArrowheads="1"/>
        </xdr:cNvPicPr>
      </xdr:nvPicPr>
      <xdr:blipFill>
        <a:blip r:embed="rId181" cstate="email"/>
        <a:srcRect/>
        <a:stretch>
          <a:fillRect/>
        </a:stretch>
      </xdr:blipFill>
      <xdr:spPr>
        <a:xfrm>
          <a:off x="1411605" y="698500"/>
          <a:ext cx="224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xdr:cNvPicPr>
          <a:picLocks noChangeAspect="1" noChangeArrowheads="1"/>
        </xdr:cNvPicPr>
      </xdr:nvPicPr>
      <xdr:blipFill>
        <a:blip r:embed="rId182" cstate="email"/>
        <a:srcRect/>
        <a:stretch>
          <a:fillRect/>
        </a:stretch>
      </xdr:blipFill>
      <xdr:spPr>
        <a:xfrm>
          <a:off x="1411605" y="698500"/>
          <a:ext cx="224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xdr:cNvPicPr>
          <a:picLocks noChangeAspect="1" noChangeArrowheads="1"/>
        </xdr:cNvPicPr>
      </xdr:nvPicPr>
      <xdr:blipFill>
        <a:blip r:embed="rId183" cstate="email"/>
        <a:srcRect/>
        <a:stretch>
          <a:fillRect/>
        </a:stretch>
      </xdr:blipFill>
      <xdr:spPr>
        <a:xfrm>
          <a:off x="1411605" y="698500"/>
          <a:ext cx="224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xdr:cNvPicPr>
          <a:picLocks noChangeAspect="1" noChangeArrowheads="1"/>
        </xdr:cNvPicPr>
      </xdr:nvPicPr>
      <xdr:blipFill>
        <a:blip r:embed="rId184" cstate="email"/>
        <a:srcRect/>
        <a:stretch>
          <a:fillRect/>
        </a:stretch>
      </xdr:blipFill>
      <xdr:spPr>
        <a:xfrm>
          <a:off x="1411605" y="698500"/>
          <a:ext cx="224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xdr:cNvPicPr>
          <a:picLocks noChangeAspect="1" noChangeArrowheads="1"/>
        </xdr:cNvPicPr>
      </xdr:nvPicPr>
      <xdr:blipFill>
        <a:blip r:embed="rId185"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xdr:cNvPicPr>
          <a:picLocks noChangeAspect="1" noChangeArrowheads="1"/>
        </xdr:cNvPicPr>
      </xdr:nvPicPr>
      <xdr:blipFill>
        <a:blip r:embed="rId186"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xdr:cNvPicPr>
          <a:picLocks noChangeAspect="1" noChangeArrowheads="1"/>
        </xdr:cNvPicPr>
      </xdr:nvPicPr>
      <xdr:blipFill>
        <a:blip r:embed="rId187"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xdr:cNvPicPr>
          <a:picLocks noChangeAspect="1" noChangeArrowheads="1"/>
        </xdr:cNvPicPr>
      </xdr:nvPicPr>
      <xdr:blipFill>
        <a:blip r:embed="rId188"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xdr:cNvPicPr>
          <a:picLocks noChangeAspect="1" noChangeArrowheads="1"/>
        </xdr:cNvPicPr>
      </xdr:nvPicPr>
      <xdr:blipFill>
        <a:blip r:embed="rId189"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xdr:cNvPicPr>
          <a:picLocks noChangeAspect="1" noChangeArrowheads="1"/>
        </xdr:cNvPicPr>
      </xdr:nvPicPr>
      <xdr:blipFill>
        <a:blip r:embed="rId190"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xdr:cNvPicPr>
          <a:picLocks noChangeAspect="1" noChangeArrowheads="1"/>
        </xdr:cNvPicPr>
      </xdr:nvPicPr>
      <xdr:blipFill>
        <a:blip r:embed="rId191"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xdr:cNvPicPr>
          <a:picLocks noChangeAspect="1" noChangeArrowheads="1"/>
        </xdr:cNvPicPr>
      </xdr:nvPicPr>
      <xdr:blipFill>
        <a:blip r:embed="rId192"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xdr:cNvPicPr>
          <a:picLocks noChangeAspect="1" noChangeArrowheads="1"/>
        </xdr:cNvPicPr>
      </xdr:nvPicPr>
      <xdr:blipFill>
        <a:blip r:embed="rId193"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xdr:cNvPicPr>
          <a:picLocks noChangeAspect="1" noChangeArrowheads="1"/>
        </xdr:cNvPicPr>
      </xdr:nvPicPr>
      <xdr:blipFill>
        <a:blip r:embed="rId194"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xdr:cNvPicPr>
          <a:picLocks noChangeAspect="1" noChangeArrowheads="1"/>
        </xdr:cNvPicPr>
      </xdr:nvPicPr>
      <xdr:blipFill>
        <a:blip r:embed="rId194"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xdr:cNvPicPr>
          <a:picLocks noChangeAspect="1" noChangeArrowheads="1"/>
        </xdr:cNvPicPr>
      </xdr:nvPicPr>
      <xdr:blipFill>
        <a:blip r:embed="rId195"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xdr:cNvPicPr>
          <a:picLocks noChangeAspect="1" noChangeArrowheads="1"/>
        </xdr:cNvPicPr>
      </xdr:nvPicPr>
      <xdr:blipFill>
        <a:blip r:embed="rId196"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xdr:cNvPicPr>
          <a:picLocks noChangeAspect="1" noChangeArrowheads="1"/>
        </xdr:cNvPicPr>
      </xdr:nvPicPr>
      <xdr:blipFill>
        <a:blip r:embed="rId196"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xdr:cNvPicPr>
          <a:picLocks noChangeAspect="1" noChangeArrowheads="1"/>
        </xdr:cNvPicPr>
      </xdr:nvPicPr>
      <xdr:blipFill>
        <a:blip r:embed="rId197"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xdr:cNvPicPr>
          <a:picLocks noChangeAspect="1" noChangeArrowheads="1"/>
        </xdr:cNvPicPr>
      </xdr:nvPicPr>
      <xdr:blipFill>
        <a:blip r:embed="rId197"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xdr:cNvPicPr>
          <a:picLocks noChangeAspect="1" noChangeArrowheads="1"/>
        </xdr:cNvPicPr>
      </xdr:nvPicPr>
      <xdr:blipFill>
        <a:blip r:embed="rId198"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xdr:cNvPicPr>
          <a:picLocks noChangeAspect="1" noChangeArrowheads="1"/>
        </xdr:cNvPicPr>
      </xdr:nvPicPr>
      <xdr:blipFill>
        <a:blip r:embed="rId198"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xdr:cNvPicPr>
          <a:picLocks noChangeAspect="1" noChangeArrowheads="1"/>
        </xdr:cNvPicPr>
      </xdr:nvPicPr>
      <xdr:blipFill>
        <a:blip r:embed="rId199"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xdr:cNvPicPr>
          <a:picLocks noChangeAspect="1" noChangeArrowheads="1"/>
        </xdr:cNvPicPr>
      </xdr:nvPicPr>
      <xdr:blipFill>
        <a:blip r:embed="rId200"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xdr:cNvPicPr>
          <a:picLocks noChangeAspect="1" noChangeArrowheads="1"/>
        </xdr:cNvPicPr>
      </xdr:nvPicPr>
      <xdr:blipFill>
        <a:blip r:embed="rId201"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xdr:cNvPicPr>
          <a:picLocks noChangeAspect="1" noChangeArrowheads="1"/>
        </xdr:cNvPicPr>
      </xdr:nvPicPr>
      <xdr:blipFill>
        <a:blip r:embed="rId202"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xdr:cNvPicPr>
          <a:picLocks noChangeAspect="1" noChangeArrowheads="1"/>
        </xdr:cNvPicPr>
      </xdr:nvPicPr>
      <xdr:blipFill>
        <a:blip r:embed="rId203"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xdr:cNvPicPr>
          <a:picLocks noChangeAspect="1" noChangeArrowheads="1"/>
        </xdr:cNvPicPr>
      </xdr:nvPicPr>
      <xdr:blipFill>
        <a:blip r:embed="rId204"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xdr:cNvPicPr>
          <a:picLocks noChangeAspect="1" noChangeArrowheads="1"/>
        </xdr:cNvPicPr>
      </xdr:nvPicPr>
      <xdr:blipFill>
        <a:blip r:embed="rId205"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xdr:cNvPicPr>
          <a:picLocks noChangeAspect="1" noChangeArrowheads="1"/>
        </xdr:cNvPicPr>
      </xdr:nvPicPr>
      <xdr:blipFill>
        <a:blip r:embed="rId206"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xdr:cNvPicPr>
          <a:picLocks noChangeAspect="1" noChangeArrowheads="1"/>
        </xdr:cNvPicPr>
      </xdr:nvPicPr>
      <xdr:blipFill>
        <a:blip r:embed="rId206"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xdr:cNvPicPr>
          <a:picLocks noChangeAspect="1" noChangeArrowheads="1"/>
        </xdr:cNvPicPr>
      </xdr:nvPicPr>
      <xdr:blipFill>
        <a:blip r:embed="rId207"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xdr:cNvPicPr>
          <a:picLocks noChangeAspect="1" noChangeArrowheads="1"/>
        </xdr:cNvPicPr>
      </xdr:nvPicPr>
      <xdr:blipFill>
        <a:blip r:embed="rId208"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xdr:cNvPicPr>
          <a:picLocks noChangeAspect="1" noChangeArrowheads="1"/>
        </xdr:cNvPicPr>
      </xdr:nvPicPr>
      <xdr:blipFill>
        <a:blip r:embed="rId209"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xdr:cNvPicPr>
          <a:picLocks noChangeAspect="1" noChangeArrowheads="1"/>
        </xdr:cNvPicPr>
      </xdr:nvPicPr>
      <xdr:blipFill>
        <a:blip r:embed="rId210"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xdr:cNvPicPr>
          <a:picLocks noChangeAspect="1" noChangeArrowheads="1"/>
        </xdr:cNvPicPr>
      </xdr:nvPicPr>
      <xdr:blipFill>
        <a:blip r:embed="rId211"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xdr:cNvPicPr>
          <a:picLocks noChangeAspect="1" noChangeArrowheads="1"/>
        </xdr:cNvPicPr>
      </xdr:nvPicPr>
      <xdr:blipFill>
        <a:blip r:embed="rId212"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xdr:cNvPicPr>
          <a:picLocks noChangeAspect="1" noChangeArrowheads="1"/>
        </xdr:cNvPicPr>
      </xdr:nvPicPr>
      <xdr:blipFill>
        <a:blip r:embed="rId213"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xdr:cNvPicPr>
          <a:picLocks noChangeAspect="1" noChangeArrowheads="1"/>
        </xdr:cNvPicPr>
      </xdr:nvPicPr>
      <xdr:blipFill>
        <a:blip r:embed="rId213"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xdr:cNvPicPr>
          <a:picLocks noChangeAspect="1" noChangeArrowheads="1"/>
        </xdr:cNvPicPr>
      </xdr:nvPicPr>
      <xdr:blipFill>
        <a:blip r:embed="rId214"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xdr:cNvPicPr>
          <a:picLocks noChangeAspect="1" noChangeArrowheads="1"/>
        </xdr:cNvPicPr>
      </xdr:nvPicPr>
      <xdr:blipFill>
        <a:blip r:embed="rId215"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xdr:cNvPicPr>
          <a:picLocks noChangeAspect="1" noChangeArrowheads="1"/>
        </xdr:cNvPicPr>
      </xdr:nvPicPr>
      <xdr:blipFill>
        <a:blip r:embed="rId216"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xdr:cNvPicPr>
          <a:picLocks noChangeAspect="1" noChangeArrowheads="1"/>
        </xdr:cNvPicPr>
      </xdr:nvPicPr>
      <xdr:blipFill>
        <a:blip r:embed="rId126"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xdr:cNvPicPr>
          <a:picLocks noChangeAspect="1" noChangeArrowheads="1"/>
        </xdr:cNvPicPr>
      </xdr:nvPicPr>
      <xdr:blipFill>
        <a:blip r:embed="rId127"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xdr:cNvPicPr>
          <a:picLocks noChangeAspect="1" noChangeArrowheads="1"/>
        </xdr:cNvPicPr>
      </xdr:nvPicPr>
      <xdr:blipFill>
        <a:blip r:embed="rId128" cstate="print"/>
        <a:srcRect/>
        <a:stretch>
          <a:fillRect/>
        </a:stretch>
      </xdr:blipFill>
      <xdr:spPr>
        <a:xfrm>
          <a:off x="944880" y="69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xdr:cNvPicPr>
          <a:picLocks noChangeAspect="1" noChangeArrowheads="1"/>
        </xdr:cNvPicPr>
      </xdr:nvPicPr>
      <xdr:blipFill>
        <a:blip r:embed="rId217"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xdr:cNvPicPr>
          <a:picLocks noChangeAspect="1" noChangeArrowheads="1"/>
        </xdr:cNvPicPr>
      </xdr:nvPicPr>
      <xdr:blipFill>
        <a:blip r:embed="rId218"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xdr:cNvPicPr>
          <a:picLocks noChangeAspect="1" noChangeArrowheads="1"/>
        </xdr:cNvPicPr>
      </xdr:nvPicPr>
      <xdr:blipFill>
        <a:blip r:embed="rId219"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xdr:cNvPicPr>
          <a:picLocks noChangeAspect="1" noChangeArrowheads="1"/>
        </xdr:cNvPicPr>
      </xdr:nvPicPr>
      <xdr:blipFill>
        <a:blip r:embed="rId219"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xdr:cNvPicPr>
          <a:picLocks noChangeAspect="1" noChangeArrowheads="1"/>
        </xdr:cNvPicPr>
      </xdr:nvPicPr>
      <xdr:blipFill>
        <a:blip r:embed="rId220"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xdr:cNvPicPr>
          <a:picLocks noChangeAspect="1" noChangeArrowheads="1"/>
        </xdr:cNvPicPr>
      </xdr:nvPicPr>
      <xdr:blipFill>
        <a:blip r:embed="rId221"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xdr:cNvPicPr>
          <a:picLocks noChangeAspect="1" noChangeArrowheads="1"/>
        </xdr:cNvPicPr>
      </xdr:nvPicPr>
      <xdr:blipFill>
        <a:blip r:embed="rId221"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xdr:cNvPicPr>
          <a:picLocks noChangeAspect="1" noChangeArrowheads="1"/>
        </xdr:cNvPicPr>
      </xdr:nvPicPr>
      <xdr:blipFill>
        <a:blip r:embed="rId222"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xdr:cNvPicPr>
          <a:picLocks noChangeAspect="1" noChangeArrowheads="1"/>
        </xdr:cNvPicPr>
      </xdr:nvPicPr>
      <xdr:blipFill>
        <a:blip r:embed="rId223"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xdr:cNvPicPr>
          <a:picLocks noChangeAspect="1" noChangeArrowheads="1"/>
        </xdr:cNvPicPr>
      </xdr:nvPicPr>
      <xdr:blipFill>
        <a:blip r:embed="rId223"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xdr:cNvPicPr>
          <a:picLocks noChangeAspect="1" noChangeArrowheads="1"/>
        </xdr:cNvPicPr>
      </xdr:nvPicPr>
      <xdr:blipFill>
        <a:blip r:embed="rId224"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xdr:cNvPicPr>
          <a:picLocks noChangeAspect="1" noChangeArrowheads="1"/>
        </xdr:cNvPicPr>
      </xdr:nvPicPr>
      <xdr:blipFill>
        <a:blip r:embed="rId225" cstate="print"/>
        <a:srcRect/>
        <a:stretch>
          <a:fillRect/>
        </a:stretch>
      </xdr:blipFill>
      <xdr:spPr>
        <a:xfrm>
          <a:off x="1143635" y="698500"/>
          <a:ext cx="45529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xdr:cNvPicPr>
          <a:picLocks noChangeAspect="1" noChangeArrowheads="1"/>
        </xdr:cNvPicPr>
      </xdr:nvPicPr>
      <xdr:blipFill>
        <a:blip r:embed="rId226"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xdr:cNvPicPr>
          <a:picLocks noChangeAspect="1" noChangeArrowheads="1"/>
        </xdr:cNvPicPr>
      </xdr:nvPicPr>
      <xdr:blipFill>
        <a:blip r:embed="rId227"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xdr:cNvPicPr>
          <a:picLocks noChangeAspect="1" noChangeArrowheads="1"/>
        </xdr:cNvPicPr>
      </xdr:nvPicPr>
      <xdr:blipFill>
        <a:blip r:embed="rId228" cstate="email"/>
        <a:srcRect/>
        <a:stretch>
          <a:fillRect/>
        </a:stretch>
      </xdr:blipFill>
      <xdr:spPr>
        <a:xfrm>
          <a:off x="1181735" y="698500"/>
          <a:ext cx="452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xdr:cNvPicPr>
          <a:picLocks noChangeAspect="1" noChangeArrowheads="1"/>
        </xdr:cNvPicPr>
      </xdr:nvPicPr>
      <xdr:blipFill>
        <a:blip r:embed="rId229" cstate="print"/>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xdr:cNvPicPr>
          <a:picLocks noChangeAspect="1" noChangeArrowheads="1"/>
        </xdr:cNvPicPr>
      </xdr:nvPicPr>
      <xdr:blipFill>
        <a:blip r:embed="rId230"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xdr:cNvPicPr>
          <a:picLocks noChangeAspect="1" noChangeArrowheads="1"/>
        </xdr:cNvPicPr>
      </xdr:nvPicPr>
      <xdr:blipFill>
        <a:blip r:embed="rId231"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xdr:cNvPicPr>
          <a:picLocks noChangeAspect="1" noChangeArrowheads="1"/>
        </xdr:cNvPicPr>
      </xdr:nvPicPr>
      <xdr:blipFill>
        <a:blip r:embed="rId232" cstate="email"/>
        <a:srcRect/>
        <a:stretch>
          <a:fillRect/>
        </a:stretch>
      </xdr:blipFill>
      <xdr:spPr>
        <a:xfrm>
          <a:off x="1156335" y="698500"/>
          <a:ext cx="47434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xdr:cNvPicPr>
          <a:picLocks noChangeAspect="1" noChangeArrowheads="1"/>
        </xdr:cNvPicPr>
      </xdr:nvPicPr>
      <xdr:blipFill>
        <a:blip r:embed="rId233" cstate="email"/>
        <a:srcRect/>
        <a:stretch>
          <a:fillRect/>
        </a:stretch>
      </xdr:blipFill>
      <xdr:spPr>
        <a:xfrm>
          <a:off x="1156335" y="698500"/>
          <a:ext cx="47434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xdr:cNvPicPr>
          <a:picLocks noChangeAspect="1" noChangeArrowheads="1"/>
        </xdr:cNvPicPr>
      </xdr:nvPicPr>
      <xdr:blipFill>
        <a:blip r:embed="rId234"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xdr:cNvPicPr>
          <a:picLocks noChangeAspect="1" noChangeArrowheads="1"/>
        </xdr:cNvPicPr>
      </xdr:nvPicPr>
      <xdr:blipFill>
        <a:blip r:embed="rId235"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xdr:cNvPicPr>
          <a:picLocks noChangeAspect="1" noChangeArrowheads="1"/>
        </xdr:cNvPicPr>
      </xdr:nvPicPr>
      <xdr:blipFill>
        <a:blip r:embed="rId236"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xdr:cNvPicPr>
          <a:picLocks noChangeAspect="1" noChangeArrowheads="1"/>
        </xdr:cNvPicPr>
      </xdr:nvPicPr>
      <xdr:blipFill>
        <a:blip r:embed="rId237" cstate="email"/>
        <a:srcRect/>
        <a:stretch>
          <a:fillRect/>
        </a:stretch>
      </xdr:blipFill>
      <xdr:spPr>
        <a:xfrm>
          <a:off x="1143635" y="698500"/>
          <a:ext cx="47434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xdr:cNvPicPr>
          <a:picLocks noChangeAspect="1" noChangeArrowheads="1"/>
        </xdr:cNvPicPr>
      </xdr:nvPicPr>
      <xdr:blipFill>
        <a:blip r:embed="rId238"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xdr:cNvPicPr>
          <a:picLocks noChangeAspect="1" noChangeArrowheads="1"/>
        </xdr:cNvPicPr>
      </xdr:nvPicPr>
      <xdr:blipFill>
        <a:blip r:embed="rId239"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xdr:cNvPicPr>
          <a:picLocks noChangeAspect="1" noChangeArrowheads="1"/>
        </xdr:cNvPicPr>
      </xdr:nvPicPr>
      <xdr:blipFill>
        <a:blip r:embed="rId240" cstate="print"/>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xdr:cNvPicPr>
          <a:picLocks noChangeAspect="1" noChangeArrowheads="1"/>
        </xdr:cNvPicPr>
      </xdr:nvPicPr>
      <xdr:blipFill>
        <a:blip r:embed="rId241"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xdr:cNvPicPr>
          <a:picLocks noChangeAspect="1" noChangeArrowheads="1"/>
        </xdr:cNvPicPr>
      </xdr:nvPicPr>
      <xdr:blipFill>
        <a:blip r:embed="rId242" cstate="email"/>
        <a:srcRect/>
        <a:stretch>
          <a:fillRect/>
        </a:stretch>
      </xdr:blipFill>
      <xdr:spPr>
        <a:xfrm>
          <a:off x="1169035"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xdr:cNvPicPr>
          <a:picLocks noChangeAspect="1" noChangeArrowheads="1"/>
        </xdr:cNvPicPr>
      </xdr:nvPicPr>
      <xdr:blipFill>
        <a:blip r:embed="rId243" cstate="email"/>
        <a:srcRect/>
        <a:stretch>
          <a:fillRect/>
        </a:stretch>
      </xdr:blipFill>
      <xdr:spPr>
        <a:xfrm>
          <a:off x="1156335" y="698500"/>
          <a:ext cx="47434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xdr:cNvPicPr>
          <a:picLocks noChangeAspect="1" noChangeArrowheads="1"/>
        </xdr:cNvPicPr>
      </xdr:nvPicPr>
      <xdr:blipFill>
        <a:blip r:embed="rId244" cstate="email"/>
        <a:srcRect/>
        <a:stretch>
          <a:fillRect/>
        </a:stretch>
      </xdr:blipFill>
      <xdr:spPr>
        <a:xfrm>
          <a:off x="1156335" y="698500"/>
          <a:ext cx="44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xdr:cNvPicPr>
          <a:picLocks noChangeAspect="1" noChangeArrowheads="1"/>
        </xdr:cNvPicPr>
      </xdr:nvPicPr>
      <xdr:blipFill>
        <a:blip r:embed="rId245" cstate="email"/>
        <a:srcRect/>
        <a:stretch>
          <a:fillRect/>
        </a:stretch>
      </xdr:blipFill>
      <xdr:spPr>
        <a:xfrm>
          <a:off x="1156335" y="698500"/>
          <a:ext cx="44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xdr:cNvPicPr>
          <a:picLocks noChangeAspect="1" noChangeArrowheads="1"/>
        </xdr:cNvPicPr>
      </xdr:nvPicPr>
      <xdr:blipFill>
        <a:blip r:embed="rId246" cstate="email"/>
        <a:srcRect/>
        <a:stretch>
          <a:fillRect/>
        </a:stretch>
      </xdr:blipFill>
      <xdr:spPr>
        <a:xfrm>
          <a:off x="1156335" y="698500"/>
          <a:ext cx="47434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xdr:cNvPicPr>
          <a:picLocks noChangeAspect="1" noChangeArrowheads="1"/>
        </xdr:cNvPicPr>
      </xdr:nvPicPr>
      <xdr:blipFill>
        <a:blip r:embed="rId247" cstate="email"/>
        <a:srcRect/>
        <a:stretch>
          <a:fillRect/>
        </a:stretch>
      </xdr:blipFill>
      <xdr:spPr>
        <a:xfrm>
          <a:off x="1142365" y="698500"/>
          <a:ext cx="4457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xdr:cNvPicPr>
          <a:picLocks noChangeAspect="1" noChangeArrowheads="1"/>
        </xdr:cNvPicPr>
      </xdr:nvPicPr>
      <xdr:blipFill>
        <a:blip r:embed="rId248" cstate="email"/>
        <a:srcRect/>
        <a:stretch>
          <a:fillRect/>
        </a:stretch>
      </xdr:blipFill>
      <xdr:spPr>
        <a:xfrm>
          <a:off x="1159510" y="698500"/>
          <a:ext cx="4762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xdr:cNvPicPr>
          <a:picLocks noChangeAspect="1" noChangeArrowheads="1"/>
        </xdr:cNvPicPr>
      </xdr:nvPicPr>
      <xdr:blipFill>
        <a:blip r:embed="rId249"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xdr:cNvPicPr>
          <a:picLocks noChangeAspect="1" noChangeArrowheads="1"/>
        </xdr:cNvPicPr>
      </xdr:nvPicPr>
      <xdr:blipFill>
        <a:blip r:embed="rId250"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xdr:cNvPicPr>
          <a:picLocks noChangeAspect="1" noChangeArrowheads="1"/>
        </xdr:cNvPicPr>
      </xdr:nvPicPr>
      <xdr:blipFill>
        <a:blip r:embed="rId251"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xdr:cNvPicPr>
          <a:picLocks noChangeAspect="1" noChangeArrowheads="1"/>
        </xdr:cNvPicPr>
      </xdr:nvPicPr>
      <xdr:blipFill>
        <a:blip r:embed="rId252"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xdr:cNvPicPr>
          <a:picLocks noChangeAspect="1"/>
        </xdr:cNvPicPr>
      </xdr:nvPicPr>
      <xdr:blipFill>
        <a:blip r:embed="rId253" cstate="email"/>
        <a:stretch>
          <a:fillRect/>
        </a:stretch>
      </xdr:blipFill>
      <xdr:spPr>
        <a:xfrm>
          <a:off x="1275080" y="698500"/>
          <a:ext cx="360680" cy="0"/>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xdr:cNvPicPr>
          <a:picLocks noChangeAspect="1"/>
        </xdr:cNvPicPr>
      </xdr:nvPicPr>
      <xdr:blipFill>
        <a:blip r:embed="rId254" cstate="email"/>
        <a:stretch>
          <a:fillRect/>
        </a:stretch>
      </xdr:blipFill>
      <xdr:spPr>
        <a:xfrm>
          <a:off x="1259205" y="698500"/>
          <a:ext cx="376555" cy="0"/>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xdr:cNvPicPr>
          <a:picLocks noChangeAspect="1"/>
        </xdr:cNvPicPr>
      </xdr:nvPicPr>
      <xdr:blipFill>
        <a:blip r:embed="rId255" cstate="email"/>
        <a:stretch>
          <a:fillRect/>
        </a:stretch>
      </xdr:blipFill>
      <xdr:spPr>
        <a:xfrm>
          <a:off x="1208405" y="698500"/>
          <a:ext cx="427355" cy="0"/>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xdr:cNvPicPr>
          <a:picLocks noChangeAspect="1"/>
        </xdr:cNvPicPr>
      </xdr:nvPicPr>
      <xdr:blipFill>
        <a:blip r:embed="rId256" cstate="email"/>
        <a:stretch>
          <a:fillRect/>
        </a:stretch>
      </xdr:blipFill>
      <xdr:spPr>
        <a:xfrm>
          <a:off x="1249680" y="698500"/>
          <a:ext cx="386080" cy="0"/>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xdr:cNvPicPr>
          <a:picLocks noChangeAspect="1"/>
        </xdr:cNvPicPr>
      </xdr:nvPicPr>
      <xdr:blipFill>
        <a:blip r:embed="rId257" cstate="email"/>
        <a:stretch>
          <a:fillRect/>
        </a:stretch>
      </xdr:blipFill>
      <xdr:spPr>
        <a:xfrm>
          <a:off x="1259205" y="698500"/>
          <a:ext cx="376555" cy="0"/>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xdr:cNvPicPr>
          <a:picLocks noChangeAspect="1"/>
        </xdr:cNvPicPr>
      </xdr:nvPicPr>
      <xdr:blipFill>
        <a:blip r:embed="rId258" cstate="email"/>
        <a:stretch>
          <a:fillRect/>
        </a:stretch>
      </xdr:blipFill>
      <xdr:spPr>
        <a:xfrm>
          <a:off x="1273810" y="698500"/>
          <a:ext cx="361950" cy="0"/>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xdr:cNvPicPr>
          <a:picLocks noChangeAspect="1"/>
        </xdr:cNvPicPr>
      </xdr:nvPicPr>
      <xdr:blipFill>
        <a:blip r:embed="rId259" cstate="email"/>
        <a:stretch>
          <a:fillRect/>
        </a:stretch>
      </xdr:blipFill>
      <xdr:spPr>
        <a:xfrm>
          <a:off x="1411605" y="698500"/>
          <a:ext cx="224155" cy="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xdr:cNvPicPr>
          <a:picLocks noChangeAspect="1"/>
        </xdr:cNvPicPr>
      </xdr:nvPicPr>
      <xdr:blipFill>
        <a:blip r:embed="rId259" cstate="email"/>
        <a:stretch>
          <a:fillRect/>
        </a:stretch>
      </xdr:blipFill>
      <xdr:spPr>
        <a:xfrm>
          <a:off x="1411605" y="698500"/>
          <a:ext cx="224155" cy="0"/>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xdr:cNvPicPr>
          <a:picLocks noChangeAspect="1"/>
        </xdr:cNvPicPr>
      </xdr:nvPicPr>
      <xdr:blipFill>
        <a:blip r:embed="rId259" cstate="email"/>
        <a:stretch>
          <a:fillRect/>
        </a:stretch>
      </xdr:blipFill>
      <xdr:spPr>
        <a:xfrm>
          <a:off x="1411605" y="698500"/>
          <a:ext cx="224155" cy="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xdr:cNvPicPr>
          <a:picLocks noChangeAspect="1"/>
        </xdr:cNvPicPr>
      </xdr:nvPicPr>
      <xdr:blipFill>
        <a:blip r:embed="rId260" cstate="email"/>
        <a:stretch>
          <a:fillRect/>
        </a:stretch>
      </xdr:blipFill>
      <xdr:spPr>
        <a:xfrm>
          <a:off x="1332865" y="698500"/>
          <a:ext cx="302895" cy="0"/>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xdr:cNvPicPr>
          <a:picLocks noChangeAspect="1"/>
        </xdr:cNvPicPr>
      </xdr:nvPicPr>
      <xdr:blipFill>
        <a:blip r:embed="rId261" cstate="email"/>
        <a:stretch>
          <a:fillRect/>
        </a:stretch>
      </xdr:blipFill>
      <xdr:spPr>
        <a:xfrm>
          <a:off x="1334135" y="698500"/>
          <a:ext cx="301625" cy="0"/>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xdr:cNvPicPr>
          <a:picLocks noChangeAspect="1"/>
        </xdr:cNvPicPr>
      </xdr:nvPicPr>
      <xdr:blipFill>
        <a:blip r:embed="rId260" cstate="email"/>
        <a:stretch>
          <a:fillRect/>
        </a:stretch>
      </xdr:blipFill>
      <xdr:spPr>
        <a:xfrm>
          <a:off x="1332865" y="698500"/>
          <a:ext cx="302895" cy="0"/>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xdr:cNvPicPr>
          <a:picLocks noChangeAspect="1" noChangeArrowheads="1"/>
        </xdr:cNvPicPr>
      </xdr:nvPicPr>
      <xdr:blipFill>
        <a:blip r:embed="rId262"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xdr:cNvPicPr>
          <a:picLocks noChangeAspect="1" noChangeArrowheads="1"/>
        </xdr:cNvPicPr>
      </xdr:nvPicPr>
      <xdr:blipFill>
        <a:blip r:embed="rId262"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xdr:cNvPicPr>
          <a:picLocks noChangeAspect="1" noChangeArrowheads="1"/>
        </xdr:cNvPicPr>
      </xdr:nvPicPr>
      <xdr:blipFill>
        <a:blip r:embed="rId263"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xdr:cNvPicPr>
          <a:picLocks noChangeAspect="1" noChangeArrowheads="1"/>
        </xdr:cNvPicPr>
      </xdr:nvPicPr>
      <xdr:blipFill>
        <a:blip r:embed="rId263"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xdr:cNvPicPr>
          <a:picLocks noChangeAspect="1" noChangeArrowheads="1"/>
        </xdr:cNvPicPr>
      </xdr:nvPicPr>
      <xdr:blipFill>
        <a:blip r:embed="rId263"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xdr:cNvPicPr>
          <a:picLocks noChangeAspect="1" noChangeArrowheads="1"/>
        </xdr:cNvPicPr>
      </xdr:nvPicPr>
      <xdr:blipFill>
        <a:blip r:embed="rId263"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xdr:cNvPicPr>
          <a:picLocks noChangeAspect="1" noChangeArrowheads="1"/>
        </xdr:cNvPicPr>
      </xdr:nvPicPr>
      <xdr:blipFill>
        <a:blip r:embed="rId264"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xdr:cNvPicPr>
          <a:picLocks noChangeAspect="1" noChangeArrowheads="1"/>
        </xdr:cNvPicPr>
      </xdr:nvPicPr>
      <xdr:blipFill>
        <a:blip r:embed="rId265"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xdr:cNvPicPr>
          <a:picLocks noChangeAspect="1" noChangeArrowheads="1"/>
        </xdr:cNvPicPr>
      </xdr:nvPicPr>
      <xdr:blipFill>
        <a:blip r:embed="rId265"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xdr:cNvPicPr>
          <a:picLocks noChangeAspect="1" noChangeArrowheads="1"/>
        </xdr:cNvPicPr>
      </xdr:nvPicPr>
      <xdr:blipFill>
        <a:blip r:embed="rId265"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xdr:cNvPicPr>
          <a:picLocks noChangeAspect="1" noChangeArrowheads="1"/>
        </xdr:cNvPicPr>
      </xdr:nvPicPr>
      <xdr:blipFill>
        <a:blip r:embed="rId266"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xdr:cNvPicPr>
          <a:picLocks noChangeAspect="1" noChangeArrowheads="1"/>
        </xdr:cNvPicPr>
      </xdr:nvPicPr>
      <xdr:blipFill>
        <a:blip r:embed="rId266"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xdr:cNvPicPr>
          <a:picLocks noChangeAspect="1" noChangeArrowheads="1"/>
        </xdr:cNvPicPr>
      </xdr:nvPicPr>
      <xdr:blipFill>
        <a:blip r:embed="rId267"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xdr:cNvPicPr>
          <a:picLocks noChangeAspect="1" noChangeArrowheads="1"/>
        </xdr:cNvPicPr>
      </xdr:nvPicPr>
      <xdr:blipFill>
        <a:blip r:embed="rId267"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xdr:cNvPicPr>
          <a:picLocks noChangeAspect="1" noChangeArrowheads="1"/>
        </xdr:cNvPicPr>
      </xdr:nvPicPr>
      <xdr:blipFill>
        <a:blip r:embed="rId267"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xdr:cNvPicPr>
          <a:picLocks noChangeAspect="1" noChangeArrowheads="1"/>
        </xdr:cNvPicPr>
      </xdr:nvPicPr>
      <xdr:blipFill>
        <a:blip r:embed="rId268"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xdr:cNvPicPr>
          <a:picLocks noChangeAspect="1" noChangeArrowheads="1"/>
        </xdr:cNvPicPr>
      </xdr:nvPicPr>
      <xdr:blipFill>
        <a:blip r:embed="rId268"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xdr:cNvPicPr>
          <a:picLocks noChangeAspect="1" noChangeArrowheads="1"/>
        </xdr:cNvPicPr>
      </xdr:nvPicPr>
      <xdr:blipFill>
        <a:blip r:embed="rId268"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xdr:cNvPicPr>
          <a:picLocks noChangeAspect="1" noChangeArrowheads="1"/>
        </xdr:cNvPicPr>
      </xdr:nvPicPr>
      <xdr:blipFill>
        <a:blip r:embed="rId269"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xdr:cNvPicPr>
          <a:picLocks noChangeAspect="1" noChangeArrowheads="1"/>
        </xdr:cNvPicPr>
      </xdr:nvPicPr>
      <xdr:blipFill>
        <a:blip r:embed="rId269"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xdr:cNvPicPr>
          <a:picLocks noChangeAspect="1" noChangeArrowheads="1"/>
        </xdr:cNvPicPr>
      </xdr:nvPicPr>
      <xdr:blipFill>
        <a:blip r:embed="rId269"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xdr:cNvPicPr>
          <a:picLocks noChangeAspect="1" noChangeArrowheads="1"/>
        </xdr:cNvPicPr>
      </xdr:nvPicPr>
      <xdr:blipFill>
        <a:blip r:embed="rId270"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xdr:cNvPicPr>
          <a:picLocks noChangeAspect="1" noChangeArrowheads="1"/>
        </xdr:cNvPicPr>
      </xdr:nvPicPr>
      <xdr:blipFill>
        <a:blip r:embed="rId270"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xdr:cNvPicPr>
          <a:picLocks noChangeAspect="1" noChangeArrowheads="1"/>
        </xdr:cNvPicPr>
      </xdr:nvPicPr>
      <xdr:blipFill>
        <a:blip r:embed="rId270"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xdr:cNvPicPr>
          <a:picLocks noChangeAspect="1" noChangeArrowheads="1"/>
        </xdr:cNvPicPr>
      </xdr:nvPicPr>
      <xdr:blipFill>
        <a:blip r:embed="rId271"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xdr:cNvPicPr>
          <a:picLocks noChangeAspect="1" noChangeArrowheads="1"/>
        </xdr:cNvPicPr>
      </xdr:nvPicPr>
      <xdr:blipFill>
        <a:blip r:embed="rId272" cstate="print"/>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xdr:cNvPicPr>
          <a:picLocks noChangeAspect="1" noChangeArrowheads="1"/>
        </xdr:cNvPicPr>
      </xdr:nvPicPr>
      <xdr:blipFill>
        <a:blip r:embed="rId273" cstate="email"/>
        <a:srcRect/>
        <a:stretch>
          <a:fillRect/>
        </a:stretch>
      </xdr:blipFill>
      <xdr:spPr>
        <a:xfrm>
          <a:off x="1271905" y="698500"/>
          <a:ext cx="3638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xdr:cNvPicPr>
          <a:picLocks noChangeAspect="1" noChangeArrowheads="1"/>
        </xdr:cNvPicPr>
      </xdr:nvPicPr>
      <xdr:blipFill>
        <a:blip r:embed="rId273" cstate="email"/>
        <a:srcRect/>
        <a:stretch>
          <a:fillRect/>
        </a:stretch>
      </xdr:blipFill>
      <xdr:spPr>
        <a:xfrm>
          <a:off x="1271905" y="698500"/>
          <a:ext cx="3638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xdr:cNvPicPr>
          <a:picLocks noChangeAspect="1" noChangeArrowheads="1"/>
        </xdr:cNvPicPr>
      </xdr:nvPicPr>
      <xdr:blipFill>
        <a:blip r:embed="rId274" cstate="email"/>
        <a:srcRect/>
        <a:stretch>
          <a:fillRect/>
        </a:stretch>
      </xdr:blipFill>
      <xdr:spPr>
        <a:xfrm>
          <a:off x="1271905" y="698500"/>
          <a:ext cx="3638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xdr:cNvPicPr>
          <a:picLocks noChangeAspect="1" noChangeArrowheads="1"/>
        </xdr:cNvPicPr>
      </xdr:nvPicPr>
      <xdr:blipFill>
        <a:blip r:embed="rId275"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xdr:cNvPicPr>
          <a:picLocks noChangeAspect="1" noChangeArrowheads="1"/>
        </xdr:cNvPicPr>
      </xdr:nvPicPr>
      <xdr:blipFill>
        <a:blip r:embed="rId276"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xdr:cNvPicPr>
          <a:picLocks noChangeAspect="1" noChangeArrowheads="1"/>
        </xdr:cNvPicPr>
      </xdr:nvPicPr>
      <xdr:blipFill>
        <a:blip r:embed="rId276"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xdr:cNvPicPr>
          <a:picLocks noChangeAspect="1" noChangeArrowheads="1"/>
        </xdr:cNvPicPr>
      </xdr:nvPicPr>
      <xdr:blipFill>
        <a:blip r:embed="rId276"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xdr:cNvPicPr>
          <a:picLocks noChangeAspect="1" noChangeArrowheads="1"/>
        </xdr:cNvPicPr>
      </xdr:nvPicPr>
      <xdr:blipFill>
        <a:blip r:embed="rId277"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xdr:cNvPicPr>
          <a:picLocks noChangeAspect="1" noChangeArrowheads="1"/>
        </xdr:cNvPicPr>
      </xdr:nvPicPr>
      <xdr:blipFill>
        <a:blip r:embed="rId278"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xdr:cNvPicPr>
          <a:picLocks noChangeAspect="1" noChangeArrowheads="1"/>
        </xdr:cNvPicPr>
      </xdr:nvPicPr>
      <xdr:blipFill>
        <a:blip r:embed="rId279"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xdr:cNvPicPr>
          <a:picLocks noChangeAspect="1" noChangeArrowheads="1"/>
        </xdr:cNvPicPr>
      </xdr:nvPicPr>
      <xdr:blipFill>
        <a:blip r:embed="rId279"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xdr:cNvPicPr>
          <a:picLocks noChangeAspect="1" noChangeArrowheads="1"/>
        </xdr:cNvPicPr>
      </xdr:nvPicPr>
      <xdr:blipFill>
        <a:blip r:embed="rId279"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xdr:cNvPicPr>
          <a:picLocks noChangeAspect="1" noChangeArrowheads="1"/>
        </xdr:cNvPicPr>
      </xdr:nvPicPr>
      <xdr:blipFill>
        <a:blip r:embed="rId280"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xdr:cNvPicPr>
          <a:picLocks noChangeAspect="1" noChangeArrowheads="1"/>
        </xdr:cNvPicPr>
      </xdr:nvPicPr>
      <xdr:blipFill>
        <a:blip r:embed="rId280"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xdr:cNvPicPr>
          <a:picLocks noChangeAspect="1" noChangeArrowheads="1"/>
        </xdr:cNvPicPr>
      </xdr:nvPicPr>
      <xdr:blipFill>
        <a:blip r:embed="rId281"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xdr:cNvPicPr>
          <a:picLocks noChangeAspect="1" noChangeArrowheads="1"/>
        </xdr:cNvPicPr>
      </xdr:nvPicPr>
      <xdr:blipFill>
        <a:blip r:embed="rId281"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xdr:cNvPicPr>
          <a:picLocks noChangeAspect="1" noChangeArrowheads="1"/>
        </xdr:cNvPicPr>
      </xdr:nvPicPr>
      <xdr:blipFill>
        <a:blip r:embed="rId281"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xdr:cNvPicPr>
          <a:picLocks noChangeAspect="1" noChangeArrowheads="1"/>
        </xdr:cNvPicPr>
      </xdr:nvPicPr>
      <xdr:blipFill>
        <a:blip r:embed="rId282"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xdr:cNvPicPr>
          <a:picLocks noChangeAspect="1" noChangeArrowheads="1"/>
        </xdr:cNvPicPr>
      </xdr:nvPicPr>
      <xdr:blipFill>
        <a:blip r:embed="rId283"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xdr:cNvPicPr>
          <a:picLocks noChangeAspect="1" noChangeArrowheads="1"/>
        </xdr:cNvPicPr>
      </xdr:nvPicPr>
      <xdr:blipFill>
        <a:blip r:embed="rId283"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xdr:cNvPicPr>
          <a:picLocks noChangeAspect="1" noChangeArrowheads="1"/>
        </xdr:cNvPicPr>
      </xdr:nvPicPr>
      <xdr:blipFill>
        <a:blip r:embed="rId283"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xdr:cNvPicPr>
          <a:picLocks noChangeAspect="1" noChangeArrowheads="1"/>
        </xdr:cNvPicPr>
      </xdr:nvPicPr>
      <xdr:blipFill>
        <a:blip r:embed="rId284"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xdr:cNvPicPr>
          <a:picLocks noChangeAspect="1" noChangeArrowheads="1"/>
        </xdr:cNvPicPr>
      </xdr:nvPicPr>
      <xdr:blipFill>
        <a:blip r:embed="rId284"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xdr:cNvPicPr>
          <a:picLocks noChangeAspect="1" noChangeArrowheads="1"/>
        </xdr:cNvPicPr>
      </xdr:nvPicPr>
      <xdr:blipFill>
        <a:blip r:embed="rId284"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xdr:cNvPicPr>
          <a:picLocks noChangeAspect="1" noChangeArrowheads="1"/>
        </xdr:cNvPicPr>
      </xdr:nvPicPr>
      <xdr:blipFill>
        <a:blip r:embed="rId284"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xdr:cNvPicPr>
          <a:picLocks noChangeAspect="1" noChangeArrowheads="1"/>
        </xdr:cNvPicPr>
      </xdr:nvPicPr>
      <xdr:blipFill>
        <a:blip r:embed="rId285"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xdr:cNvPicPr>
          <a:picLocks noChangeAspect="1" noChangeArrowheads="1"/>
        </xdr:cNvPicPr>
      </xdr:nvPicPr>
      <xdr:blipFill>
        <a:blip r:embed="rId285"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xdr:cNvPicPr>
          <a:picLocks noChangeAspect="1" noChangeArrowheads="1"/>
        </xdr:cNvPicPr>
      </xdr:nvPicPr>
      <xdr:blipFill>
        <a:blip r:embed="rId286"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xdr:cNvPicPr>
          <a:picLocks noChangeAspect="1" noChangeArrowheads="1"/>
        </xdr:cNvPicPr>
      </xdr:nvPicPr>
      <xdr:blipFill>
        <a:blip r:embed="rId286"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xdr:cNvPicPr>
          <a:picLocks noChangeAspect="1" noChangeArrowheads="1"/>
        </xdr:cNvPicPr>
      </xdr:nvPicPr>
      <xdr:blipFill>
        <a:blip r:embed="rId286"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xdr:cNvPicPr>
          <a:picLocks noChangeAspect="1" noChangeArrowheads="1"/>
        </xdr:cNvPicPr>
      </xdr:nvPicPr>
      <xdr:blipFill>
        <a:blip r:embed="rId287"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xdr:cNvPicPr>
          <a:picLocks noChangeAspect="1" noChangeArrowheads="1"/>
        </xdr:cNvPicPr>
      </xdr:nvPicPr>
      <xdr:blipFill>
        <a:blip r:embed="rId287"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xdr:cNvPicPr>
          <a:picLocks noChangeAspect="1" noChangeArrowheads="1"/>
        </xdr:cNvPicPr>
      </xdr:nvPicPr>
      <xdr:blipFill>
        <a:blip r:embed="rId287"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xdr:cNvPicPr>
          <a:picLocks noChangeAspect="1" noChangeArrowheads="1"/>
        </xdr:cNvPicPr>
      </xdr:nvPicPr>
      <xdr:blipFill>
        <a:blip r:embed="rId288"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xdr:cNvPicPr>
          <a:picLocks noChangeAspect="1" noChangeArrowheads="1"/>
        </xdr:cNvPicPr>
      </xdr:nvPicPr>
      <xdr:blipFill>
        <a:blip r:embed="rId288"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xdr:cNvPicPr>
          <a:picLocks noChangeAspect="1" noChangeArrowheads="1"/>
        </xdr:cNvPicPr>
      </xdr:nvPicPr>
      <xdr:blipFill>
        <a:blip r:embed="rId289"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xdr:cNvPicPr>
          <a:picLocks noChangeAspect="1" noChangeArrowheads="1"/>
        </xdr:cNvPicPr>
      </xdr:nvPicPr>
      <xdr:blipFill>
        <a:blip r:embed="rId290"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xdr:cNvPicPr>
          <a:picLocks noChangeAspect="1" noChangeArrowheads="1"/>
        </xdr:cNvPicPr>
      </xdr:nvPicPr>
      <xdr:blipFill>
        <a:blip r:embed="rId290"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xdr:cNvPicPr>
          <a:picLocks noChangeAspect="1" noChangeArrowheads="1"/>
        </xdr:cNvPicPr>
      </xdr:nvPicPr>
      <xdr:blipFill>
        <a:blip r:embed="rId262" cstate="email"/>
        <a:srcRect/>
        <a:stretch>
          <a:fillRect/>
        </a:stretch>
      </xdr:blipFill>
      <xdr:spPr>
        <a:xfrm>
          <a:off x="1310005" y="698500"/>
          <a:ext cx="3257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xdr:cNvPicPr>
          <a:picLocks noChangeAspect="1" noChangeArrowheads="1"/>
        </xdr:cNvPicPr>
      </xdr:nvPicPr>
      <xdr:blipFill>
        <a:blip r:embed="rId291"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xdr:cNvPicPr>
          <a:picLocks noChangeAspect="1" noChangeArrowheads="1"/>
        </xdr:cNvPicPr>
      </xdr:nvPicPr>
      <xdr:blipFill>
        <a:blip r:embed="rId292" cstate="email"/>
        <a:srcRect/>
        <a:stretch>
          <a:fillRect/>
        </a:stretch>
      </xdr:blipFill>
      <xdr:spPr>
        <a:xfrm>
          <a:off x="1284605" y="698500"/>
          <a:ext cx="3511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xdr:cNvPicPr>
          <a:picLocks noChangeAspect="1" noChangeArrowheads="1"/>
        </xdr:cNvPicPr>
      </xdr:nvPicPr>
      <xdr:blipFill>
        <a:blip r:embed="rId293" cstate="print"/>
        <a:srcRect/>
        <a:stretch>
          <a:fillRect/>
        </a:stretch>
      </xdr:blipFill>
      <xdr:spPr>
        <a:xfrm>
          <a:off x="1297305" y="698500"/>
          <a:ext cx="3384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xdr:cNvPicPr>
          <a:picLocks noChangeAspect="1" noChangeArrowheads="1"/>
        </xdr:cNvPicPr>
      </xdr:nvPicPr>
      <xdr:blipFill>
        <a:blip r:embed="rId294" cstate="email"/>
        <a:srcRect/>
        <a:stretch>
          <a:fillRect/>
        </a:stretch>
      </xdr:blipFill>
      <xdr:spPr>
        <a:xfrm>
          <a:off x="1233805" y="698500"/>
          <a:ext cx="4019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xdr:cNvPicPr>
          <a:picLocks noChangeAspect="1"/>
        </xdr:cNvPicPr>
      </xdr:nvPicPr>
      <xdr:blipFill>
        <a:blip r:embed="rId295" cstate="email"/>
        <a:stretch>
          <a:fillRect/>
        </a:stretch>
      </xdr:blipFill>
      <xdr:spPr>
        <a:xfrm>
          <a:off x="1322705" y="698500"/>
          <a:ext cx="313055" cy="0"/>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xdr:cNvPicPr>
          <a:picLocks noChangeAspect="1"/>
        </xdr:cNvPicPr>
      </xdr:nvPicPr>
      <xdr:blipFill>
        <a:blip r:embed="rId296" cstate="email"/>
        <a:stretch>
          <a:fillRect/>
        </a:stretch>
      </xdr:blipFill>
      <xdr:spPr>
        <a:xfrm>
          <a:off x="1310005" y="698500"/>
          <a:ext cx="325755" cy="0"/>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xdr:cNvPicPr>
          <a:picLocks noChangeAspect="1"/>
        </xdr:cNvPicPr>
      </xdr:nvPicPr>
      <xdr:blipFill>
        <a:blip r:embed="rId297" cstate="email"/>
        <a:stretch>
          <a:fillRect/>
        </a:stretch>
      </xdr:blipFill>
      <xdr:spPr>
        <a:xfrm>
          <a:off x="1218565" y="698500"/>
          <a:ext cx="417195" cy="0"/>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xdr:cNvPicPr>
          <a:picLocks noChangeAspect="1"/>
        </xdr:cNvPicPr>
      </xdr:nvPicPr>
      <xdr:blipFill>
        <a:blip r:embed="rId298" cstate="email"/>
        <a:stretch>
          <a:fillRect/>
        </a:stretch>
      </xdr:blipFill>
      <xdr:spPr>
        <a:xfrm>
          <a:off x="1318895" y="698500"/>
          <a:ext cx="316865" cy="0"/>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xdr:cNvPicPr>
          <a:picLocks noChangeAspect="1"/>
        </xdr:cNvPicPr>
      </xdr:nvPicPr>
      <xdr:blipFill>
        <a:blip r:embed="rId299" cstate="email"/>
        <a:stretch>
          <a:fillRect/>
        </a:stretch>
      </xdr:blipFill>
      <xdr:spPr>
        <a:xfrm>
          <a:off x="1308100" y="698500"/>
          <a:ext cx="327660" cy="0"/>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xdr:cNvPicPr>
          <a:picLocks noChangeAspect="1"/>
        </xdr:cNvPicPr>
      </xdr:nvPicPr>
      <xdr:blipFill>
        <a:blip r:embed="rId300" cstate="email"/>
        <a:stretch>
          <a:fillRect/>
        </a:stretch>
      </xdr:blipFill>
      <xdr:spPr>
        <a:xfrm>
          <a:off x="1344295" y="698500"/>
          <a:ext cx="291465" cy="0"/>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xdr:cNvPicPr>
          <a:picLocks noChangeAspect="1"/>
        </xdr:cNvPicPr>
      </xdr:nvPicPr>
      <xdr:blipFill>
        <a:blip r:embed="rId301" cstate="email"/>
        <a:stretch>
          <a:fillRect/>
        </a:stretch>
      </xdr:blipFill>
      <xdr:spPr>
        <a:xfrm>
          <a:off x="1308100" y="698500"/>
          <a:ext cx="327660" cy="0"/>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xdr:cNvPicPr>
          <a:picLocks noChangeAspect="1"/>
        </xdr:cNvPicPr>
      </xdr:nvPicPr>
      <xdr:blipFill>
        <a:blip r:embed="rId302" cstate="email"/>
        <a:stretch>
          <a:fillRect/>
        </a:stretch>
      </xdr:blipFill>
      <xdr:spPr>
        <a:xfrm>
          <a:off x="1306830" y="698500"/>
          <a:ext cx="328930" cy="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xdr:cNvPicPr>
          <a:picLocks noChangeAspect="1"/>
        </xdr:cNvPicPr>
      </xdr:nvPicPr>
      <xdr:blipFill>
        <a:blip r:embed="rId303" cstate="email"/>
        <a:stretch>
          <a:fillRect/>
        </a:stretch>
      </xdr:blipFill>
      <xdr:spPr>
        <a:xfrm>
          <a:off x="1350645" y="698500"/>
          <a:ext cx="285115" cy="0"/>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xdr:cNvPicPr>
          <a:picLocks noChangeAspect="1"/>
        </xdr:cNvPicPr>
      </xdr:nvPicPr>
      <xdr:blipFill>
        <a:blip r:embed="rId304" cstate="email"/>
        <a:stretch>
          <a:fillRect/>
        </a:stretch>
      </xdr:blipFill>
      <xdr:spPr>
        <a:xfrm>
          <a:off x="1347470" y="698500"/>
          <a:ext cx="288290" cy="0"/>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xdr:cNvPicPr>
          <a:picLocks noChangeAspect="1"/>
        </xdr:cNvPicPr>
      </xdr:nvPicPr>
      <xdr:blipFill>
        <a:blip r:embed="rId305" cstate="email"/>
        <a:stretch>
          <a:fillRect/>
        </a:stretch>
      </xdr:blipFill>
      <xdr:spPr>
        <a:xfrm>
          <a:off x="1381760" y="698500"/>
          <a:ext cx="254000" cy="0"/>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xdr:cNvPicPr>
          <a:picLocks noChangeAspect="1"/>
        </xdr:cNvPicPr>
      </xdr:nvPicPr>
      <xdr:blipFill>
        <a:blip r:embed="rId306" cstate="email"/>
        <a:stretch>
          <a:fillRect/>
        </a:stretch>
      </xdr:blipFill>
      <xdr:spPr>
        <a:xfrm>
          <a:off x="1318895" y="698500"/>
          <a:ext cx="316865" cy="0"/>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xdr:cNvPicPr>
          <a:picLocks noChangeAspect="1"/>
        </xdr:cNvPicPr>
      </xdr:nvPicPr>
      <xdr:blipFill>
        <a:blip r:embed="rId307" cstate="email"/>
        <a:stretch>
          <a:fillRect/>
        </a:stretch>
      </xdr:blipFill>
      <xdr:spPr>
        <a:xfrm>
          <a:off x="1295400" y="698500"/>
          <a:ext cx="340360" cy="0"/>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xdr:cNvPicPr>
          <a:picLocks noChangeAspect="1"/>
        </xdr:cNvPicPr>
      </xdr:nvPicPr>
      <xdr:blipFill>
        <a:blip r:embed="rId308" cstate="email"/>
        <a:stretch>
          <a:fillRect/>
        </a:stretch>
      </xdr:blipFill>
      <xdr:spPr>
        <a:xfrm>
          <a:off x="1369695" y="698500"/>
          <a:ext cx="266065" cy="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xdr:cNvPicPr>
          <a:picLocks noChangeAspect="1"/>
        </xdr:cNvPicPr>
      </xdr:nvPicPr>
      <xdr:blipFill>
        <a:blip r:embed="rId309" cstate="email"/>
        <a:stretch>
          <a:fillRect/>
        </a:stretch>
      </xdr:blipFill>
      <xdr:spPr>
        <a:xfrm>
          <a:off x="1243965" y="698500"/>
          <a:ext cx="391795" cy="0"/>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xdr:cNvPicPr>
          <a:picLocks noChangeAspect="1"/>
        </xdr:cNvPicPr>
      </xdr:nvPicPr>
      <xdr:blipFill>
        <a:blip r:embed="rId309" cstate="email"/>
        <a:stretch>
          <a:fillRect/>
        </a:stretch>
      </xdr:blipFill>
      <xdr:spPr>
        <a:xfrm>
          <a:off x="1245235" y="698500"/>
          <a:ext cx="390525" cy="0"/>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xdr:cNvPicPr>
          <a:picLocks noChangeAspect="1"/>
        </xdr:cNvPicPr>
      </xdr:nvPicPr>
      <xdr:blipFill>
        <a:blip r:embed="rId310" cstate="email"/>
        <a:stretch>
          <a:fillRect/>
        </a:stretch>
      </xdr:blipFill>
      <xdr:spPr>
        <a:xfrm>
          <a:off x="1281430" y="698500"/>
          <a:ext cx="354330" cy="0"/>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xdr:cNvPicPr>
          <a:picLocks noChangeAspect="1"/>
        </xdr:cNvPicPr>
      </xdr:nvPicPr>
      <xdr:blipFill>
        <a:blip r:embed="rId310" cstate="email"/>
        <a:stretch>
          <a:fillRect/>
        </a:stretch>
      </xdr:blipFill>
      <xdr:spPr>
        <a:xfrm>
          <a:off x="1281430" y="698500"/>
          <a:ext cx="354330" cy="0"/>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xdr:cNvPicPr>
          <a:picLocks noChangeAspect="1"/>
        </xdr:cNvPicPr>
      </xdr:nvPicPr>
      <xdr:blipFill>
        <a:blip r:embed="rId311" cstate="email"/>
        <a:stretch>
          <a:fillRect/>
        </a:stretch>
      </xdr:blipFill>
      <xdr:spPr>
        <a:xfrm>
          <a:off x="1470025" y="698500"/>
          <a:ext cx="165735" cy="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xdr:cNvPicPr>
          <a:picLocks noChangeAspect="1"/>
        </xdr:cNvPicPr>
      </xdr:nvPicPr>
      <xdr:blipFill>
        <a:blip r:embed="rId312" cstate="email"/>
        <a:stretch>
          <a:fillRect/>
        </a:stretch>
      </xdr:blipFill>
      <xdr:spPr>
        <a:xfrm>
          <a:off x="1394460" y="698500"/>
          <a:ext cx="241300" cy="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xdr:cNvPicPr>
          <a:picLocks noChangeAspect="1"/>
        </xdr:cNvPicPr>
      </xdr:nvPicPr>
      <xdr:blipFill>
        <a:blip r:embed="rId313" cstate="email"/>
        <a:stretch>
          <a:fillRect/>
        </a:stretch>
      </xdr:blipFill>
      <xdr:spPr>
        <a:xfrm>
          <a:off x="1356995" y="698500"/>
          <a:ext cx="278765" cy="0"/>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xdr:cNvPicPr>
          <a:picLocks noChangeAspect="1"/>
        </xdr:cNvPicPr>
      </xdr:nvPicPr>
      <xdr:blipFill>
        <a:blip r:embed="rId314" cstate="email"/>
        <a:stretch>
          <a:fillRect/>
        </a:stretch>
      </xdr:blipFill>
      <xdr:spPr>
        <a:xfrm>
          <a:off x="1345565" y="698500"/>
          <a:ext cx="290195" cy="0"/>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xdr:cNvPicPr>
          <a:picLocks noChangeAspect="1"/>
        </xdr:cNvPicPr>
      </xdr:nvPicPr>
      <xdr:blipFill>
        <a:blip r:embed="rId315" cstate="email"/>
        <a:stretch>
          <a:fillRect/>
        </a:stretch>
      </xdr:blipFill>
      <xdr:spPr>
        <a:xfrm>
          <a:off x="1026795" y="698500"/>
          <a:ext cx="608965" cy="0"/>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xdr:cNvPicPr>
          <a:picLocks noChangeAspect="1"/>
        </xdr:cNvPicPr>
      </xdr:nvPicPr>
      <xdr:blipFill>
        <a:blip r:embed="rId316" cstate="email"/>
        <a:stretch>
          <a:fillRect/>
        </a:stretch>
      </xdr:blipFill>
      <xdr:spPr>
        <a:xfrm>
          <a:off x="1081405" y="698500"/>
          <a:ext cx="554355" cy="0"/>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xdr:cNvPicPr>
          <a:picLocks noChangeAspect="1"/>
        </xdr:cNvPicPr>
      </xdr:nvPicPr>
      <xdr:blipFill>
        <a:blip r:embed="rId317" cstate="email"/>
        <a:stretch>
          <a:fillRect/>
        </a:stretch>
      </xdr:blipFill>
      <xdr:spPr>
        <a:xfrm>
          <a:off x="1268730" y="698500"/>
          <a:ext cx="367030" cy="0"/>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xdr:cNvPicPr>
          <a:picLocks noChangeAspect="1"/>
        </xdr:cNvPicPr>
      </xdr:nvPicPr>
      <xdr:blipFill>
        <a:blip r:embed="rId318" cstate="email"/>
        <a:stretch>
          <a:fillRect/>
        </a:stretch>
      </xdr:blipFill>
      <xdr:spPr>
        <a:xfrm>
          <a:off x="1228725" y="698500"/>
          <a:ext cx="407035" cy="0"/>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xdr:cNvPicPr>
          <a:picLocks noChangeAspect="1"/>
        </xdr:cNvPicPr>
      </xdr:nvPicPr>
      <xdr:blipFill>
        <a:blip r:embed="rId319" cstate="email"/>
        <a:stretch>
          <a:fillRect/>
        </a:stretch>
      </xdr:blipFill>
      <xdr:spPr>
        <a:xfrm>
          <a:off x="1344295" y="698500"/>
          <a:ext cx="291465" cy="0"/>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xdr:cNvPicPr>
          <a:picLocks noChangeAspect="1"/>
        </xdr:cNvPicPr>
      </xdr:nvPicPr>
      <xdr:blipFill>
        <a:blip r:embed="rId320" cstate="email"/>
        <a:stretch>
          <a:fillRect/>
        </a:stretch>
      </xdr:blipFill>
      <xdr:spPr>
        <a:xfrm>
          <a:off x="1218565" y="698500"/>
          <a:ext cx="417195" cy="0"/>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xdr:cNvPicPr>
          <a:picLocks noChangeAspect="1"/>
        </xdr:cNvPicPr>
      </xdr:nvPicPr>
      <xdr:blipFill>
        <a:blip r:embed="rId321" cstate="email"/>
        <a:stretch>
          <a:fillRect/>
        </a:stretch>
      </xdr:blipFill>
      <xdr:spPr>
        <a:xfrm>
          <a:off x="1143000" y="698500"/>
          <a:ext cx="492760" cy="0"/>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xdr:cNvPicPr>
          <a:picLocks noChangeAspect="1"/>
        </xdr:cNvPicPr>
      </xdr:nvPicPr>
      <xdr:blipFill>
        <a:blip r:embed="rId322" cstate="email"/>
        <a:stretch>
          <a:fillRect/>
        </a:stretch>
      </xdr:blipFill>
      <xdr:spPr>
        <a:xfrm>
          <a:off x="1299845" y="698500"/>
          <a:ext cx="335915" cy="0"/>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xdr:cNvPicPr>
          <a:picLocks noChangeAspect="1"/>
        </xdr:cNvPicPr>
      </xdr:nvPicPr>
      <xdr:blipFill>
        <a:blip r:embed="rId323" cstate="email"/>
        <a:stretch>
          <a:fillRect/>
        </a:stretch>
      </xdr:blipFill>
      <xdr:spPr>
        <a:xfrm>
          <a:off x="1297305" y="698500"/>
          <a:ext cx="338455" cy="0"/>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xdr:cNvPicPr>
          <a:picLocks noChangeAspect="1"/>
        </xdr:cNvPicPr>
      </xdr:nvPicPr>
      <xdr:blipFill>
        <a:blip r:embed="rId324" cstate="email"/>
        <a:stretch>
          <a:fillRect/>
        </a:stretch>
      </xdr:blipFill>
      <xdr:spPr>
        <a:xfrm>
          <a:off x="1238885" y="698500"/>
          <a:ext cx="396875" cy="0"/>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xdr:cNvPicPr>
          <a:picLocks noChangeAspect="1"/>
        </xdr:cNvPicPr>
      </xdr:nvPicPr>
      <xdr:blipFill>
        <a:blip r:embed="rId325" cstate="email"/>
        <a:stretch>
          <a:fillRect/>
        </a:stretch>
      </xdr:blipFill>
      <xdr:spPr>
        <a:xfrm>
          <a:off x="1240790" y="698500"/>
          <a:ext cx="394970" cy="0"/>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xdr:cNvPicPr>
          <a:picLocks noChangeAspect="1"/>
        </xdr:cNvPicPr>
      </xdr:nvPicPr>
      <xdr:blipFill>
        <a:blip r:embed="rId326" cstate="email"/>
        <a:stretch>
          <a:fillRect/>
        </a:stretch>
      </xdr:blipFill>
      <xdr:spPr>
        <a:xfrm>
          <a:off x="1242060" y="698500"/>
          <a:ext cx="393700" cy="0"/>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xdr:cNvPicPr>
          <a:picLocks noChangeAspect="1"/>
        </xdr:cNvPicPr>
      </xdr:nvPicPr>
      <xdr:blipFill>
        <a:blip r:embed="rId327" cstate="email"/>
        <a:stretch>
          <a:fillRect/>
        </a:stretch>
      </xdr:blipFill>
      <xdr:spPr>
        <a:xfrm>
          <a:off x="1174750" y="698500"/>
          <a:ext cx="461010" cy="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xdr:cNvPicPr>
          <a:picLocks noChangeAspect="1"/>
        </xdr:cNvPicPr>
      </xdr:nvPicPr>
      <xdr:blipFill>
        <a:blip r:embed="rId328" cstate="email"/>
        <a:stretch>
          <a:fillRect/>
        </a:stretch>
      </xdr:blipFill>
      <xdr:spPr>
        <a:xfrm>
          <a:off x="1241425" y="698500"/>
          <a:ext cx="394335" cy="0"/>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xdr:cNvPicPr>
          <a:picLocks noChangeAspect="1"/>
        </xdr:cNvPicPr>
      </xdr:nvPicPr>
      <xdr:blipFill>
        <a:blip r:embed="rId329" cstate="email"/>
        <a:stretch>
          <a:fillRect/>
        </a:stretch>
      </xdr:blipFill>
      <xdr:spPr>
        <a:xfrm>
          <a:off x="1268730" y="698500"/>
          <a:ext cx="367030" cy="0"/>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xdr:cNvPicPr>
          <a:picLocks noChangeAspect="1"/>
        </xdr:cNvPicPr>
      </xdr:nvPicPr>
      <xdr:blipFill>
        <a:blip r:embed="rId330" cstate="email"/>
        <a:stretch>
          <a:fillRect/>
        </a:stretch>
      </xdr:blipFill>
      <xdr:spPr>
        <a:xfrm>
          <a:off x="1218565" y="698500"/>
          <a:ext cx="417195" cy="0"/>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xdr:cNvPicPr>
          <a:picLocks noChangeAspect="1"/>
        </xdr:cNvPicPr>
      </xdr:nvPicPr>
      <xdr:blipFill>
        <a:blip r:embed="rId331" cstate="email"/>
        <a:stretch>
          <a:fillRect/>
        </a:stretch>
      </xdr:blipFill>
      <xdr:spPr>
        <a:xfrm>
          <a:off x="1281430" y="698500"/>
          <a:ext cx="354330" cy="0"/>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xdr:cNvPicPr>
          <a:picLocks noChangeAspect="1"/>
        </xdr:cNvPicPr>
      </xdr:nvPicPr>
      <xdr:blipFill>
        <a:blip r:embed="rId332" cstate="email"/>
        <a:stretch>
          <a:fillRect/>
        </a:stretch>
      </xdr:blipFill>
      <xdr:spPr>
        <a:xfrm>
          <a:off x="1130935" y="698500"/>
          <a:ext cx="448945" cy="0"/>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xdr:cNvPicPr>
          <a:picLocks noChangeAspect="1"/>
        </xdr:cNvPicPr>
      </xdr:nvPicPr>
      <xdr:blipFill>
        <a:blip r:embed="rId333" cstate="email"/>
        <a:stretch>
          <a:fillRect/>
        </a:stretch>
      </xdr:blipFill>
      <xdr:spPr>
        <a:xfrm>
          <a:off x="1165225" y="698500"/>
          <a:ext cx="470535" cy="0"/>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xdr:cNvPicPr>
          <a:picLocks noChangeAspect="1"/>
        </xdr:cNvPicPr>
      </xdr:nvPicPr>
      <xdr:blipFill>
        <a:blip r:embed="rId334" cstate="email"/>
        <a:stretch>
          <a:fillRect/>
        </a:stretch>
      </xdr:blipFill>
      <xdr:spPr>
        <a:xfrm>
          <a:off x="1160780" y="698500"/>
          <a:ext cx="460375" cy="0"/>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xdr:cNvPicPr>
          <a:picLocks noChangeAspect="1"/>
        </xdr:cNvPicPr>
      </xdr:nvPicPr>
      <xdr:blipFill>
        <a:blip r:embed="rId335" cstate="email"/>
        <a:stretch>
          <a:fillRect/>
        </a:stretch>
      </xdr:blipFill>
      <xdr:spPr>
        <a:xfrm>
          <a:off x="1089025" y="698500"/>
          <a:ext cx="503555" cy="0"/>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xdr:cNvPicPr>
          <a:picLocks noChangeAspect="1"/>
        </xdr:cNvPicPr>
      </xdr:nvPicPr>
      <xdr:blipFill>
        <a:blip r:embed="rId336" cstate="email"/>
        <a:stretch>
          <a:fillRect/>
        </a:stretch>
      </xdr:blipFill>
      <xdr:spPr>
        <a:xfrm>
          <a:off x="1098550" y="698500"/>
          <a:ext cx="522605" cy="0"/>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xdr:cNvPicPr>
          <a:picLocks noChangeAspect="1"/>
        </xdr:cNvPicPr>
      </xdr:nvPicPr>
      <xdr:blipFill>
        <a:blip r:embed="rId337" cstate="email"/>
        <a:stretch>
          <a:fillRect/>
        </a:stretch>
      </xdr:blipFill>
      <xdr:spPr>
        <a:xfrm>
          <a:off x="1043940" y="698500"/>
          <a:ext cx="591820" cy="0"/>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xdr:cNvPicPr>
          <a:picLocks noChangeAspect="1"/>
        </xdr:cNvPicPr>
      </xdr:nvPicPr>
      <xdr:blipFill>
        <a:blip r:embed="rId338" cstate="email"/>
        <a:stretch>
          <a:fillRect/>
        </a:stretch>
      </xdr:blipFill>
      <xdr:spPr>
        <a:xfrm>
          <a:off x="1105535" y="698500"/>
          <a:ext cx="530225" cy="0"/>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xdr:cNvPicPr>
          <a:picLocks noChangeAspect="1"/>
        </xdr:cNvPicPr>
      </xdr:nvPicPr>
      <xdr:blipFill>
        <a:blip r:embed="rId339" cstate="email"/>
        <a:stretch>
          <a:fillRect/>
        </a:stretch>
      </xdr:blipFill>
      <xdr:spPr>
        <a:xfrm>
          <a:off x="1000760" y="698500"/>
          <a:ext cx="635000" cy="0"/>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xdr:cNvPicPr>
          <a:picLocks noChangeAspect="1"/>
        </xdr:cNvPicPr>
      </xdr:nvPicPr>
      <xdr:blipFill>
        <a:blip r:embed="rId340" cstate="email"/>
        <a:stretch>
          <a:fillRect/>
        </a:stretch>
      </xdr:blipFill>
      <xdr:spPr>
        <a:xfrm>
          <a:off x="1002665" y="698500"/>
          <a:ext cx="633095" cy="0"/>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xdr:cNvPicPr>
          <a:picLocks noChangeAspect="1"/>
        </xdr:cNvPicPr>
      </xdr:nvPicPr>
      <xdr:blipFill>
        <a:blip r:embed="rId341" cstate="email"/>
        <a:stretch>
          <a:fillRect/>
        </a:stretch>
      </xdr:blipFill>
      <xdr:spPr>
        <a:xfrm>
          <a:off x="979805" y="698500"/>
          <a:ext cx="626745" cy="0"/>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xdr:cNvPicPr>
          <a:picLocks noChangeAspect="1"/>
        </xdr:cNvPicPr>
      </xdr:nvPicPr>
      <xdr:blipFill>
        <a:blip r:embed="rId342" cstate="email"/>
        <a:stretch>
          <a:fillRect/>
        </a:stretch>
      </xdr:blipFill>
      <xdr:spPr>
        <a:xfrm>
          <a:off x="1087755" y="698500"/>
          <a:ext cx="548005" cy="0"/>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xdr:cNvPicPr>
          <a:picLocks noChangeAspect="1"/>
        </xdr:cNvPicPr>
      </xdr:nvPicPr>
      <xdr:blipFill>
        <a:blip r:embed="rId343" cstate="email"/>
        <a:stretch>
          <a:fillRect/>
        </a:stretch>
      </xdr:blipFill>
      <xdr:spPr>
        <a:xfrm>
          <a:off x="1245235" y="698500"/>
          <a:ext cx="390525" cy="0"/>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xdr:cNvPicPr>
          <a:picLocks noChangeAspect="1"/>
        </xdr:cNvPicPr>
      </xdr:nvPicPr>
      <xdr:blipFill>
        <a:blip r:embed="rId344" cstate="email"/>
        <a:stretch>
          <a:fillRect/>
        </a:stretch>
      </xdr:blipFill>
      <xdr:spPr>
        <a:xfrm>
          <a:off x="1202055" y="698500"/>
          <a:ext cx="433705" cy="0"/>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xdr:cNvPicPr>
          <a:picLocks noChangeAspect="1"/>
        </xdr:cNvPicPr>
      </xdr:nvPicPr>
      <xdr:blipFill>
        <a:blip r:embed="rId345" cstate="email"/>
        <a:stretch>
          <a:fillRect/>
        </a:stretch>
      </xdr:blipFill>
      <xdr:spPr>
        <a:xfrm>
          <a:off x="1188085" y="698500"/>
          <a:ext cx="447675" cy="0"/>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xdr:cNvPicPr>
          <a:picLocks noChangeAspect="1"/>
        </xdr:cNvPicPr>
      </xdr:nvPicPr>
      <xdr:blipFill>
        <a:blip r:embed="rId346" cstate="email"/>
        <a:stretch>
          <a:fillRect/>
        </a:stretch>
      </xdr:blipFill>
      <xdr:spPr>
        <a:xfrm>
          <a:off x="1166495" y="698500"/>
          <a:ext cx="469265" cy="0"/>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xdr:cNvPicPr>
          <a:picLocks noChangeAspect="1"/>
        </xdr:cNvPicPr>
      </xdr:nvPicPr>
      <xdr:blipFill>
        <a:blip r:embed="rId347" cstate="email"/>
        <a:stretch>
          <a:fillRect/>
        </a:stretch>
      </xdr:blipFill>
      <xdr:spPr>
        <a:xfrm>
          <a:off x="1009650" y="698500"/>
          <a:ext cx="626110" cy="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xdr:cNvPicPr>
          <a:picLocks noChangeAspect="1"/>
        </xdr:cNvPicPr>
      </xdr:nvPicPr>
      <xdr:blipFill>
        <a:blip r:embed="rId348" cstate="email"/>
        <a:stretch>
          <a:fillRect/>
        </a:stretch>
      </xdr:blipFill>
      <xdr:spPr>
        <a:xfrm>
          <a:off x="1210945" y="698500"/>
          <a:ext cx="424815" cy="0"/>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xdr:cNvPicPr>
          <a:picLocks noChangeAspect="1"/>
        </xdr:cNvPicPr>
      </xdr:nvPicPr>
      <xdr:blipFill>
        <a:blip r:embed="rId349" cstate="email"/>
        <a:stretch>
          <a:fillRect/>
        </a:stretch>
      </xdr:blipFill>
      <xdr:spPr>
        <a:xfrm>
          <a:off x="1158240" y="698500"/>
          <a:ext cx="434340" cy="0"/>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xdr:cNvPicPr>
          <a:picLocks noChangeAspect="1"/>
        </xdr:cNvPicPr>
      </xdr:nvPicPr>
      <xdr:blipFill>
        <a:blip r:embed="rId350" cstate="email"/>
        <a:stretch>
          <a:fillRect/>
        </a:stretch>
      </xdr:blipFill>
      <xdr:spPr>
        <a:xfrm>
          <a:off x="1230630" y="698500"/>
          <a:ext cx="405130" cy="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xdr:cNvPicPr>
          <a:picLocks noChangeAspect="1"/>
        </xdr:cNvPicPr>
      </xdr:nvPicPr>
      <xdr:blipFill>
        <a:blip r:embed="rId351" cstate="email"/>
        <a:stretch>
          <a:fillRect/>
        </a:stretch>
      </xdr:blipFill>
      <xdr:spPr>
        <a:xfrm>
          <a:off x="1193800" y="698500"/>
          <a:ext cx="441960" cy="0"/>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xdr:cNvPicPr>
          <a:picLocks noChangeAspect="1"/>
        </xdr:cNvPicPr>
      </xdr:nvPicPr>
      <xdr:blipFill>
        <a:blip r:embed="rId352" cstate="email"/>
        <a:stretch>
          <a:fillRect/>
        </a:stretch>
      </xdr:blipFill>
      <xdr:spPr>
        <a:xfrm>
          <a:off x="1243965" y="698500"/>
          <a:ext cx="391795" cy="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xdr:cNvPicPr>
          <a:picLocks noChangeAspect="1"/>
        </xdr:cNvPicPr>
      </xdr:nvPicPr>
      <xdr:blipFill>
        <a:blip r:embed="rId353" cstate="email"/>
        <a:stretch>
          <a:fillRect/>
        </a:stretch>
      </xdr:blipFill>
      <xdr:spPr>
        <a:xfrm>
          <a:off x="1229995" y="698500"/>
          <a:ext cx="394970" cy="0"/>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xdr:cNvPicPr>
          <a:picLocks noChangeAspect="1"/>
        </xdr:cNvPicPr>
      </xdr:nvPicPr>
      <xdr:blipFill>
        <a:blip r:embed="rId354" cstate="email"/>
        <a:stretch>
          <a:fillRect/>
        </a:stretch>
      </xdr:blipFill>
      <xdr:spPr>
        <a:xfrm>
          <a:off x="1058545" y="698500"/>
          <a:ext cx="577215" cy="0"/>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xdr:cNvPicPr>
          <a:picLocks noChangeAspect="1"/>
        </xdr:cNvPicPr>
      </xdr:nvPicPr>
      <xdr:blipFill>
        <a:blip r:embed="rId355" cstate="email"/>
        <a:stretch>
          <a:fillRect/>
        </a:stretch>
      </xdr:blipFill>
      <xdr:spPr>
        <a:xfrm>
          <a:off x="1099820" y="698500"/>
          <a:ext cx="477520" cy="0"/>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xdr:cNvPicPr>
          <a:picLocks noChangeAspect="1"/>
        </xdr:cNvPicPr>
      </xdr:nvPicPr>
      <xdr:blipFill>
        <a:blip r:embed="rId356" cstate="email"/>
        <a:stretch>
          <a:fillRect/>
        </a:stretch>
      </xdr:blipFill>
      <xdr:spPr>
        <a:xfrm>
          <a:off x="1144270" y="698500"/>
          <a:ext cx="491490" cy="0"/>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xdr:cNvPicPr>
          <a:picLocks noChangeAspect="1"/>
        </xdr:cNvPicPr>
      </xdr:nvPicPr>
      <xdr:blipFill>
        <a:blip r:embed="rId357" cstate="email"/>
        <a:stretch>
          <a:fillRect/>
        </a:stretch>
      </xdr:blipFill>
      <xdr:spPr>
        <a:xfrm>
          <a:off x="1151255" y="698500"/>
          <a:ext cx="484505" cy="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xdr:cNvPicPr>
          <a:picLocks noChangeAspect="1"/>
        </xdr:cNvPicPr>
      </xdr:nvPicPr>
      <xdr:blipFill>
        <a:blip r:embed="rId358" cstate="email"/>
        <a:stretch>
          <a:fillRect/>
        </a:stretch>
      </xdr:blipFill>
      <xdr:spPr>
        <a:xfrm>
          <a:off x="1129665" y="698500"/>
          <a:ext cx="506095" cy="0"/>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xdr:cNvPicPr>
          <a:picLocks noChangeAspect="1"/>
        </xdr:cNvPicPr>
      </xdr:nvPicPr>
      <xdr:blipFill>
        <a:blip r:embed="rId359" cstate="email"/>
        <a:stretch>
          <a:fillRect/>
        </a:stretch>
      </xdr:blipFill>
      <xdr:spPr>
        <a:xfrm>
          <a:off x="1158240" y="698500"/>
          <a:ext cx="477520" cy="0"/>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xdr:cNvPicPr>
          <a:picLocks noChangeAspect="1"/>
        </xdr:cNvPicPr>
      </xdr:nvPicPr>
      <xdr:blipFill>
        <a:blip r:embed="rId360" cstate="email"/>
        <a:stretch>
          <a:fillRect/>
        </a:stretch>
      </xdr:blipFill>
      <xdr:spPr>
        <a:xfrm>
          <a:off x="1101090" y="698500"/>
          <a:ext cx="534670" cy="0"/>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xdr:cNvPicPr>
          <a:picLocks noChangeAspect="1"/>
        </xdr:cNvPicPr>
      </xdr:nvPicPr>
      <xdr:blipFill>
        <a:blip r:embed="rId361" cstate="email"/>
        <a:stretch>
          <a:fillRect/>
        </a:stretch>
      </xdr:blipFill>
      <xdr:spPr>
        <a:xfrm>
          <a:off x="1072515" y="698500"/>
          <a:ext cx="563245" cy="0"/>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xdr:cNvPicPr>
          <a:picLocks noChangeAspect="1"/>
        </xdr:cNvPicPr>
      </xdr:nvPicPr>
      <xdr:blipFill>
        <a:blip r:embed="rId362" cstate="email"/>
        <a:stretch>
          <a:fillRect/>
        </a:stretch>
      </xdr:blipFill>
      <xdr:spPr>
        <a:xfrm>
          <a:off x="986790" y="698500"/>
          <a:ext cx="648970" cy="0"/>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xdr:cNvPicPr>
          <a:picLocks noChangeAspect="1"/>
        </xdr:cNvPicPr>
      </xdr:nvPicPr>
      <xdr:blipFill>
        <a:blip r:embed="rId363" cstate="email"/>
        <a:stretch>
          <a:fillRect/>
        </a:stretch>
      </xdr:blipFill>
      <xdr:spPr>
        <a:xfrm>
          <a:off x="1073150" y="698500"/>
          <a:ext cx="562610" cy="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xdr:cNvPicPr>
          <a:picLocks noChangeAspect="1"/>
        </xdr:cNvPicPr>
      </xdr:nvPicPr>
      <xdr:blipFill>
        <a:blip r:embed="rId364" cstate="email"/>
        <a:stretch>
          <a:fillRect/>
        </a:stretch>
      </xdr:blipFill>
      <xdr:spPr>
        <a:xfrm>
          <a:off x="1068070" y="698500"/>
          <a:ext cx="567690" cy="0"/>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xdr:cNvPicPr>
          <a:picLocks noChangeAspect="1"/>
        </xdr:cNvPicPr>
      </xdr:nvPicPr>
      <xdr:blipFill>
        <a:blip r:embed="rId365" cstate="email"/>
        <a:stretch>
          <a:fillRect/>
        </a:stretch>
      </xdr:blipFill>
      <xdr:spPr>
        <a:xfrm>
          <a:off x="1158240" y="698500"/>
          <a:ext cx="436245" cy="0"/>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xdr:cNvPicPr>
          <a:picLocks noChangeAspect="1"/>
        </xdr:cNvPicPr>
      </xdr:nvPicPr>
      <xdr:blipFill>
        <a:blip r:embed="rId366" cstate="email"/>
        <a:stretch>
          <a:fillRect/>
        </a:stretch>
      </xdr:blipFill>
      <xdr:spPr>
        <a:xfrm>
          <a:off x="1129665" y="698500"/>
          <a:ext cx="389890" cy="0"/>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xdr:cNvPicPr>
          <a:picLocks noChangeAspect="1"/>
        </xdr:cNvPicPr>
      </xdr:nvPicPr>
      <xdr:blipFill>
        <a:blip r:embed="rId367" cstate="email"/>
        <a:stretch>
          <a:fillRect/>
        </a:stretch>
      </xdr:blipFill>
      <xdr:spPr>
        <a:xfrm>
          <a:off x="1085850" y="698500"/>
          <a:ext cx="526415" cy="0"/>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xdr:cNvPicPr>
          <a:picLocks noChangeAspect="1"/>
        </xdr:cNvPicPr>
      </xdr:nvPicPr>
      <xdr:blipFill>
        <a:blip r:embed="rId368" cstate="email"/>
        <a:stretch>
          <a:fillRect/>
        </a:stretch>
      </xdr:blipFill>
      <xdr:spPr>
        <a:xfrm>
          <a:off x="1086485" y="698500"/>
          <a:ext cx="541655" cy="0"/>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xdr:cNvPicPr>
          <a:picLocks noChangeAspect="1"/>
        </xdr:cNvPicPr>
      </xdr:nvPicPr>
      <xdr:blipFill>
        <a:blip r:embed="rId369" cstate="email"/>
        <a:stretch>
          <a:fillRect/>
        </a:stretch>
      </xdr:blipFill>
      <xdr:spPr>
        <a:xfrm>
          <a:off x="1086485" y="698500"/>
          <a:ext cx="549275" cy="0"/>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xdr:cNvPicPr>
          <a:picLocks noChangeAspect="1"/>
        </xdr:cNvPicPr>
      </xdr:nvPicPr>
      <xdr:blipFill>
        <a:blip r:embed="rId370" cstate="email"/>
        <a:stretch>
          <a:fillRect/>
        </a:stretch>
      </xdr:blipFill>
      <xdr:spPr>
        <a:xfrm>
          <a:off x="1078865" y="698500"/>
          <a:ext cx="539115" cy="0"/>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xdr:cNvPicPr>
          <a:picLocks noChangeAspect="1"/>
        </xdr:cNvPicPr>
      </xdr:nvPicPr>
      <xdr:blipFill>
        <a:blip r:embed="rId371" cstate="email"/>
        <a:stretch>
          <a:fillRect/>
        </a:stretch>
      </xdr:blipFill>
      <xdr:spPr>
        <a:xfrm>
          <a:off x="1117600" y="698500"/>
          <a:ext cx="517525" cy="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xdr:cNvPicPr>
          <a:picLocks noChangeAspect="1"/>
        </xdr:cNvPicPr>
      </xdr:nvPicPr>
      <xdr:blipFill>
        <a:blip r:embed="rId372" cstate="email"/>
        <a:stretch>
          <a:fillRect/>
        </a:stretch>
      </xdr:blipFill>
      <xdr:spPr>
        <a:xfrm>
          <a:off x="1158240" y="698500"/>
          <a:ext cx="477520" cy="0"/>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xdr:cNvPicPr>
          <a:picLocks noChangeAspect="1"/>
        </xdr:cNvPicPr>
      </xdr:nvPicPr>
      <xdr:blipFill>
        <a:blip r:embed="rId373" cstate="email"/>
        <a:stretch>
          <a:fillRect/>
        </a:stretch>
      </xdr:blipFill>
      <xdr:spPr>
        <a:xfrm>
          <a:off x="1139190" y="698500"/>
          <a:ext cx="496570" cy="0"/>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xdr:cNvPicPr>
          <a:picLocks noChangeAspect="1"/>
        </xdr:cNvPicPr>
      </xdr:nvPicPr>
      <xdr:blipFill>
        <a:blip r:embed="rId374" cstate="email"/>
        <a:stretch>
          <a:fillRect/>
        </a:stretch>
      </xdr:blipFill>
      <xdr:spPr>
        <a:xfrm>
          <a:off x="1079500" y="698500"/>
          <a:ext cx="556260" cy="0"/>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xdr:cNvPicPr>
          <a:picLocks noChangeAspect="1"/>
        </xdr:cNvPicPr>
      </xdr:nvPicPr>
      <xdr:blipFill>
        <a:blip r:embed="rId375" cstate="email"/>
        <a:stretch>
          <a:fillRect/>
        </a:stretch>
      </xdr:blipFill>
      <xdr:spPr>
        <a:xfrm>
          <a:off x="1101090" y="698500"/>
          <a:ext cx="534670" cy="0"/>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xdr:cNvPicPr>
          <a:picLocks noChangeAspect="1"/>
        </xdr:cNvPicPr>
      </xdr:nvPicPr>
      <xdr:blipFill>
        <a:blip r:embed="rId376" cstate="email"/>
        <a:stretch>
          <a:fillRect/>
        </a:stretch>
      </xdr:blipFill>
      <xdr:spPr>
        <a:xfrm>
          <a:off x="1129665" y="698500"/>
          <a:ext cx="506095" cy="0"/>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xdr:cNvPicPr>
          <a:picLocks noChangeAspect="1"/>
        </xdr:cNvPicPr>
      </xdr:nvPicPr>
      <xdr:blipFill>
        <a:blip r:embed="rId377" cstate="email"/>
        <a:stretch>
          <a:fillRect/>
        </a:stretch>
      </xdr:blipFill>
      <xdr:spPr>
        <a:xfrm>
          <a:off x="1172845" y="698500"/>
          <a:ext cx="422275" cy="0"/>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xdr:cNvPicPr>
          <a:picLocks noChangeAspect="1"/>
        </xdr:cNvPicPr>
      </xdr:nvPicPr>
      <xdr:blipFill>
        <a:blip r:embed="rId378" cstate="email"/>
        <a:stretch>
          <a:fillRect/>
        </a:stretch>
      </xdr:blipFill>
      <xdr:spPr>
        <a:xfrm>
          <a:off x="1085215" y="698500"/>
          <a:ext cx="550545" cy="0"/>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xdr:cNvPicPr>
          <a:picLocks noChangeAspect="1"/>
        </xdr:cNvPicPr>
      </xdr:nvPicPr>
      <xdr:blipFill>
        <a:blip r:embed="rId379" cstate="email"/>
        <a:stretch>
          <a:fillRect/>
        </a:stretch>
      </xdr:blipFill>
      <xdr:spPr>
        <a:xfrm>
          <a:off x="1158240" y="698500"/>
          <a:ext cx="423545" cy="0"/>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xdr:cNvPicPr>
          <a:picLocks noChangeAspect="1"/>
        </xdr:cNvPicPr>
      </xdr:nvPicPr>
      <xdr:blipFill>
        <a:blip r:embed="rId380" cstate="email"/>
        <a:stretch>
          <a:fillRect/>
        </a:stretch>
      </xdr:blipFill>
      <xdr:spPr>
        <a:xfrm>
          <a:off x="1153795" y="698500"/>
          <a:ext cx="423545" cy="0"/>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xdr:cNvPicPr>
          <a:picLocks noChangeAspect="1"/>
        </xdr:cNvPicPr>
      </xdr:nvPicPr>
      <xdr:blipFill>
        <a:blip r:embed="rId381" cstate="email"/>
        <a:stretch>
          <a:fillRect/>
        </a:stretch>
      </xdr:blipFill>
      <xdr:spPr>
        <a:xfrm>
          <a:off x="1172845" y="698500"/>
          <a:ext cx="410845" cy="0"/>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xdr:cNvPicPr>
          <a:picLocks noChangeAspect="1"/>
        </xdr:cNvPicPr>
      </xdr:nvPicPr>
      <xdr:blipFill>
        <a:blip r:embed="rId382" cstate="email"/>
        <a:stretch>
          <a:fillRect/>
        </a:stretch>
      </xdr:blipFill>
      <xdr:spPr>
        <a:xfrm>
          <a:off x="1170305" y="698500"/>
          <a:ext cx="444500" cy="0"/>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xdr:cNvPicPr>
          <a:picLocks noChangeAspect="1"/>
        </xdr:cNvPicPr>
      </xdr:nvPicPr>
      <xdr:blipFill>
        <a:blip r:embed="rId383" cstate="email"/>
        <a:stretch>
          <a:fillRect/>
        </a:stretch>
      </xdr:blipFill>
      <xdr:spPr>
        <a:xfrm>
          <a:off x="1186815" y="698500"/>
          <a:ext cx="448945" cy="0"/>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xdr:cNvPicPr>
          <a:picLocks noChangeAspect="1"/>
        </xdr:cNvPicPr>
      </xdr:nvPicPr>
      <xdr:blipFill>
        <a:blip r:embed="rId384" cstate="email"/>
        <a:stretch>
          <a:fillRect/>
        </a:stretch>
      </xdr:blipFill>
      <xdr:spPr>
        <a:xfrm>
          <a:off x="1188720" y="698500"/>
          <a:ext cx="431165" cy="0"/>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xdr:cNvPicPr>
          <a:picLocks noChangeAspect="1" noChangeArrowheads="1"/>
        </xdr:cNvPicPr>
      </xdr:nvPicPr>
      <xdr:blipFill>
        <a:blip r:embed="rId385" cstate="email"/>
        <a:srcRect/>
        <a:stretch>
          <a:fillRect/>
        </a:stretch>
      </xdr:blipFill>
      <xdr:spPr>
        <a:xfrm>
          <a:off x="1122680" y="698500"/>
          <a:ext cx="5016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xdr:cNvPicPr>
          <a:picLocks noChangeAspect="1" noChangeArrowheads="1"/>
        </xdr:cNvPicPr>
      </xdr:nvPicPr>
      <xdr:blipFill>
        <a:blip r:embed="rId386" cstate="email"/>
        <a:srcRect/>
        <a:stretch>
          <a:fillRect/>
        </a:stretch>
      </xdr:blipFill>
      <xdr:spPr>
        <a:xfrm>
          <a:off x="1132205" y="698500"/>
          <a:ext cx="4908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xdr:cNvPicPr>
          <a:picLocks noChangeAspect="1" noChangeArrowheads="1"/>
        </xdr:cNvPicPr>
      </xdr:nvPicPr>
      <xdr:blipFill>
        <a:blip r:embed="rId387" cstate="email"/>
        <a:srcRect/>
        <a:stretch>
          <a:fillRect/>
        </a:stretch>
      </xdr:blipFill>
      <xdr:spPr>
        <a:xfrm>
          <a:off x="1153795" y="698500"/>
          <a:ext cx="48196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xdr:cNvPicPr>
          <a:picLocks noChangeAspect="1" noChangeArrowheads="1"/>
        </xdr:cNvPicPr>
      </xdr:nvPicPr>
      <xdr:blipFill>
        <a:blip r:embed="rId388" cstate="print"/>
        <a:srcRect/>
        <a:stretch>
          <a:fillRect/>
        </a:stretch>
      </xdr:blipFill>
      <xdr:spPr>
        <a:xfrm>
          <a:off x="1126490" y="698500"/>
          <a:ext cx="4908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xdr:cNvPicPr>
          <a:picLocks noChangeAspect="1" noChangeArrowheads="1"/>
        </xdr:cNvPicPr>
      </xdr:nvPicPr>
      <xdr:blipFill>
        <a:blip r:embed="rId389" cstate="print"/>
        <a:srcRect/>
        <a:stretch>
          <a:fillRect/>
        </a:stretch>
      </xdr:blipFill>
      <xdr:spPr>
        <a:xfrm>
          <a:off x="1092835" y="698500"/>
          <a:ext cx="50736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xdr:cNvPicPr>
          <a:picLocks noChangeAspect="1" noChangeArrowheads="1"/>
        </xdr:cNvPicPr>
      </xdr:nvPicPr>
      <xdr:blipFill>
        <a:blip r:embed="rId390" cstate="email"/>
        <a:srcRect/>
        <a:stretch>
          <a:fillRect/>
        </a:stretch>
      </xdr:blipFill>
      <xdr:spPr>
        <a:xfrm>
          <a:off x="1059180" y="698500"/>
          <a:ext cx="50546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xdr:cNvPicPr>
          <a:picLocks noChangeAspect="1" noChangeArrowheads="1"/>
        </xdr:cNvPicPr>
      </xdr:nvPicPr>
      <xdr:blipFill>
        <a:blip r:embed="rId391" cstate="email"/>
        <a:srcRect/>
        <a:stretch>
          <a:fillRect/>
        </a:stretch>
      </xdr:blipFill>
      <xdr:spPr>
        <a:xfrm>
          <a:off x="1156335" y="698500"/>
          <a:ext cx="47942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xdr:cNvPicPr>
          <a:picLocks noChangeAspect="1" noChangeArrowheads="1"/>
        </xdr:cNvPicPr>
      </xdr:nvPicPr>
      <xdr:blipFill>
        <a:blip r:embed="rId392" cstate="email"/>
        <a:srcRect/>
        <a:stretch>
          <a:fillRect/>
        </a:stretch>
      </xdr:blipFill>
      <xdr:spPr>
        <a:xfrm>
          <a:off x="1148080" y="698500"/>
          <a:ext cx="4876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xdr:cNvPicPr>
          <a:picLocks noChangeAspect="1" noChangeArrowheads="1"/>
        </xdr:cNvPicPr>
      </xdr:nvPicPr>
      <xdr:blipFill>
        <a:blip r:embed="rId393" cstate="print"/>
        <a:srcRect/>
        <a:stretch>
          <a:fillRect/>
        </a:stretch>
      </xdr:blipFill>
      <xdr:spPr>
        <a:xfrm>
          <a:off x="1151890" y="698500"/>
          <a:ext cx="4838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xdr:cNvPicPr>
          <a:picLocks noChangeAspect="1" noChangeArrowheads="1"/>
        </xdr:cNvPicPr>
      </xdr:nvPicPr>
      <xdr:blipFill>
        <a:blip r:embed="rId394" cstate="email"/>
        <a:srcRect/>
        <a:stretch>
          <a:fillRect/>
        </a:stretch>
      </xdr:blipFill>
      <xdr:spPr>
        <a:xfrm>
          <a:off x="1122680" y="698500"/>
          <a:ext cx="5130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xdr:cNvPicPr>
          <a:picLocks noChangeAspect="1" noChangeArrowheads="1"/>
        </xdr:cNvPicPr>
      </xdr:nvPicPr>
      <xdr:blipFill>
        <a:blip r:embed="rId395" cstate="email"/>
        <a:srcRect/>
        <a:stretch>
          <a:fillRect/>
        </a:stretch>
      </xdr:blipFill>
      <xdr:spPr>
        <a:xfrm>
          <a:off x="1139190" y="698500"/>
          <a:ext cx="4965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xdr:cNvPicPr>
          <a:picLocks noChangeAspect="1" noChangeArrowheads="1"/>
        </xdr:cNvPicPr>
      </xdr:nvPicPr>
      <xdr:blipFill>
        <a:blip r:embed="rId396" cstate="print"/>
        <a:srcRect/>
        <a:stretch>
          <a:fillRect/>
        </a:stretch>
      </xdr:blipFill>
      <xdr:spPr>
        <a:xfrm>
          <a:off x="1126490" y="698500"/>
          <a:ext cx="49085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xdr:cNvPicPr>
          <a:picLocks noChangeAspect="1" noChangeArrowheads="1"/>
        </xdr:cNvPicPr>
      </xdr:nvPicPr>
      <xdr:blipFill>
        <a:blip r:embed="rId397" cstate="email"/>
        <a:srcRect/>
        <a:stretch>
          <a:fillRect/>
        </a:stretch>
      </xdr:blipFill>
      <xdr:spPr>
        <a:xfrm>
          <a:off x="1139190" y="698500"/>
          <a:ext cx="4965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xdr:cNvPicPr>
          <a:picLocks noChangeAspect="1" noChangeArrowheads="1"/>
        </xdr:cNvPicPr>
      </xdr:nvPicPr>
      <xdr:blipFill>
        <a:blip r:embed="rId398" cstate="email"/>
        <a:srcRect/>
        <a:stretch>
          <a:fillRect/>
        </a:stretch>
      </xdr:blipFill>
      <xdr:spPr>
        <a:xfrm>
          <a:off x="1117600" y="698500"/>
          <a:ext cx="50292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xdr:cNvPicPr>
          <a:picLocks noChangeAspect="1" noChangeArrowheads="1"/>
        </xdr:cNvPicPr>
      </xdr:nvPicPr>
      <xdr:blipFill>
        <a:blip r:embed="rId399" cstate="email"/>
        <a:srcRect/>
        <a:stretch>
          <a:fillRect/>
        </a:stretch>
      </xdr:blipFill>
      <xdr:spPr>
        <a:xfrm>
          <a:off x="1125855" y="698500"/>
          <a:ext cx="495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xdr:cNvPicPr>
          <a:picLocks noChangeAspect="1" noChangeArrowheads="1"/>
        </xdr:cNvPicPr>
      </xdr:nvPicPr>
      <xdr:blipFill>
        <a:blip r:embed="rId400" cstate="print"/>
        <a:srcRect/>
        <a:stretch>
          <a:fillRect/>
        </a:stretch>
      </xdr:blipFill>
      <xdr:spPr>
        <a:xfrm>
          <a:off x="1112520" y="698500"/>
          <a:ext cx="495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xdr:cNvPicPr>
          <a:picLocks noChangeAspect="1" noChangeArrowheads="1"/>
        </xdr:cNvPicPr>
      </xdr:nvPicPr>
      <xdr:blipFill>
        <a:blip r:embed="rId401" cstate="print"/>
        <a:srcRect/>
        <a:stretch>
          <a:fillRect/>
        </a:stretch>
      </xdr:blipFill>
      <xdr:spPr>
        <a:xfrm>
          <a:off x="1097915" y="698500"/>
          <a:ext cx="49022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xdr:cNvPicPr>
          <a:picLocks noChangeAspect="1" noChangeArrowheads="1"/>
        </xdr:cNvPicPr>
      </xdr:nvPicPr>
      <xdr:blipFill>
        <a:blip r:embed="rId402" cstate="print"/>
        <a:srcRect/>
        <a:stretch>
          <a:fillRect/>
        </a:stretch>
      </xdr:blipFill>
      <xdr:spPr>
        <a:xfrm>
          <a:off x="1085850" y="698500"/>
          <a:ext cx="5080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xdr:cNvPicPr>
          <a:picLocks noChangeAspect="1" noChangeArrowheads="1"/>
        </xdr:cNvPicPr>
      </xdr:nvPicPr>
      <xdr:blipFill>
        <a:blip r:embed="rId403" cstate="email"/>
        <a:srcRect/>
        <a:stretch>
          <a:fillRect/>
        </a:stretch>
      </xdr:blipFill>
      <xdr:spPr>
        <a:xfrm>
          <a:off x="1163955" y="698500"/>
          <a:ext cx="47180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xdr:cNvPicPr>
          <a:picLocks noChangeAspect="1" noChangeArrowheads="1"/>
        </xdr:cNvPicPr>
      </xdr:nvPicPr>
      <xdr:blipFill>
        <a:blip r:embed="rId404" cstate="print"/>
        <a:srcRect/>
        <a:stretch>
          <a:fillRect/>
        </a:stretch>
      </xdr:blipFill>
      <xdr:spPr>
        <a:xfrm>
          <a:off x="1101090" y="698500"/>
          <a:ext cx="4953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xdr:cNvPicPr>
          <a:picLocks noChangeAspect="1" noChangeArrowheads="1"/>
        </xdr:cNvPicPr>
      </xdr:nvPicPr>
      <xdr:blipFill>
        <a:blip r:embed="rId404" cstate="print"/>
        <a:srcRect/>
        <a:stretch>
          <a:fillRect/>
        </a:stretch>
      </xdr:blipFill>
      <xdr:spPr>
        <a:xfrm>
          <a:off x="1113790" y="698500"/>
          <a:ext cx="49593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xdr:cNvPicPr>
          <a:picLocks noChangeAspect="1" noChangeArrowheads="1"/>
        </xdr:cNvPicPr>
      </xdr:nvPicPr>
      <xdr:blipFill>
        <a:blip r:embed="rId405" cstate="print"/>
        <a:srcRect/>
        <a:stretch>
          <a:fillRect/>
        </a:stretch>
      </xdr:blipFill>
      <xdr:spPr>
        <a:xfrm>
          <a:off x="1163955" y="698500"/>
          <a:ext cx="47180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xdr:cNvPicPr>
          <a:picLocks noChangeAspect="1" noChangeArrowheads="1"/>
        </xdr:cNvPicPr>
      </xdr:nvPicPr>
      <xdr:blipFill>
        <a:blip r:embed="rId406" cstate="email"/>
        <a:srcRect/>
        <a:stretch>
          <a:fillRect/>
        </a:stretch>
      </xdr:blipFill>
      <xdr:spPr>
        <a:xfrm>
          <a:off x="1164590" y="698500"/>
          <a:ext cx="4711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xdr:cNvPicPr>
          <a:picLocks noChangeAspect="1" noChangeArrowheads="1"/>
        </xdr:cNvPicPr>
      </xdr:nvPicPr>
      <xdr:blipFill>
        <a:blip r:embed="rId406" cstate="email"/>
        <a:srcRect/>
        <a:stretch>
          <a:fillRect/>
        </a:stretch>
      </xdr:blipFill>
      <xdr:spPr>
        <a:xfrm>
          <a:off x="1164590" y="698500"/>
          <a:ext cx="4711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xdr:cNvPicPr>
          <a:picLocks noChangeAspect="1" noChangeArrowheads="1"/>
        </xdr:cNvPicPr>
      </xdr:nvPicPr>
      <xdr:blipFill>
        <a:blip r:embed="rId407" cstate="print"/>
        <a:srcRect/>
        <a:stretch>
          <a:fillRect/>
        </a:stretch>
      </xdr:blipFill>
      <xdr:spPr>
        <a:xfrm>
          <a:off x="1165225" y="698500"/>
          <a:ext cx="47053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xdr:cNvPicPr>
          <a:picLocks noChangeAspect="1" noChangeArrowheads="1"/>
        </xdr:cNvPicPr>
      </xdr:nvPicPr>
      <xdr:blipFill>
        <a:blip r:embed="rId408" cstate="email"/>
        <a:srcRect/>
        <a:stretch>
          <a:fillRect/>
        </a:stretch>
      </xdr:blipFill>
      <xdr:spPr>
        <a:xfrm>
          <a:off x="1163955" y="698500"/>
          <a:ext cx="47180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xdr:cNvPicPr>
          <a:picLocks noChangeAspect="1" noChangeArrowheads="1"/>
        </xdr:cNvPicPr>
      </xdr:nvPicPr>
      <xdr:blipFill>
        <a:blip r:embed="rId409" cstate="email"/>
        <a:srcRect/>
        <a:stretch>
          <a:fillRect/>
        </a:stretch>
      </xdr:blipFill>
      <xdr:spPr>
        <a:xfrm>
          <a:off x="1163955" y="698500"/>
          <a:ext cx="47180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xdr:cNvPicPr>
          <a:picLocks noChangeAspect="1" noChangeArrowheads="1"/>
        </xdr:cNvPicPr>
      </xdr:nvPicPr>
      <xdr:blipFill>
        <a:blip r:embed="rId410" cstate="email"/>
        <a:srcRect/>
        <a:stretch>
          <a:fillRect/>
        </a:stretch>
      </xdr:blipFill>
      <xdr:spPr>
        <a:xfrm>
          <a:off x="1177925" y="698500"/>
          <a:ext cx="45783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xdr:cNvPicPr>
          <a:picLocks noChangeAspect="1" noChangeArrowheads="1"/>
        </xdr:cNvPicPr>
      </xdr:nvPicPr>
      <xdr:blipFill>
        <a:blip r:embed="rId411" cstate="email"/>
        <a:srcRect/>
        <a:stretch>
          <a:fillRect/>
        </a:stretch>
      </xdr:blipFill>
      <xdr:spPr>
        <a:xfrm>
          <a:off x="1149985" y="698500"/>
          <a:ext cx="48577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xdr:cNvPicPr>
          <a:picLocks noChangeAspect="1" noChangeArrowheads="1"/>
        </xdr:cNvPicPr>
      </xdr:nvPicPr>
      <xdr:blipFill>
        <a:blip r:embed="rId412" cstate="email"/>
        <a:srcRect/>
        <a:stretch>
          <a:fillRect/>
        </a:stretch>
      </xdr:blipFill>
      <xdr:spPr>
        <a:xfrm>
          <a:off x="1164590" y="698500"/>
          <a:ext cx="4711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xdr:cNvPicPr>
          <a:picLocks noChangeAspect="1" noChangeArrowheads="1"/>
        </xdr:cNvPicPr>
      </xdr:nvPicPr>
      <xdr:blipFill>
        <a:blip r:embed="rId413" cstate="email"/>
        <a:srcRect/>
        <a:stretch>
          <a:fillRect/>
        </a:stretch>
      </xdr:blipFill>
      <xdr:spPr>
        <a:xfrm>
          <a:off x="1151890" y="698500"/>
          <a:ext cx="4838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xdr:cNvPicPr>
          <a:picLocks noChangeAspect="1" noChangeArrowheads="1"/>
        </xdr:cNvPicPr>
      </xdr:nvPicPr>
      <xdr:blipFill>
        <a:blip r:embed="rId414" cstate="email"/>
        <a:srcRect/>
        <a:stretch>
          <a:fillRect/>
        </a:stretch>
      </xdr:blipFill>
      <xdr:spPr>
        <a:xfrm>
          <a:off x="1161415" y="698500"/>
          <a:ext cx="47434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xdr:cNvPicPr>
          <a:picLocks noChangeAspect="1" noChangeArrowheads="1"/>
        </xdr:cNvPicPr>
      </xdr:nvPicPr>
      <xdr:blipFill>
        <a:blip r:embed="rId415" cstate="email"/>
        <a:srcRect/>
        <a:stretch>
          <a:fillRect/>
        </a:stretch>
      </xdr:blipFill>
      <xdr:spPr>
        <a:xfrm>
          <a:off x="1136015" y="698500"/>
          <a:ext cx="49149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xdr:cNvPicPr>
          <a:picLocks noChangeAspect="1" noChangeArrowheads="1"/>
        </xdr:cNvPicPr>
      </xdr:nvPicPr>
      <xdr:blipFill>
        <a:blip r:embed="rId416" cstate="email"/>
        <a:srcRect/>
        <a:stretch>
          <a:fillRect/>
        </a:stretch>
      </xdr:blipFill>
      <xdr:spPr>
        <a:xfrm>
          <a:off x="1164590" y="698500"/>
          <a:ext cx="4711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xdr:cNvPicPr>
          <a:picLocks noChangeAspect="1" noChangeArrowheads="1"/>
        </xdr:cNvPicPr>
      </xdr:nvPicPr>
      <xdr:blipFill>
        <a:blip r:embed="rId417" cstate="email"/>
        <a:srcRect/>
        <a:stretch>
          <a:fillRect/>
        </a:stretch>
      </xdr:blipFill>
      <xdr:spPr>
        <a:xfrm>
          <a:off x="1163955" y="698500"/>
          <a:ext cx="47180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xdr:cNvPicPr>
          <a:picLocks noChangeAspect="1" noChangeArrowheads="1"/>
        </xdr:cNvPicPr>
      </xdr:nvPicPr>
      <xdr:blipFill>
        <a:blip r:embed="rId418" cstate="email"/>
        <a:srcRect/>
        <a:stretch>
          <a:fillRect/>
        </a:stretch>
      </xdr:blipFill>
      <xdr:spPr>
        <a:xfrm>
          <a:off x="1164590" y="698500"/>
          <a:ext cx="4711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xdr:cNvPicPr>
          <a:picLocks noChangeAspect="1" noChangeArrowheads="1"/>
        </xdr:cNvPicPr>
      </xdr:nvPicPr>
      <xdr:blipFill>
        <a:blip r:embed="rId419" cstate="email"/>
        <a:srcRect/>
        <a:stretch>
          <a:fillRect/>
        </a:stretch>
      </xdr:blipFill>
      <xdr:spPr>
        <a:xfrm>
          <a:off x="1178560" y="698500"/>
          <a:ext cx="457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xdr:cNvPicPr>
          <a:picLocks noChangeAspect="1" noChangeArrowheads="1"/>
        </xdr:cNvPicPr>
      </xdr:nvPicPr>
      <xdr:blipFill>
        <a:blip r:embed="rId420" cstate="email"/>
        <a:srcRect/>
        <a:stretch>
          <a:fillRect/>
        </a:stretch>
      </xdr:blipFill>
      <xdr:spPr>
        <a:xfrm>
          <a:off x="1149985" y="698500"/>
          <a:ext cx="48577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xdr:cNvPicPr>
          <a:picLocks noChangeAspect="1" noChangeArrowheads="1"/>
        </xdr:cNvPicPr>
      </xdr:nvPicPr>
      <xdr:blipFill>
        <a:blip r:embed="rId421" cstate="print"/>
        <a:srcRect/>
        <a:stretch>
          <a:fillRect/>
        </a:stretch>
      </xdr:blipFill>
      <xdr:spPr>
        <a:xfrm>
          <a:off x="1177290" y="698500"/>
          <a:ext cx="4584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xdr:cNvPicPr>
          <a:picLocks noChangeAspect="1" noChangeArrowheads="1"/>
        </xdr:cNvPicPr>
      </xdr:nvPicPr>
      <xdr:blipFill>
        <a:blip r:embed="rId422" cstate="email"/>
        <a:srcRect/>
        <a:stretch>
          <a:fillRect/>
        </a:stretch>
      </xdr:blipFill>
      <xdr:spPr>
        <a:xfrm>
          <a:off x="1191260" y="698500"/>
          <a:ext cx="4445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xdr:cNvPicPr>
          <a:picLocks noChangeAspect="1" noChangeArrowheads="1"/>
        </xdr:cNvPicPr>
      </xdr:nvPicPr>
      <xdr:blipFill>
        <a:blip r:embed="rId423" cstate="email"/>
        <a:srcRect/>
        <a:stretch>
          <a:fillRect/>
        </a:stretch>
      </xdr:blipFill>
      <xdr:spPr>
        <a:xfrm>
          <a:off x="1177925" y="698500"/>
          <a:ext cx="45783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xdr:cNvPicPr>
          <a:picLocks noChangeAspect="1" noChangeArrowheads="1"/>
        </xdr:cNvPicPr>
      </xdr:nvPicPr>
      <xdr:blipFill>
        <a:blip r:embed="rId424" cstate="print"/>
        <a:srcRect/>
        <a:stretch>
          <a:fillRect/>
        </a:stretch>
      </xdr:blipFill>
      <xdr:spPr>
        <a:xfrm>
          <a:off x="1206500" y="698500"/>
          <a:ext cx="42926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xdr:cNvPicPr>
          <a:picLocks noChangeAspect="1" noChangeArrowheads="1"/>
        </xdr:cNvPicPr>
      </xdr:nvPicPr>
      <xdr:blipFill>
        <a:blip r:embed="rId425" cstate="email"/>
        <a:srcRect/>
        <a:stretch>
          <a:fillRect/>
        </a:stretch>
      </xdr:blipFill>
      <xdr:spPr>
        <a:xfrm>
          <a:off x="1193165" y="698500"/>
          <a:ext cx="44259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xdr:cNvPicPr>
          <a:picLocks noChangeAspect="1" noChangeArrowheads="1"/>
        </xdr:cNvPicPr>
      </xdr:nvPicPr>
      <xdr:blipFill>
        <a:blip r:embed="rId426" cstate="email"/>
        <a:srcRect/>
        <a:stretch>
          <a:fillRect/>
        </a:stretch>
      </xdr:blipFill>
      <xdr:spPr>
        <a:xfrm>
          <a:off x="1178560" y="698500"/>
          <a:ext cx="4572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xdr:cNvPicPr>
          <a:picLocks noChangeAspect="1" noChangeArrowheads="1"/>
        </xdr:cNvPicPr>
      </xdr:nvPicPr>
      <xdr:blipFill>
        <a:blip r:embed="rId427" cstate="email"/>
        <a:srcRect/>
        <a:stretch>
          <a:fillRect/>
        </a:stretch>
      </xdr:blipFill>
      <xdr:spPr>
        <a:xfrm>
          <a:off x="1179195" y="698500"/>
          <a:ext cx="45656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xdr:cNvPicPr>
          <a:picLocks noChangeAspect="1" noChangeArrowheads="1"/>
        </xdr:cNvPicPr>
      </xdr:nvPicPr>
      <xdr:blipFill>
        <a:blip r:embed="rId428" cstate="email"/>
        <a:srcRect/>
        <a:stretch>
          <a:fillRect/>
        </a:stretch>
      </xdr:blipFill>
      <xdr:spPr>
        <a:xfrm>
          <a:off x="1165860" y="698500"/>
          <a:ext cx="469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xdr:cNvPicPr>
          <a:picLocks noChangeAspect="1" noChangeArrowheads="1"/>
        </xdr:cNvPicPr>
      </xdr:nvPicPr>
      <xdr:blipFill>
        <a:blip r:embed="rId429" cstate="email"/>
        <a:srcRect/>
        <a:stretch>
          <a:fillRect/>
        </a:stretch>
      </xdr:blipFill>
      <xdr:spPr>
        <a:xfrm>
          <a:off x="1146810" y="698500"/>
          <a:ext cx="4889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xdr:cNvPicPr>
          <a:picLocks noChangeAspect="1" noChangeArrowheads="1"/>
        </xdr:cNvPicPr>
      </xdr:nvPicPr>
      <xdr:blipFill>
        <a:blip r:embed="rId430" cstate="email"/>
        <a:srcRect/>
        <a:stretch>
          <a:fillRect/>
        </a:stretch>
      </xdr:blipFill>
      <xdr:spPr>
        <a:xfrm>
          <a:off x="1165860" y="698500"/>
          <a:ext cx="46990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xdr:cNvPicPr>
          <a:picLocks noChangeAspect="1" noChangeArrowheads="1"/>
        </xdr:cNvPicPr>
      </xdr:nvPicPr>
      <xdr:blipFill>
        <a:blip r:embed="rId431" cstate="email"/>
        <a:srcRect/>
        <a:stretch>
          <a:fillRect/>
        </a:stretch>
      </xdr:blipFill>
      <xdr:spPr>
        <a:xfrm>
          <a:off x="1189355" y="698500"/>
          <a:ext cx="44640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xdr:cNvPicPr>
          <a:picLocks noChangeAspect="1" noChangeArrowheads="1"/>
        </xdr:cNvPicPr>
      </xdr:nvPicPr>
      <xdr:blipFill>
        <a:blip r:embed="rId432" cstate="print"/>
        <a:srcRect/>
        <a:stretch>
          <a:fillRect/>
        </a:stretch>
      </xdr:blipFill>
      <xdr:spPr>
        <a:xfrm>
          <a:off x="1172210" y="698500"/>
          <a:ext cx="46355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xdr:cNvPicPr>
          <a:picLocks noChangeAspect="1" noChangeArrowheads="1"/>
        </xdr:cNvPicPr>
      </xdr:nvPicPr>
      <xdr:blipFill>
        <a:blip r:embed="rId433" cstate="email"/>
        <a:srcRect/>
        <a:stretch>
          <a:fillRect/>
        </a:stretch>
      </xdr:blipFill>
      <xdr:spPr>
        <a:xfrm>
          <a:off x="1174750" y="698500"/>
          <a:ext cx="46101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xdr:cNvPicPr>
          <a:picLocks noChangeAspect="1" noChangeArrowheads="1"/>
        </xdr:cNvPicPr>
      </xdr:nvPicPr>
      <xdr:blipFill>
        <a:blip r:embed="rId434" cstate="email"/>
        <a:srcRect/>
        <a:stretch>
          <a:fillRect/>
        </a:stretch>
      </xdr:blipFill>
      <xdr:spPr>
        <a:xfrm>
          <a:off x="1202055" y="698500"/>
          <a:ext cx="43370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xdr:cNvPicPr>
          <a:picLocks noChangeAspect="1" noChangeArrowheads="1"/>
        </xdr:cNvPicPr>
      </xdr:nvPicPr>
      <xdr:blipFill>
        <a:blip r:embed="rId435" cstate="email"/>
        <a:srcRect/>
        <a:stretch>
          <a:fillRect/>
        </a:stretch>
      </xdr:blipFill>
      <xdr:spPr>
        <a:xfrm>
          <a:off x="1186180" y="698500"/>
          <a:ext cx="4495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xdr:cNvPicPr>
          <a:picLocks noChangeAspect="1" noChangeArrowheads="1"/>
        </xdr:cNvPicPr>
      </xdr:nvPicPr>
      <xdr:blipFill>
        <a:blip r:embed="rId436" cstate="email"/>
        <a:srcRect/>
        <a:stretch>
          <a:fillRect/>
        </a:stretch>
      </xdr:blipFill>
      <xdr:spPr>
        <a:xfrm>
          <a:off x="1186180" y="698500"/>
          <a:ext cx="4495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xdr:cNvPicPr>
          <a:picLocks noChangeAspect="1" noChangeArrowheads="1"/>
        </xdr:cNvPicPr>
      </xdr:nvPicPr>
      <xdr:blipFill>
        <a:blip r:embed="rId437" cstate="print"/>
        <a:srcRect/>
        <a:stretch>
          <a:fillRect/>
        </a:stretch>
      </xdr:blipFill>
      <xdr:spPr>
        <a:xfrm>
          <a:off x="1173480" y="698500"/>
          <a:ext cx="4622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xdr:cNvPicPr>
          <a:picLocks noChangeAspect="1" noChangeArrowheads="1"/>
        </xdr:cNvPicPr>
      </xdr:nvPicPr>
      <xdr:blipFill>
        <a:blip r:embed="rId438" cstate="email"/>
        <a:srcRect/>
        <a:stretch>
          <a:fillRect/>
        </a:stretch>
      </xdr:blipFill>
      <xdr:spPr>
        <a:xfrm>
          <a:off x="1173480" y="698500"/>
          <a:ext cx="4622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xdr:cNvPicPr>
          <a:picLocks noChangeAspect="1" noChangeArrowheads="1"/>
        </xdr:cNvPicPr>
      </xdr:nvPicPr>
      <xdr:blipFill>
        <a:blip r:embed="rId439" cstate="print"/>
        <a:srcRect/>
        <a:stretch>
          <a:fillRect/>
        </a:stretch>
      </xdr:blipFill>
      <xdr:spPr>
        <a:xfrm>
          <a:off x="1173480" y="698500"/>
          <a:ext cx="4622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xdr:cNvPicPr>
          <a:picLocks noChangeAspect="1" noChangeArrowheads="1"/>
        </xdr:cNvPicPr>
      </xdr:nvPicPr>
      <xdr:blipFill>
        <a:blip r:embed="rId440" cstate="print"/>
        <a:srcRect/>
        <a:stretch>
          <a:fillRect/>
        </a:stretch>
      </xdr:blipFill>
      <xdr:spPr>
        <a:xfrm>
          <a:off x="1172845" y="698500"/>
          <a:ext cx="46291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xdr:cNvPicPr>
          <a:picLocks noChangeAspect="1" noChangeArrowheads="1"/>
        </xdr:cNvPicPr>
      </xdr:nvPicPr>
      <xdr:blipFill>
        <a:blip r:embed="rId440" cstate="print"/>
        <a:srcRect/>
        <a:stretch>
          <a:fillRect/>
        </a:stretch>
      </xdr:blipFill>
      <xdr:spPr>
        <a:xfrm>
          <a:off x="1172845" y="698500"/>
          <a:ext cx="46291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xdr:cNvPicPr>
          <a:picLocks noChangeAspect="1" noChangeArrowheads="1"/>
        </xdr:cNvPicPr>
      </xdr:nvPicPr>
      <xdr:blipFill>
        <a:blip r:embed="rId441" cstate="email"/>
        <a:srcRect/>
        <a:stretch>
          <a:fillRect/>
        </a:stretch>
      </xdr:blipFill>
      <xdr:spPr>
        <a:xfrm>
          <a:off x="1160780" y="698500"/>
          <a:ext cx="4749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xdr:cNvPicPr>
          <a:picLocks noChangeAspect="1" noChangeArrowheads="1"/>
        </xdr:cNvPicPr>
      </xdr:nvPicPr>
      <xdr:blipFill>
        <a:blip r:embed="rId442" cstate="print"/>
        <a:srcRect/>
        <a:stretch>
          <a:fillRect/>
        </a:stretch>
      </xdr:blipFill>
      <xdr:spPr>
        <a:xfrm>
          <a:off x="1135380" y="698500"/>
          <a:ext cx="49403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xdr:cNvPicPr>
          <a:picLocks noChangeAspect="1" noChangeArrowheads="1"/>
        </xdr:cNvPicPr>
      </xdr:nvPicPr>
      <xdr:blipFill>
        <a:blip r:embed="rId442" cstate="print"/>
        <a:srcRect/>
        <a:stretch>
          <a:fillRect/>
        </a:stretch>
      </xdr:blipFill>
      <xdr:spPr>
        <a:xfrm>
          <a:off x="1135380" y="698500"/>
          <a:ext cx="49403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xdr:cNvPicPr>
          <a:picLocks noChangeAspect="1" noChangeArrowheads="1"/>
        </xdr:cNvPicPr>
      </xdr:nvPicPr>
      <xdr:blipFill>
        <a:blip r:embed="rId443" cstate="email"/>
        <a:srcRect/>
        <a:stretch>
          <a:fillRect/>
        </a:stretch>
      </xdr:blipFill>
      <xdr:spPr>
        <a:xfrm>
          <a:off x="1135380" y="698500"/>
          <a:ext cx="5003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xdr:cNvPicPr>
          <a:picLocks noChangeAspect="1" noChangeArrowheads="1"/>
        </xdr:cNvPicPr>
      </xdr:nvPicPr>
      <xdr:blipFill>
        <a:blip r:embed="rId444" cstate="email"/>
        <a:srcRect/>
        <a:stretch>
          <a:fillRect/>
        </a:stretch>
      </xdr:blipFill>
      <xdr:spPr>
        <a:xfrm>
          <a:off x="1134745" y="698500"/>
          <a:ext cx="50101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xdr:cNvPicPr>
          <a:picLocks noChangeAspect="1" noChangeArrowheads="1"/>
        </xdr:cNvPicPr>
      </xdr:nvPicPr>
      <xdr:blipFill>
        <a:blip r:embed="rId445" cstate="print"/>
        <a:srcRect/>
        <a:stretch>
          <a:fillRect/>
        </a:stretch>
      </xdr:blipFill>
      <xdr:spPr>
        <a:xfrm>
          <a:off x="1128395" y="698500"/>
          <a:ext cx="50736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xdr:cNvPicPr>
          <a:picLocks noChangeAspect="1" noChangeArrowheads="1"/>
        </xdr:cNvPicPr>
      </xdr:nvPicPr>
      <xdr:blipFill>
        <a:blip r:embed="rId446" cstate="print"/>
        <a:srcRect/>
        <a:stretch>
          <a:fillRect/>
        </a:stretch>
      </xdr:blipFill>
      <xdr:spPr>
        <a:xfrm>
          <a:off x="1173480" y="698500"/>
          <a:ext cx="4622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xdr:cNvPicPr>
          <a:picLocks noChangeAspect="1" noChangeArrowheads="1"/>
        </xdr:cNvPicPr>
      </xdr:nvPicPr>
      <xdr:blipFill>
        <a:blip r:embed="rId447" cstate="print"/>
        <a:srcRect/>
        <a:stretch>
          <a:fillRect/>
        </a:stretch>
      </xdr:blipFill>
      <xdr:spPr>
        <a:xfrm>
          <a:off x="1185545" y="698500"/>
          <a:ext cx="45021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xdr:cNvPicPr>
          <a:picLocks noChangeAspect="1" noChangeArrowheads="1"/>
        </xdr:cNvPicPr>
      </xdr:nvPicPr>
      <xdr:blipFill>
        <a:blip r:embed="rId448" cstate="print"/>
        <a:srcRect/>
        <a:stretch>
          <a:fillRect/>
        </a:stretch>
      </xdr:blipFill>
      <xdr:spPr>
        <a:xfrm>
          <a:off x="1186180" y="698500"/>
          <a:ext cx="4495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xdr:cNvPicPr>
          <a:picLocks noChangeAspect="1" noChangeArrowheads="1"/>
        </xdr:cNvPicPr>
      </xdr:nvPicPr>
      <xdr:blipFill>
        <a:blip r:embed="rId449" cstate="email"/>
        <a:srcRect/>
        <a:stretch>
          <a:fillRect/>
        </a:stretch>
      </xdr:blipFill>
      <xdr:spPr>
        <a:xfrm>
          <a:off x="1148080" y="698500"/>
          <a:ext cx="4876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xdr:cNvPicPr>
          <a:picLocks noChangeAspect="1" noChangeArrowheads="1"/>
        </xdr:cNvPicPr>
      </xdr:nvPicPr>
      <xdr:blipFill>
        <a:blip r:embed="rId450" cstate="email"/>
        <a:srcRect/>
        <a:stretch>
          <a:fillRect/>
        </a:stretch>
      </xdr:blipFill>
      <xdr:spPr>
        <a:xfrm>
          <a:off x="1211580" y="698500"/>
          <a:ext cx="4241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xdr:cNvPicPr>
          <a:picLocks noChangeAspect="1" noChangeArrowheads="1"/>
        </xdr:cNvPicPr>
      </xdr:nvPicPr>
      <xdr:blipFill>
        <a:blip r:embed="rId451" cstate="email"/>
        <a:srcRect/>
        <a:stretch>
          <a:fillRect/>
        </a:stretch>
      </xdr:blipFill>
      <xdr:spPr>
        <a:xfrm>
          <a:off x="1198880" y="698500"/>
          <a:ext cx="4368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xdr:cNvPicPr>
          <a:picLocks noChangeAspect="1" noChangeArrowheads="1"/>
        </xdr:cNvPicPr>
      </xdr:nvPicPr>
      <xdr:blipFill>
        <a:blip r:embed="rId450" cstate="email"/>
        <a:srcRect/>
        <a:stretch>
          <a:fillRect/>
        </a:stretch>
      </xdr:blipFill>
      <xdr:spPr>
        <a:xfrm>
          <a:off x="1211580" y="698500"/>
          <a:ext cx="4241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xdr:cNvPicPr>
          <a:picLocks noChangeAspect="1" noChangeArrowheads="1"/>
        </xdr:cNvPicPr>
      </xdr:nvPicPr>
      <xdr:blipFill>
        <a:blip r:embed="rId452" cstate="print"/>
        <a:srcRect/>
        <a:stretch>
          <a:fillRect/>
        </a:stretch>
      </xdr:blipFill>
      <xdr:spPr>
        <a:xfrm>
          <a:off x="1186180" y="698500"/>
          <a:ext cx="4495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xdr:cNvPicPr>
          <a:picLocks noChangeAspect="1" noChangeArrowheads="1"/>
        </xdr:cNvPicPr>
      </xdr:nvPicPr>
      <xdr:blipFill>
        <a:blip r:embed="rId453" cstate="email"/>
        <a:srcRect/>
        <a:stretch>
          <a:fillRect/>
        </a:stretch>
      </xdr:blipFill>
      <xdr:spPr>
        <a:xfrm>
          <a:off x="1211580" y="698500"/>
          <a:ext cx="4241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xdr:cNvPicPr>
          <a:picLocks noChangeAspect="1" noChangeArrowheads="1"/>
        </xdr:cNvPicPr>
      </xdr:nvPicPr>
      <xdr:blipFill>
        <a:blip r:embed="rId454" cstate="email"/>
        <a:srcRect/>
        <a:stretch>
          <a:fillRect/>
        </a:stretch>
      </xdr:blipFill>
      <xdr:spPr>
        <a:xfrm>
          <a:off x="1198880" y="698500"/>
          <a:ext cx="4368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xdr:cNvPicPr>
          <a:picLocks noChangeAspect="1" noChangeArrowheads="1"/>
        </xdr:cNvPicPr>
      </xdr:nvPicPr>
      <xdr:blipFill>
        <a:blip r:embed="rId455" cstate="email"/>
        <a:srcRect/>
        <a:stretch>
          <a:fillRect/>
        </a:stretch>
      </xdr:blipFill>
      <xdr:spPr>
        <a:xfrm>
          <a:off x="1198880" y="698500"/>
          <a:ext cx="4368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xdr:cNvPicPr>
          <a:picLocks noChangeAspect="1" noChangeArrowheads="1"/>
        </xdr:cNvPicPr>
      </xdr:nvPicPr>
      <xdr:blipFill>
        <a:blip r:embed="rId455" cstate="email"/>
        <a:srcRect/>
        <a:stretch>
          <a:fillRect/>
        </a:stretch>
      </xdr:blipFill>
      <xdr:spPr>
        <a:xfrm>
          <a:off x="1198880" y="698500"/>
          <a:ext cx="4368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xdr:cNvPicPr>
          <a:picLocks noChangeAspect="1" noChangeArrowheads="1"/>
        </xdr:cNvPicPr>
      </xdr:nvPicPr>
      <xdr:blipFill>
        <a:blip r:embed="rId455" cstate="email"/>
        <a:srcRect/>
        <a:stretch>
          <a:fillRect/>
        </a:stretch>
      </xdr:blipFill>
      <xdr:spPr>
        <a:xfrm>
          <a:off x="1198880" y="698500"/>
          <a:ext cx="4368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xdr:cNvPicPr>
          <a:picLocks noChangeAspect="1" noChangeArrowheads="1"/>
        </xdr:cNvPicPr>
      </xdr:nvPicPr>
      <xdr:blipFill>
        <a:blip r:embed="rId456" cstate="print"/>
        <a:srcRect/>
        <a:stretch>
          <a:fillRect/>
        </a:stretch>
      </xdr:blipFill>
      <xdr:spPr>
        <a:xfrm>
          <a:off x="1198880" y="698500"/>
          <a:ext cx="4368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xdr:cNvPicPr>
          <a:picLocks noChangeAspect="1" noChangeArrowheads="1"/>
        </xdr:cNvPicPr>
      </xdr:nvPicPr>
      <xdr:blipFill>
        <a:blip r:embed="rId457" cstate="email"/>
        <a:srcRect/>
        <a:stretch>
          <a:fillRect/>
        </a:stretch>
      </xdr:blipFill>
      <xdr:spPr>
        <a:xfrm>
          <a:off x="1148080" y="698500"/>
          <a:ext cx="479425"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xdr:cNvPicPr>
          <a:picLocks noChangeAspect="1"/>
        </xdr:cNvPicPr>
      </xdr:nvPicPr>
      <xdr:blipFill>
        <a:blip r:embed="rId458" cstate="email"/>
        <a:stretch>
          <a:fillRect/>
        </a:stretch>
      </xdr:blipFill>
      <xdr:spPr>
        <a:xfrm>
          <a:off x="1160780" y="698500"/>
          <a:ext cx="474980" cy="0"/>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xdr:cNvPicPr>
          <a:picLocks noChangeAspect="1"/>
        </xdr:cNvPicPr>
      </xdr:nvPicPr>
      <xdr:blipFill>
        <a:blip r:embed="rId459" cstate="email"/>
        <a:stretch>
          <a:fillRect/>
        </a:stretch>
      </xdr:blipFill>
      <xdr:spPr>
        <a:xfrm>
          <a:off x="1160780" y="698500"/>
          <a:ext cx="474980" cy="0"/>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xdr:cNvPicPr>
          <a:picLocks noChangeAspect="1"/>
        </xdr:cNvPicPr>
      </xdr:nvPicPr>
      <xdr:blipFill>
        <a:blip r:embed="rId460" cstate="email"/>
        <a:stretch>
          <a:fillRect/>
        </a:stretch>
      </xdr:blipFill>
      <xdr:spPr>
        <a:xfrm>
          <a:off x="1186180" y="698500"/>
          <a:ext cx="449580" cy="0"/>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xdr:cNvPicPr>
          <a:picLocks noChangeAspect="1"/>
        </xdr:cNvPicPr>
      </xdr:nvPicPr>
      <xdr:blipFill>
        <a:blip r:embed="rId461" cstate="email"/>
        <a:stretch>
          <a:fillRect/>
        </a:stretch>
      </xdr:blipFill>
      <xdr:spPr>
        <a:xfrm>
          <a:off x="1173480" y="698500"/>
          <a:ext cx="462280" cy="0"/>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xdr:cNvPicPr>
          <a:picLocks noChangeAspect="1"/>
        </xdr:cNvPicPr>
      </xdr:nvPicPr>
      <xdr:blipFill>
        <a:blip r:embed="rId462" cstate="email"/>
        <a:stretch>
          <a:fillRect/>
        </a:stretch>
      </xdr:blipFill>
      <xdr:spPr>
        <a:xfrm>
          <a:off x="1173480" y="698500"/>
          <a:ext cx="462280" cy="0"/>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xdr:cNvPicPr>
          <a:picLocks noChangeAspect="1"/>
        </xdr:cNvPicPr>
      </xdr:nvPicPr>
      <xdr:blipFill>
        <a:blip r:embed="rId463" cstate="email"/>
        <a:stretch>
          <a:fillRect/>
        </a:stretch>
      </xdr:blipFill>
      <xdr:spPr>
        <a:xfrm>
          <a:off x="1173480" y="698500"/>
          <a:ext cx="462280" cy="0"/>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xdr:cNvPicPr>
          <a:picLocks noChangeAspect="1"/>
        </xdr:cNvPicPr>
      </xdr:nvPicPr>
      <xdr:blipFill>
        <a:blip r:embed="rId464" cstate="email"/>
        <a:stretch>
          <a:fillRect/>
        </a:stretch>
      </xdr:blipFill>
      <xdr:spPr>
        <a:xfrm>
          <a:off x="1173480" y="698500"/>
          <a:ext cx="462280" cy="0"/>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xdr:cNvPicPr>
          <a:picLocks noChangeAspect="1"/>
        </xdr:cNvPicPr>
      </xdr:nvPicPr>
      <xdr:blipFill>
        <a:blip r:embed="rId465" cstate="email"/>
        <a:stretch>
          <a:fillRect/>
        </a:stretch>
      </xdr:blipFill>
      <xdr:spPr>
        <a:xfrm>
          <a:off x="1173480" y="698500"/>
          <a:ext cx="462280" cy="0"/>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xdr:cNvPicPr>
          <a:picLocks noChangeAspect="1"/>
        </xdr:cNvPicPr>
      </xdr:nvPicPr>
      <xdr:blipFill>
        <a:blip r:embed="rId466" cstate="email"/>
        <a:stretch>
          <a:fillRect/>
        </a:stretch>
      </xdr:blipFill>
      <xdr:spPr>
        <a:xfrm>
          <a:off x="1186180" y="698500"/>
          <a:ext cx="449580" cy="0"/>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xdr:cNvPicPr>
          <a:picLocks noChangeAspect="1"/>
        </xdr:cNvPicPr>
      </xdr:nvPicPr>
      <xdr:blipFill>
        <a:blip r:embed="rId467" cstate="email"/>
        <a:stretch>
          <a:fillRect/>
        </a:stretch>
      </xdr:blipFill>
      <xdr:spPr>
        <a:xfrm>
          <a:off x="1186180" y="698500"/>
          <a:ext cx="449580" cy="0"/>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xdr:cNvPicPr>
          <a:picLocks noChangeAspect="1"/>
        </xdr:cNvPicPr>
      </xdr:nvPicPr>
      <xdr:blipFill>
        <a:blip r:embed="rId467" cstate="email"/>
        <a:stretch>
          <a:fillRect/>
        </a:stretch>
      </xdr:blipFill>
      <xdr:spPr>
        <a:xfrm>
          <a:off x="1186180" y="698500"/>
          <a:ext cx="449580" cy="0"/>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xdr:cNvPicPr>
          <a:picLocks noChangeAspect="1"/>
        </xdr:cNvPicPr>
      </xdr:nvPicPr>
      <xdr:blipFill>
        <a:blip r:embed="rId468" cstate="email"/>
        <a:stretch>
          <a:fillRect/>
        </a:stretch>
      </xdr:blipFill>
      <xdr:spPr>
        <a:xfrm>
          <a:off x="1186180" y="698500"/>
          <a:ext cx="449580" cy="0"/>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xdr:cNvPicPr>
          <a:picLocks noChangeAspect="1"/>
        </xdr:cNvPicPr>
      </xdr:nvPicPr>
      <xdr:blipFill>
        <a:blip r:embed="rId469" cstate="email"/>
        <a:stretch>
          <a:fillRect/>
        </a:stretch>
      </xdr:blipFill>
      <xdr:spPr>
        <a:xfrm>
          <a:off x="1176020" y="698500"/>
          <a:ext cx="459740" cy="0"/>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xdr:cNvPicPr>
          <a:picLocks noChangeAspect="1"/>
        </xdr:cNvPicPr>
      </xdr:nvPicPr>
      <xdr:blipFill>
        <a:blip r:embed="rId470" cstate="email"/>
        <a:stretch>
          <a:fillRect/>
        </a:stretch>
      </xdr:blipFill>
      <xdr:spPr>
        <a:xfrm>
          <a:off x="1186180" y="698500"/>
          <a:ext cx="449580" cy="0"/>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xdr:cNvPicPr>
          <a:picLocks noChangeAspect="1"/>
        </xdr:cNvPicPr>
      </xdr:nvPicPr>
      <xdr:blipFill>
        <a:blip r:embed="rId471" cstate="email"/>
        <a:stretch>
          <a:fillRect/>
        </a:stretch>
      </xdr:blipFill>
      <xdr:spPr>
        <a:xfrm>
          <a:off x="1173480" y="698500"/>
          <a:ext cx="462280" cy="0"/>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xdr:cNvPicPr>
          <a:picLocks noChangeAspect="1" noChangeArrowheads="1"/>
        </xdr:cNvPicPr>
      </xdr:nvPicPr>
      <xdr:blipFill>
        <a:blip r:embed="rId472" cstate="email"/>
        <a:srcRect/>
        <a:stretch>
          <a:fillRect/>
        </a:stretch>
      </xdr:blipFill>
      <xdr:spPr>
        <a:xfrm>
          <a:off x="1141730" y="698500"/>
          <a:ext cx="46228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xdr:cNvPicPr>
          <a:picLocks noChangeAspect="1" noChangeArrowheads="1"/>
        </xdr:cNvPicPr>
      </xdr:nvPicPr>
      <xdr:blipFill>
        <a:blip r:embed="rId473" cstate="email"/>
        <a:srcRect/>
        <a:stretch>
          <a:fillRect/>
        </a:stretch>
      </xdr:blipFill>
      <xdr:spPr>
        <a:xfrm>
          <a:off x="1090930" y="698500"/>
          <a:ext cx="48387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xdr:cNvPicPr>
          <a:picLocks noChangeAspect="1"/>
        </xdr:cNvPicPr>
      </xdr:nvPicPr>
      <xdr:blipFill>
        <a:blip r:embed="rId474" cstate="email"/>
        <a:stretch>
          <a:fillRect/>
        </a:stretch>
      </xdr:blipFill>
      <xdr:spPr>
        <a:xfrm>
          <a:off x="1198880" y="698500"/>
          <a:ext cx="436880" cy="0"/>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xdr:cNvPicPr>
          <a:picLocks noChangeAspect="1"/>
        </xdr:cNvPicPr>
      </xdr:nvPicPr>
      <xdr:blipFill>
        <a:blip r:embed="rId475" cstate="email"/>
        <a:stretch>
          <a:fillRect/>
        </a:stretch>
      </xdr:blipFill>
      <xdr:spPr>
        <a:xfrm>
          <a:off x="1165860" y="698500"/>
          <a:ext cx="456565" cy="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xdr:cNvPicPr>
          <a:picLocks noChangeAspect="1"/>
        </xdr:cNvPicPr>
      </xdr:nvPicPr>
      <xdr:blipFill>
        <a:blip r:embed="rId476" cstate="email"/>
        <a:stretch>
          <a:fillRect/>
        </a:stretch>
      </xdr:blipFill>
      <xdr:spPr>
        <a:xfrm>
          <a:off x="1167765" y="698500"/>
          <a:ext cx="467995" cy="0"/>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xdr:cNvPicPr>
          <a:picLocks noChangeAspect="1"/>
        </xdr:cNvPicPr>
      </xdr:nvPicPr>
      <xdr:blipFill>
        <a:blip r:embed="rId477" cstate="email"/>
        <a:stretch>
          <a:fillRect/>
        </a:stretch>
      </xdr:blipFill>
      <xdr:spPr>
        <a:xfrm>
          <a:off x="1144270" y="698500"/>
          <a:ext cx="456565" cy="0"/>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xdr:cNvPicPr>
          <a:picLocks noChangeAspect="1"/>
        </xdr:cNvPicPr>
      </xdr:nvPicPr>
      <xdr:blipFill>
        <a:blip r:embed="rId478" cstate="email"/>
        <a:stretch>
          <a:fillRect/>
        </a:stretch>
      </xdr:blipFill>
      <xdr:spPr>
        <a:xfrm>
          <a:off x="1131570" y="698500"/>
          <a:ext cx="467995" cy="0"/>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xdr:cNvPicPr>
          <a:picLocks noChangeAspect="1"/>
        </xdr:cNvPicPr>
      </xdr:nvPicPr>
      <xdr:blipFill>
        <a:blip r:embed="rId479" cstate="email"/>
        <a:stretch>
          <a:fillRect/>
        </a:stretch>
      </xdr:blipFill>
      <xdr:spPr>
        <a:xfrm>
          <a:off x="1198880" y="698500"/>
          <a:ext cx="436880" cy="0"/>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xdr:cNvPicPr>
          <a:picLocks noChangeAspect="1"/>
        </xdr:cNvPicPr>
      </xdr:nvPicPr>
      <xdr:blipFill>
        <a:blip r:embed="rId480" cstate="email"/>
        <a:stretch>
          <a:fillRect/>
        </a:stretch>
      </xdr:blipFill>
      <xdr:spPr>
        <a:xfrm>
          <a:off x="1186180" y="698500"/>
          <a:ext cx="410845" cy="0"/>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xdr:cNvPicPr>
          <a:picLocks noChangeAspect="1"/>
        </xdr:cNvPicPr>
      </xdr:nvPicPr>
      <xdr:blipFill>
        <a:blip r:embed="rId481" cstate="email"/>
        <a:stretch>
          <a:fillRect/>
        </a:stretch>
      </xdr:blipFill>
      <xdr:spPr>
        <a:xfrm>
          <a:off x="1198880" y="698500"/>
          <a:ext cx="407670" cy="0"/>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xdr:cNvPicPr>
          <a:picLocks noChangeAspect="1"/>
        </xdr:cNvPicPr>
      </xdr:nvPicPr>
      <xdr:blipFill>
        <a:blip r:embed="rId482" cstate="email"/>
        <a:stretch>
          <a:fillRect/>
        </a:stretch>
      </xdr:blipFill>
      <xdr:spPr>
        <a:xfrm>
          <a:off x="1186180" y="698500"/>
          <a:ext cx="449580" cy="0"/>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xdr:cNvPicPr>
          <a:picLocks noChangeAspect="1"/>
        </xdr:cNvPicPr>
      </xdr:nvPicPr>
      <xdr:blipFill>
        <a:blip r:embed="rId483" cstate="email"/>
        <a:stretch>
          <a:fillRect/>
        </a:stretch>
      </xdr:blipFill>
      <xdr:spPr>
        <a:xfrm>
          <a:off x="1163955" y="698500"/>
          <a:ext cx="471805" cy="0"/>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xdr:cNvPicPr>
          <a:picLocks noChangeAspect="1"/>
        </xdr:cNvPicPr>
      </xdr:nvPicPr>
      <xdr:blipFill>
        <a:blip r:embed="rId484" cstate="email"/>
        <a:stretch>
          <a:fillRect/>
        </a:stretch>
      </xdr:blipFill>
      <xdr:spPr>
        <a:xfrm>
          <a:off x="1171575" y="698500"/>
          <a:ext cx="464185" cy="0"/>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xdr:cNvPicPr>
          <a:picLocks noChangeAspect="1"/>
        </xdr:cNvPicPr>
      </xdr:nvPicPr>
      <xdr:blipFill>
        <a:blip r:embed="rId485" cstate="email"/>
        <a:stretch>
          <a:fillRect/>
        </a:stretch>
      </xdr:blipFill>
      <xdr:spPr>
        <a:xfrm>
          <a:off x="1198880" y="698500"/>
          <a:ext cx="436880" cy="0"/>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xdr:cNvPicPr>
          <a:picLocks noChangeAspect="1"/>
        </xdr:cNvPicPr>
      </xdr:nvPicPr>
      <xdr:blipFill>
        <a:blip r:embed="rId486" cstate="email"/>
        <a:stretch>
          <a:fillRect/>
        </a:stretch>
      </xdr:blipFill>
      <xdr:spPr>
        <a:xfrm>
          <a:off x="1198880" y="698500"/>
          <a:ext cx="436880" cy="0"/>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xdr:cNvPicPr>
          <a:picLocks noChangeAspect="1"/>
        </xdr:cNvPicPr>
      </xdr:nvPicPr>
      <xdr:blipFill>
        <a:blip r:embed="rId487" cstate="email"/>
        <a:stretch>
          <a:fillRect/>
        </a:stretch>
      </xdr:blipFill>
      <xdr:spPr>
        <a:xfrm>
          <a:off x="1211580" y="698500"/>
          <a:ext cx="424180" cy="0"/>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xdr:cNvPicPr>
          <a:picLocks noChangeAspect="1"/>
        </xdr:cNvPicPr>
      </xdr:nvPicPr>
      <xdr:blipFill>
        <a:blip r:embed="rId486" cstate="email"/>
        <a:stretch>
          <a:fillRect/>
        </a:stretch>
      </xdr:blipFill>
      <xdr:spPr>
        <a:xfrm>
          <a:off x="1198880" y="698500"/>
          <a:ext cx="436880" cy="0"/>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xdr:cNvPicPr>
          <a:picLocks noChangeAspect="1"/>
        </xdr:cNvPicPr>
      </xdr:nvPicPr>
      <xdr:blipFill>
        <a:blip r:embed="rId488" cstate="email"/>
        <a:stretch>
          <a:fillRect/>
        </a:stretch>
      </xdr:blipFill>
      <xdr:spPr>
        <a:xfrm>
          <a:off x="1089025" y="698500"/>
          <a:ext cx="546735" cy="0"/>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xdr:cNvPicPr>
          <a:picLocks noChangeAspect="1"/>
        </xdr:cNvPicPr>
      </xdr:nvPicPr>
      <xdr:blipFill>
        <a:blip r:embed="rId489" cstate="email"/>
        <a:stretch>
          <a:fillRect/>
        </a:stretch>
      </xdr:blipFill>
      <xdr:spPr>
        <a:xfrm>
          <a:off x="1193800" y="698500"/>
          <a:ext cx="441960" cy="0"/>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xdr:cNvPicPr>
          <a:picLocks noChangeAspect="1"/>
        </xdr:cNvPicPr>
      </xdr:nvPicPr>
      <xdr:blipFill>
        <a:blip r:embed="rId490" cstate="email"/>
        <a:stretch>
          <a:fillRect/>
        </a:stretch>
      </xdr:blipFill>
      <xdr:spPr>
        <a:xfrm>
          <a:off x="1083310" y="698500"/>
          <a:ext cx="468630" cy="0"/>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xdr:cNvPicPr>
          <a:picLocks noChangeAspect="1"/>
        </xdr:cNvPicPr>
      </xdr:nvPicPr>
      <xdr:blipFill>
        <a:blip r:embed="rId491" cstate="email"/>
        <a:stretch>
          <a:fillRect/>
        </a:stretch>
      </xdr:blipFill>
      <xdr:spPr>
        <a:xfrm>
          <a:off x="1043305" y="698500"/>
          <a:ext cx="474980" cy="0"/>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xdr:cNvPicPr>
          <a:picLocks noChangeAspect="1"/>
        </xdr:cNvPicPr>
      </xdr:nvPicPr>
      <xdr:blipFill>
        <a:blip r:embed="rId492" cstate="email"/>
        <a:stretch>
          <a:fillRect/>
        </a:stretch>
      </xdr:blipFill>
      <xdr:spPr>
        <a:xfrm>
          <a:off x="1249680" y="698500"/>
          <a:ext cx="386080" cy="0"/>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xdr:cNvPicPr>
          <a:picLocks noChangeAspect="1"/>
        </xdr:cNvPicPr>
      </xdr:nvPicPr>
      <xdr:blipFill>
        <a:blip r:embed="rId493" cstate="email"/>
        <a:stretch>
          <a:fillRect/>
        </a:stretch>
      </xdr:blipFill>
      <xdr:spPr>
        <a:xfrm>
          <a:off x="1211580" y="698500"/>
          <a:ext cx="424180" cy="0"/>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xdr:cNvPicPr>
          <a:picLocks noChangeAspect="1"/>
        </xdr:cNvPicPr>
      </xdr:nvPicPr>
      <xdr:blipFill>
        <a:blip r:embed="rId492" cstate="email"/>
        <a:stretch>
          <a:fillRect/>
        </a:stretch>
      </xdr:blipFill>
      <xdr:spPr>
        <a:xfrm>
          <a:off x="1249680" y="698500"/>
          <a:ext cx="386080" cy="0"/>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xdr:cNvPicPr>
          <a:picLocks noChangeAspect="1"/>
        </xdr:cNvPicPr>
      </xdr:nvPicPr>
      <xdr:blipFill>
        <a:blip r:embed="rId494" cstate="email"/>
        <a:stretch>
          <a:fillRect/>
        </a:stretch>
      </xdr:blipFill>
      <xdr:spPr>
        <a:xfrm>
          <a:off x="1236980" y="698500"/>
          <a:ext cx="398780" cy="0"/>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xdr:cNvPicPr>
          <a:picLocks noChangeAspect="1"/>
        </xdr:cNvPicPr>
      </xdr:nvPicPr>
      <xdr:blipFill>
        <a:blip r:embed="rId493" cstate="email"/>
        <a:stretch>
          <a:fillRect/>
        </a:stretch>
      </xdr:blipFill>
      <xdr:spPr>
        <a:xfrm>
          <a:off x="1211580" y="698500"/>
          <a:ext cx="424180" cy="0"/>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xdr:cNvPicPr>
          <a:picLocks noChangeAspect="1"/>
        </xdr:cNvPicPr>
      </xdr:nvPicPr>
      <xdr:blipFill>
        <a:blip r:embed="rId495" cstate="email"/>
        <a:stretch>
          <a:fillRect/>
        </a:stretch>
      </xdr:blipFill>
      <xdr:spPr>
        <a:xfrm>
          <a:off x="1028700" y="698500"/>
          <a:ext cx="486410" cy="0"/>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xdr:cNvPicPr>
          <a:picLocks noChangeAspect="1"/>
        </xdr:cNvPicPr>
      </xdr:nvPicPr>
      <xdr:blipFill>
        <a:blip r:embed="rId496" cstate="email"/>
        <a:stretch>
          <a:fillRect/>
        </a:stretch>
      </xdr:blipFill>
      <xdr:spPr>
        <a:xfrm>
          <a:off x="1057910" y="698500"/>
          <a:ext cx="486410" cy="0"/>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xdr:cNvPicPr>
          <a:picLocks noChangeAspect="1"/>
        </xdr:cNvPicPr>
      </xdr:nvPicPr>
      <xdr:blipFill>
        <a:blip r:embed="rId497" cstate="email"/>
        <a:stretch>
          <a:fillRect/>
        </a:stretch>
      </xdr:blipFill>
      <xdr:spPr>
        <a:xfrm>
          <a:off x="1211580" y="698500"/>
          <a:ext cx="424180" cy="0"/>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xdr:cNvPicPr>
          <a:picLocks noChangeAspect="1"/>
        </xdr:cNvPicPr>
      </xdr:nvPicPr>
      <xdr:blipFill>
        <a:blip r:embed="rId498" cstate="email"/>
        <a:stretch>
          <a:fillRect/>
        </a:stretch>
      </xdr:blipFill>
      <xdr:spPr>
        <a:xfrm>
          <a:off x="1224280" y="698500"/>
          <a:ext cx="411480" cy="0"/>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xdr:cNvPicPr>
          <a:picLocks noChangeAspect="1"/>
        </xdr:cNvPicPr>
      </xdr:nvPicPr>
      <xdr:blipFill>
        <a:blip r:embed="rId499" cstate="email"/>
        <a:stretch>
          <a:fillRect/>
        </a:stretch>
      </xdr:blipFill>
      <xdr:spPr>
        <a:xfrm>
          <a:off x="1198880" y="698500"/>
          <a:ext cx="436880" cy="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xdr:cNvPicPr>
          <a:picLocks noChangeAspect="1"/>
        </xdr:cNvPicPr>
      </xdr:nvPicPr>
      <xdr:blipFill>
        <a:blip r:embed="rId500" cstate="email"/>
        <a:stretch>
          <a:fillRect/>
        </a:stretch>
      </xdr:blipFill>
      <xdr:spPr>
        <a:xfrm>
          <a:off x="1167765" y="698500"/>
          <a:ext cx="456565" cy="0"/>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xdr:cNvPicPr>
          <a:picLocks noChangeAspect="1"/>
        </xdr:cNvPicPr>
      </xdr:nvPicPr>
      <xdr:blipFill>
        <a:blip r:embed="rId500" cstate="email"/>
        <a:stretch>
          <a:fillRect/>
        </a:stretch>
      </xdr:blipFill>
      <xdr:spPr>
        <a:xfrm>
          <a:off x="1160780" y="698500"/>
          <a:ext cx="456565" cy="0"/>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xdr:cNvPicPr>
          <a:picLocks noChangeAspect="1"/>
        </xdr:cNvPicPr>
      </xdr:nvPicPr>
      <xdr:blipFill>
        <a:blip r:embed="rId498" cstate="email"/>
        <a:stretch>
          <a:fillRect/>
        </a:stretch>
      </xdr:blipFill>
      <xdr:spPr>
        <a:xfrm>
          <a:off x="1224280" y="698500"/>
          <a:ext cx="411480" cy="0"/>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xdr:cNvPicPr>
          <a:picLocks noChangeAspect="1"/>
        </xdr:cNvPicPr>
      </xdr:nvPicPr>
      <xdr:blipFill>
        <a:blip r:embed="rId501" cstate="email"/>
        <a:stretch>
          <a:fillRect/>
        </a:stretch>
      </xdr:blipFill>
      <xdr:spPr>
        <a:xfrm>
          <a:off x="1224280" y="698500"/>
          <a:ext cx="411480" cy="0"/>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xdr:cNvPicPr>
          <a:picLocks noChangeAspect="1"/>
        </xdr:cNvPicPr>
      </xdr:nvPicPr>
      <xdr:blipFill>
        <a:blip r:embed="rId502" cstate="email"/>
        <a:stretch>
          <a:fillRect/>
        </a:stretch>
      </xdr:blipFill>
      <xdr:spPr>
        <a:xfrm>
          <a:off x="1144270" y="698500"/>
          <a:ext cx="491490" cy="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xdr:cNvPicPr>
          <a:picLocks noChangeAspect="1"/>
        </xdr:cNvPicPr>
      </xdr:nvPicPr>
      <xdr:blipFill>
        <a:blip r:embed="rId503" cstate="email"/>
        <a:stretch>
          <a:fillRect/>
        </a:stretch>
      </xdr:blipFill>
      <xdr:spPr>
        <a:xfrm>
          <a:off x="1104900" y="698500"/>
          <a:ext cx="530860" cy="0"/>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xdr:cNvPicPr>
          <a:picLocks noChangeAspect="1"/>
        </xdr:cNvPicPr>
      </xdr:nvPicPr>
      <xdr:blipFill>
        <a:blip r:embed="rId504" cstate="email"/>
        <a:stretch>
          <a:fillRect/>
        </a:stretch>
      </xdr:blipFill>
      <xdr:spPr>
        <a:xfrm>
          <a:off x="1176020" y="698500"/>
          <a:ext cx="459740" cy="0"/>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xdr:cNvPicPr>
          <a:picLocks noChangeAspect="1"/>
        </xdr:cNvPicPr>
      </xdr:nvPicPr>
      <xdr:blipFill>
        <a:blip r:embed="rId505" cstate="email"/>
        <a:stretch>
          <a:fillRect/>
        </a:stretch>
      </xdr:blipFill>
      <xdr:spPr>
        <a:xfrm>
          <a:off x="1240790" y="698500"/>
          <a:ext cx="394970" cy="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xdr:cNvPicPr>
          <a:picLocks noChangeAspect="1"/>
        </xdr:cNvPicPr>
      </xdr:nvPicPr>
      <xdr:blipFill>
        <a:blip r:embed="rId506" cstate="email"/>
        <a:stretch>
          <a:fillRect/>
        </a:stretch>
      </xdr:blipFill>
      <xdr:spPr>
        <a:xfrm>
          <a:off x="968375" y="698500"/>
          <a:ext cx="536575" cy="0"/>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xdr:cNvPicPr>
          <a:picLocks noChangeAspect="1"/>
        </xdr:cNvPicPr>
      </xdr:nvPicPr>
      <xdr:blipFill>
        <a:blip r:embed="rId507" cstate="email"/>
        <a:stretch>
          <a:fillRect/>
        </a:stretch>
      </xdr:blipFill>
      <xdr:spPr>
        <a:xfrm>
          <a:off x="1170305" y="698500"/>
          <a:ext cx="465455" cy="0"/>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xdr:cNvPicPr>
          <a:picLocks noChangeAspect="1"/>
        </xdr:cNvPicPr>
      </xdr:nvPicPr>
      <xdr:blipFill>
        <a:blip r:embed="rId508" cstate="email"/>
        <a:stretch>
          <a:fillRect/>
        </a:stretch>
      </xdr:blipFill>
      <xdr:spPr>
        <a:xfrm>
          <a:off x="1156335" y="698500"/>
          <a:ext cx="479425" cy="0"/>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xdr:cNvPicPr>
          <a:picLocks noChangeAspect="1"/>
        </xdr:cNvPicPr>
      </xdr:nvPicPr>
      <xdr:blipFill>
        <a:blip r:embed="rId509" cstate="email"/>
        <a:stretch>
          <a:fillRect/>
        </a:stretch>
      </xdr:blipFill>
      <xdr:spPr>
        <a:xfrm>
          <a:off x="1099820" y="698500"/>
          <a:ext cx="535940" cy="0"/>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xdr:cNvPicPr>
          <a:picLocks noChangeAspect="1"/>
        </xdr:cNvPicPr>
      </xdr:nvPicPr>
      <xdr:blipFill>
        <a:blip r:embed="rId510" cstate="email"/>
        <a:stretch>
          <a:fillRect/>
        </a:stretch>
      </xdr:blipFill>
      <xdr:spPr>
        <a:xfrm>
          <a:off x="1056640" y="698500"/>
          <a:ext cx="540385" cy="0"/>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xdr:cNvPicPr>
          <a:picLocks noChangeAspect="1"/>
        </xdr:cNvPicPr>
      </xdr:nvPicPr>
      <xdr:blipFill>
        <a:blip r:embed="rId511" cstate="email"/>
        <a:stretch>
          <a:fillRect/>
        </a:stretch>
      </xdr:blipFill>
      <xdr:spPr>
        <a:xfrm>
          <a:off x="1050290" y="698500"/>
          <a:ext cx="585470" cy="0"/>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xdr:cNvPicPr>
          <a:picLocks noChangeAspect="1"/>
        </xdr:cNvPicPr>
      </xdr:nvPicPr>
      <xdr:blipFill>
        <a:blip r:embed="rId512" cstate="email"/>
        <a:stretch>
          <a:fillRect/>
        </a:stretch>
      </xdr:blipFill>
      <xdr:spPr>
        <a:xfrm>
          <a:off x="1045845" y="698500"/>
          <a:ext cx="582295" cy="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xdr:cNvPicPr>
          <a:picLocks noChangeAspect="1"/>
        </xdr:cNvPicPr>
      </xdr:nvPicPr>
      <xdr:blipFill>
        <a:blip r:embed="rId513" cstate="email"/>
        <a:stretch>
          <a:fillRect/>
        </a:stretch>
      </xdr:blipFill>
      <xdr:spPr>
        <a:xfrm>
          <a:off x="1061720" y="698500"/>
          <a:ext cx="570230" cy="0"/>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xdr:cNvPicPr>
          <a:picLocks noChangeAspect="1"/>
        </xdr:cNvPicPr>
      </xdr:nvPicPr>
      <xdr:blipFill>
        <a:blip r:embed="rId514" cstate="email"/>
        <a:stretch>
          <a:fillRect/>
        </a:stretch>
      </xdr:blipFill>
      <xdr:spPr>
        <a:xfrm>
          <a:off x="1018540" y="698500"/>
          <a:ext cx="565785" cy="0"/>
        </a:xfrm>
        <a:prstGeom prst="rect">
          <a:avLst/>
        </a:prstGeom>
      </xdr:spPr>
    </xdr:pic>
    <xdr:clientData/>
  </xdr:twoCellAnchor>
  <xdr:twoCellAnchor>
    <xdr:from>
      <xdr:col>0</xdr:col>
      <xdr:colOff>800100</xdr:colOff>
      <xdr:row>629</xdr:row>
      <xdr:rowOff>215900</xdr:rowOff>
    </xdr:from>
    <xdr:to>
      <xdr:col>0</xdr:col>
      <xdr:colOff>1088887</xdr:colOff>
      <xdr:row>663</xdr:row>
      <xdr:rowOff>207746</xdr:rowOff>
    </xdr:to>
    <xdr:sp>
      <xdr:nvSpPr>
        <xdr:cNvPr id="12253" name="AutoShape 2485"/>
        <xdr:cNvSpPr>
          <a:spLocks noChangeAspect="1" noChangeArrowheads="1"/>
        </xdr:cNvSpPr>
      </xdr:nvSpPr>
      <xdr:spPr>
        <a:xfrm>
          <a:off x="800100" y="698500"/>
          <a:ext cx="144780" cy="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xdr:cNvPicPr>
          <a:picLocks noChangeAspect="1"/>
        </xdr:cNvPicPr>
      </xdr:nvPicPr>
      <xdr:blipFill>
        <a:blip r:embed="rId515" cstate="email"/>
        <a:stretch>
          <a:fillRect/>
        </a:stretch>
      </xdr:blipFill>
      <xdr:spPr>
        <a:xfrm>
          <a:off x="1094740" y="698500"/>
          <a:ext cx="505460" cy="0"/>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xdr:cNvPicPr>
          <a:picLocks noChangeAspect="1"/>
        </xdr:cNvPicPr>
      </xdr:nvPicPr>
      <xdr:blipFill>
        <a:blip r:embed="rId516" cstate="email"/>
        <a:stretch>
          <a:fillRect/>
        </a:stretch>
      </xdr:blipFill>
      <xdr:spPr>
        <a:xfrm>
          <a:off x="1094740" y="698500"/>
          <a:ext cx="450850" cy="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xdr:cNvPicPr>
          <a:picLocks noChangeAspect="1"/>
        </xdr:cNvPicPr>
      </xdr:nvPicPr>
      <xdr:blipFill>
        <a:blip r:embed="rId517" cstate="email"/>
        <a:stretch>
          <a:fillRect/>
        </a:stretch>
      </xdr:blipFill>
      <xdr:spPr>
        <a:xfrm>
          <a:off x="1119505" y="698500"/>
          <a:ext cx="452755" cy="0"/>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xdr:cNvPicPr>
          <a:picLocks noChangeAspect="1"/>
        </xdr:cNvPicPr>
      </xdr:nvPicPr>
      <xdr:blipFill>
        <a:blip r:embed="rId517" cstate="email"/>
        <a:stretch>
          <a:fillRect/>
        </a:stretch>
      </xdr:blipFill>
      <xdr:spPr>
        <a:xfrm>
          <a:off x="1113155" y="698500"/>
          <a:ext cx="452755" cy="0"/>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xdr:cNvPicPr>
          <a:picLocks noChangeAspect="1"/>
        </xdr:cNvPicPr>
      </xdr:nvPicPr>
      <xdr:blipFill>
        <a:blip r:embed="rId518" cstate="email"/>
        <a:stretch>
          <a:fillRect/>
        </a:stretch>
      </xdr:blipFill>
      <xdr:spPr>
        <a:xfrm>
          <a:off x="1051560" y="698500"/>
          <a:ext cx="461645" cy="0"/>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xdr:cNvPicPr>
          <a:picLocks noChangeAspect="1"/>
        </xdr:cNvPicPr>
      </xdr:nvPicPr>
      <xdr:blipFill>
        <a:blip r:embed="rId519" cstate="email"/>
        <a:stretch>
          <a:fillRect/>
        </a:stretch>
      </xdr:blipFill>
      <xdr:spPr>
        <a:xfrm>
          <a:off x="1099820" y="698500"/>
          <a:ext cx="508000" cy="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xdr:cNvPicPr>
          <a:picLocks noChangeAspect="1"/>
        </xdr:cNvPicPr>
      </xdr:nvPicPr>
      <xdr:blipFill>
        <a:blip r:embed="rId520" cstate="email"/>
        <a:stretch>
          <a:fillRect/>
        </a:stretch>
      </xdr:blipFill>
      <xdr:spPr>
        <a:xfrm>
          <a:off x="1099820" y="698500"/>
          <a:ext cx="465455" cy="0"/>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xdr:cNvPicPr>
          <a:picLocks noChangeAspect="1"/>
        </xdr:cNvPicPr>
      </xdr:nvPicPr>
      <xdr:blipFill>
        <a:blip r:embed="rId521" cstate="email"/>
        <a:stretch>
          <a:fillRect/>
        </a:stretch>
      </xdr:blipFill>
      <xdr:spPr>
        <a:xfrm>
          <a:off x="1104265" y="698500"/>
          <a:ext cx="503555" cy="0"/>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xdr:cNvPicPr>
          <a:picLocks noChangeAspect="1"/>
        </xdr:cNvPicPr>
      </xdr:nvPicPr>
      <xdr:blipFill>
        <a:blip r:embed="rId522" cstate="email"/>
        <a:stretch>
          <a:fillRect/>
        </a:stretch>
      </xdr:blipFill>
      <xdr:spPr>
        <a:xfrm>
          <a:off x="1164590" y="698500"/>
          <a:ext cx="471170" cy="0"/>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xdr:cNvPicPr>
          <a:picLocks noChangeAspect="1"/>
        </xdr:cNvPicPr>
      </xdr:nvPicPr>
      <xdr:blipFill>
        <a:blip r:embed="rId523" cstate="email"/>
        <a:stretch>
          <a:fillRect/>
        </a:stretch>
      </xdr:blipFill>
      <xdr:spPr>
        <a:xfrm>
          <a:off x="1130935" y="698500"/>
          <a:ext cx="474345" cy="0"/>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xdr:cNvPicPr>
          <a:picLocks noChangeAspect="1"/>
        </xdr:cNvPicPr>
      </xdr:nvPicPr>
      <xdr:blipFill>
        <a:blip r:embed="rId523" cstate="email"/>
        <a:stretch>
          <a:fillRect/>
        </a:stretch>
      </xdr:blipFill>
      <xdr:spPr>
        <a:xfrm>
          <a:off x="1080135" y="698500"/>
          <a:ext cx="473710" cy="0"/>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xdr:cNvPicPr>
          <a:picLocks noChangeAspect="1"/>
        </xdr:cNvPicPr>
      </xdr:nvPicPr>
      <xdr:blipFill>
        <a:blip r:embed="rId523" cstate="email"/>
        <a:stretch>
          <a:fillRect/>
        </a:stretch>
      </xdr:blipFill>
      <xdr:spPr>
        <a:xfrm>
          <a:off x="1080135" y="698500"/>
          <a:ext cx="473710" cy="0"/>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xdr:cNvPicPr>
          <a:picLocks noChangeAspect="1"/>
        </xdr:cNvPicPr>
      </xdr:nvPicPr>
      <xdr:blipFill>
        <a:blip r:embed="rId524" cstate="email"/>
        <a:stretch>
          <a:fillRect/>
        </a:stretch>
      </xdr:blipFill>
      <xdr:spPr>
        <a:xfrm>
          <a:off x="1046480" y="698500"/>
          <a:ext cx="541655" cy="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xdr:cNvPicPr>
          <a:picLocks noChangeAspect="1"/>
        </xdr:cNvPicPr>
      </xdr:nvPicPr>
      <xdr:blipFill>
        <a:blip r:embed="rId525" cstate="email"/>
        <a:stretch>
          <a:fillRect/>
        </a:stretch>
      </xdr:blipFill>
      <xdr:spPr>
        <a:xfrm>
          <a:off x="1062990" y="698500"/>
          <a:ext cx="541655" cy="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xdr:cNvPicPr>
          <a:picLocks noChangeAspect="1"/>
        </xdr:cNvPicPr>
      </xdr:nvPicPr>
      <xdr:blipFill>
        <a:blip r:embed="rId526" cstate="email"/>
        <a:stretch>
          <a:fillRect/>
        </a:stretch>
      </xdr:blipFill>
      <xdr:spPr>
        <a:xfrm>
          <a:off x="1062990" y="698500"/>
          <a:ext cx="508000" cy="0"/>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xdr:cNvPicPr>
          <a:picLocks noChangeAspect="1"/>
        </xdr:cNvPicPr>
      </xdr:nvPicPr>
      <xdr:blipFill>
        <a:blip r:embed="rId527" cstate="email"/>
        <a:stretch>
          <a:fillRect/>
        </a:stretch>
      </xdr:blipFill>
      <xdr:spPr>
        <a:xfrm>
          <a:off x="1113790" y="698500"/>
          <a:ext cx="427990" cy="0"/>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xdr:cNvPicPr>
          <a:picLocks noChangeAspect="1"/>
        </xdr:cNvPicPr>
      </xdr:nvPicPr>
      <xdr:blipFill>
        <a:blip r:embed="rId528" cstate="email"/>
        <a:stretch>
          <a:fillRect/>
        </a:stretch>
      </xdr:blipFill>
      <xdr:spPr>
        <a:xfrm>
          <a:off x="1148080" y="698500"/>
          <a:ext cx="427355" cy="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xdr:cNvPicPr>
          <a:picLocks noChangeAspect="1"/>
        </xdr:cNvPicPr>
      </xdr:nvPicPr>
      <xdr:blipFill>
        <a:blip r:embed="rId529" cstate="email"/>
        <a:stretch>
          <a:fillRect/>
        </a:stretch>
      </xdr:blipFill>
      <xdr:spPr>
        <a:xfrm>
          <a:off x="1164590" y="698500"/>
          <a:ext cx="452120" cy="0"/>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xdr:cNvPicPr>
          <a:picLocks noChangeAspect="1"/>
        </xdr:cNvPicPr>
      </xdr:nvPicPr>
      <xdr:blipFill>
        <a:blip r:embed="rId530" cstate="email"/>
        <a:stretch>
          <a:fillRect/>
        </a:stretch>
      </xdr:blipFill>
      <xdr:spPr>
        <a:xfrm>
          <a:off x="1164590" y="698500"/>
          <a:ext cx="452120" cy="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xdr:cNvPicPr>
          <a:picLocks noChangeAspect="1"/>
        </xdr:cNvPicPr>
      </xdr:nvPicPr>
      <xdr:blipFill>
        <a:blip r:embed="rId530" cstate="email"/>
        <a:stretch>
          <a:fillRect/>
        </a:stretch>
      </xdr:blipFill>
      <xdr:spPr>
        <a:xfrm>
          <a:off x="1167765" y="698500"/>
          <a:ext cx="452120" cy="0"/>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xdr:cNvPicPr>
          <a:picLocks noChangeAspect="1"/>
        </xdr:cNvPicPr>
      </xdr:nvPicPr>
      <xdr:blipFill>
        <a:blip r:embed="rId531" cstate="email"/>
        <a:stretch>
          <a:fillRect/>
        </a:stretch>
      </xdr:blipFill>
      <xdr:spPr>
        <a:xfrm>
          <a:off x="1148080" y="698500"/>
          <a:ext cx="457200" cy="0"/>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xdr:cNvPicPr>
          <a:picLocks noChangeAspect="1"/>
        </xdr:cNvPicPr>
      </xdr:nvPicPr>
      <xdr:blipFill>
        <a:blip r:embed="rId532" cstate="email"/>
        <a:stretch>
          <a:fillRect/>
        </a:stretch>
      </xdr:blipFill>
      <xdr:spPr>
        <a:xfrm>
          <a:off x="1130935" y="698500"/>
          <a:ext cx="423545" cy="0"/>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xdr:cNvPicPr>
          <a:picLocks noChangeAspect="1"/>
        </xdr:cNvPicPr>
      </xdr:nvPicPr>
      <xdr:blipFill>
        <a:blip r:embed="rId532" cstate="email"/>
        <a:stretch>
          <a:fillRect/>
        </a:stretch>
      </xdr:blipFill>
      <xdr:spPr>
        <a:xfrm>
          <a:off x="1147445" y="698500"/>
          <a:ext cx="423545" cy="0"/>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xdr:cNvPicPr>
          <a:picLocks noChangeAspect="1"/>
        </xdr:cNvPicPr>
      </xdr:nvPicPr>
      <xdr:blipFill>
        <a:blip r:embed="rId532" cstate="email"/>
        <a:stretch>
          <a:fillRect/>
        </a:stretch>
      </xdr:blipFill>
      <xdr:spPr>
        <a:xfrm>
          <a:off x="1147445" y="698500"/>
          <a:ext cx="423545" cy="0"/>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xdr:cNvPicPr>
          <a:picLocks noChangeAspect="1"/>
        </xdr:cNvPicPr>
      </xdr:nvPicPr>
      <xdr:blipFill>
        <a:blip r:embed="rId533" cstate="email"/>
        <a:stretch>
          <a:fillRect/>
        </a:stretch>
      </xdr:blipFill>
      <xdr:spPr>
        <a:xfrm>
          <a:off x="1164590" y="698500"/>
          <a:ext cx="428625" cy="0"/>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xdr:cNvPicPr>
          <a:picLocks noChangeAspect="1"/>
        </xdr:cNvPicPr>
      </xdr:nvPicPr>
      <xdr:blipFill>
        <a:blip r:embed="rId534" cstate="email"/>
        <a:stretch>
          <a:fillRect/>
        </a:stretch>
      </xdr:blipFill>
      <xdr:spPr>
        <a:xfrm>
          <a:off x="1181735" y="698500"/>
          <a:ext cx="454025" cy="0"/>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xdr:cNvPicPr>
          <a:picLocks noChangeAspect="1"/>
        </xdr:cNvPicPr>
      </xdr:nvPicPr>
      <xdr:blipFill>
        <a:blip r:embed="rId535" cstate="email"/>
        <a:stretch>
          <a:fillRect/>
        </a:stretch>
      </xdr:blipFill>
      <xdr:spPr>
        <a:xfrm>
          <a:off x="1217295" y="698500"/>
          <a:ext cx="418465" cy="0"/>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xdr:cNvPicPr>
          <a:picLocks noChangeAspect="1"/>
        </xdr:cNvPicPr>
      </xdr:nvPicPr>
      <xdr:blipFill>
        <a:blip r:embed="rId536" cstate="email"/>
        <a:stretch>
          <a:fillRect/>
        </a:stretch>
      </xdr:blipFill>
      <xdr:spPr>
        <a:xfrm>
          <a:off x="1181735" y="698500"/>
          <a:ext cx="454025" cy="0"/>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xdr:cNvPicPr>
          <a:picLocks noChangeAspect="1"/>
        </xdr:cNvPicPr>
      </xdr:nvPicPr>
      <xdr:blipFill>
        <a:blip r:embed="rId537" cstate="email"/>
        <a:stretch>
          <a:fillRect/>
        </a:stretch>
      </xdr:blipFill>
      <xdr:spPr>
        <a:xfrm>
          <a:off x="1191895" y="698500"/>
          <a:ext cx="443865" cy="0"/>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xdr:cNvPicPr>
          <a:picLocks noChangeAspect="1"/>
        </xdr:cNvPicPr>
      </xdr:nvPicPr>
      <xdr:blipFill>
        <a:blip r:embed="rId538" cstate="email"/>
        <a:stretch>
          <a:fillRect/>
        </a:stretch>
      </xdr:blipFill>
      <xdr:spPr>
        <a:xfrm>
          <a:off x="1211580" y="698500"/>
          <a:ext cx="424180" cy="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xdr:cNvPicPr>
          <a:picLocks noChangeAspect="1"/>
        </xdr:cNvPicPr>
      </xdr:nvPicPr>
      <xdr:blipFill>
        <a:blip r:embed="rId539" cstate="email"/>
        <a:stretch>
          <a:fillRect/>
        </a:stretch>
      </xdr:blipFill>
      <xdr:spPr>
        <a:xfrm>
          <a:off x="1147445" y="698500"/>
          <a:ext cx="457835" cy="0"/>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xdr:cNvPicPr>
          <a:picLocks noChangeAspect="1"/>
        </xdr:cNvPicPr>
      </xdr:nvPicPr>
      <xdr:blipFill>
        <a:blip r:embed="rId539" cstate="email"/>
        <a:stretch>
          <a:fillRect/>
        </a:stretch>
      </xdr:blipFill>
      <xdr:spPr>
        <a:xfrm>
          <a:off x="1148080" y="698500"/>
          <a:ext cx="457200" cy="0"/>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xdr:cNvPicPr>
          <a:picLocks noChangeAspect="1"/>
        </xdr:cNvPicPr>
      </xdr:nvPicPr>
      <xdr:blipFill>
        <a:blip r:embed="rId540" cstate="email"/>
        <a:stretch>
          <a:fillRect/>
        </a:stretch>
      </xdr:blipFill>
      <xdr:spPr>
        <a:xfrm>
          <a:off x="1113790" y="698500"/>
          <a:ext cx="457200" cy="0"/>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xdr:cNvPicPr>
          <a:picLocks noChangeAspect="1"/>
        </xdr:cNvPicPr>
      </xdr:nvPicPr>
      <xdr:blipFill>
        <a:blip r:embed="rId541" cstate="email"/>
        <a:stretch>
          <a:fillRect/>
        </a:stretch>
      </xdr:blipFill>
      <xdr:spPr>
        <a:xfrm>
          <a:off x="1113790" y="698500"/>
          <a:ext cx="457200" cy="0"/>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xdr:cNvPicPr>
          <a:picLocks noChangeAspect="1"/>
        </xdr:cNvPicPr>
      </xdr:nvPicPr>
      <xdr:blipFill>
        <a:blip r:embed="rId542" cstate="email"/>
        <a:stretch>
          <a:fillRect/>
        </a:stretch>
      </xdr:blipFill>
      <xdr:spPr>
        <a:xfrm>
          <a:off x="1130935" y="698500"/>
          <a:ext cx="473710" cy="0"/>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xdr:cNvPicPr>
          <a:picLocks noChangeAspect="1"/>
        </xdr:cNvPicPr>
      </xdr:nvPicPr>
      <xdr:blipFill>
        <a:blip r:embed="rId543" cstate="email"/>
        <a:stretch>
          <a:fillRect/>
        </a:stretch>
      </xdr:blipFill>
      <xdr:spPr>
        <a:xfrm>
          <a:off x="1130935" y="698500"/>
          <a:ext cx="437515" cy="0"/>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xdr:cNvPicPr>
          <a:picLocks noChangeAspect="1"/>
        </xdr:cNvPicPr>
      </xdr:nvPicPr>
      <xdr:blipFill>
        <a:blip r:embed="rId544" cstate="email"/>
        <a:stretch>
          <a:fillRect/>
        </a:stretch>
      </xdr:blipFill>
      <xdr:spPr>
        <a:xfrm>
          <a:off x="1127760" y="698500"/>
          <a:ext cx="473075" cy="0"/>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xdr:cNvPicPr>
          <a:picLocks noChangeAspect="1"/>
        </xdr:cNvPicPr>
      </xdr:nvPicPr>
      <xdr:blipFill>
        <a:blip r:embed="rId545" cstate="email"/>
        <a:stretch>
          <a:fillRect/>
        </a:stretch>
      </xdr:blipFill>
      <xdr:spPr>
        <a:xfrm>
          <a:off x="1127760" y="698500"/>
          <a:ext cx="452120" cy="0"/>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xdr:cNvPicPr>
          <a:picLocks noChangeAspect="1"/>
        </xdr:cNvPicPr>
      </xdr:nvPicPr>
      <xdr:blipFill>
        <a:blip r:embed="rId545" cstate="email"/>
        <a:stretch>
          <a:fillRect/>
        </a:stretch>
      </xdr:blipFill>
      <xdr:spPr>
        <a:xfrm>
          <a:off x="1095375" y="698500"/>
          <a:ext cx="452120" cy="0"/>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xdr:cNvPicPr>
          <a:picLocks noChangeAspect="1"/>
        </xdr:cNvPicPr>
      </xdr:nvPicPr>
      <xdr:blipFill>
        <a:blip r:embed="rId546" cstate="email"/>
        <a:stretch>
          <a:fillRect/>
        </a:stretch>
      </xdr:blipFill>
      <xdr:spPr>
        <a:xfrm>
          <a:off x="1153795" y="698500"/>
          <a:ext cx="481965" cy="0"/>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xdr:cNvPicPr>
          <a:picLocks noChangeAspect="1"/>
        </xdr:cNvPicPr>
      </xdr:nvPicPr>
      <xdr:blipFill>
        <a:blip r:embed="rId547" cstate="email"/>
        <a:stretch>
          <a:fillRect/>
        </a:stretch>
      </xdr:blipFill>
      <xdr:spPr>
        <a:xfrm>
          <a:off x="1153795" y="698500"/>
          <a:ext cx="481965" cy="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xdr:cNvPicPr>
          <a:picLocks noChangeAspect="1"/>
        </xdr:cNvPicPr>
      </xdr:nvPicPr>
      <xdr:blipFill>
        <a:blip r:embed="rId548" cstate="email"/>
        <a:stretch>
          <a:fillRect/>
        </a:stretch>
      </xdr:blipFill>
      <xdr:spPr>
        <a:xfrm>
          <a:off x="1211580" y="698500"/>
          <a:ext cx="424180" cy="0"/>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xdr:cNvPicPr>
          <a:picLocks noChangeAspect="1"/>
        </xdr:cNvPicPr>
      </xdr:nvPicPr>
      <xdr:blipFill>
        <a:blip r:embed="rId549" cstate="email"/>
        <a:stretch>
          <a:fillRect/>
        </a:stretch>
      </xdr:blipFill>
      <xdr:spPr>
        <a:xfrm>
          <a:off x="1195705" y="698500"/>
          <a:ext cx="432435" cy="0"/>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xdr:cNvPicPr>
          <a:picLocks noChangeAspect="1"/>
        </xdr:cNvPicPr>
      </xdr:nvPicPr>
      <xdr:blipFill>
        <a:blip r:embed="rId550" cstate="email"/>
        <a:stretch>
          <a:fillRect/>
        </a:stretch>
      </xdr:blipFill>
      <xdr:spPr>
        <a:xfrm>
          <a:off x="1167765" y="698500"/>
          <a:ext cx="467995" cy="0"/>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xdr:cNvPicPr>
          <a:picLocks noChangeAspect="1"/>
        </xdr:cNvPicPr>
      </xdr:nvPicPr>
      <xdr:blipFill>
        <a:blip r:embed="rId551" cstate="email"/>
        <a:stretch>
          <a:fillRect/>
        </a:stretch>
      </xdr:blipFill>
      <xdr:spPr>
        <a:xfrm>
          <a:off x="1181735" y="698500"/>
          <a:ext cx="432435" cy="0"/>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xdr:cNvPicPr>
          <a:picLocks noChangeAspect="1"/>
        </xdr:cNvPicPr>
      </xdr:nvPicPr>
      <xdr:blipFill>
        <a:blip r:embed="rId552" cstate="email"/>
        <a:stretch>
          <a:fillRect/>
        </a:stretch>
      </xdr:blipFill>
      <xdr:spPr>
        <a:xfrm>
          <a:off x="1194435" y="698500"/>
          <a:ext cx="391160" cy="0"/>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xdr:cNvPicPr>
          <a:picLocks noChangeAspect="1"/>
        </xdr:cNvPicPr>
      </xdr:nvPicPr>
      <xdr:blipFill>
        <a:blip r:embed="rId553" cstate="email"/>
        <a:stretch>
          <a:fillRect/>
        </a:stretch>
      </xdr:blipFill>
      <xdr:spPr>
        <a:xfrm>
          <a:off x="1223645" y="698500"/>
          <a:ext cx="407670" cy="0"/>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xdr:cNvPicPr>
          <a:picLocks noChangeAspect="1"/>
        </xdr:cNvPicPr>
      </xdr:nvPicPr>
      <xdr:blipFill>
        <a:blip r:embed="rId554" cstate="email"/>
        <a:stretch>
          <a:fillRect/>
        </a:stretch>
      </xdr:blipFill>
      <xdr:spPr>
        <a:xfrm>
          <a:off x="1250315" y="698500"/>
          <a:ext cx="385445" cy="0"/>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xdr:cNvPicPr>
          <a:picLocks noChangeAspect="1"/>
        </xdr:cNvPicPr>
      </xdr:nvPicPr>
      <xdr:blipFill>
        <a:blip r:embed="rId555" cstate="email"/>
        <a:stretch>
          <a:fillRect/>
        </a:stretch>
      </xdr:blipFill>
      <xdr:spPr>
        <a:xfrm>
          <a:off x="1223645" y="698500"/>
          <a:ext cx="412115" cy="0"/>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xdr:cNvPicPr>
          <a:picLocks noChangeAspect="1"/>
        </xdr:cNvPicPr>
      </xdr:nvPicPr>
      <xdr:blipFill>
        <a:blip r:embed="rId556" cstate="email"/>
        <a:stretch>
          <a:fillRect/>
        </a:stretch>
      </xdr:blipFill>
      <xdr:spPr>
        <a:xfrm>
          <a:off x="1195705" y="698500"/>
          <a:ext cx="440055" cy="0"/>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xdr:cNvPicPr>
          <a:picLocks noChangeAspect="1"/>
        </xdr:cNvPicPr>
      </xdr:nvPicPr>
      <xdr:blipFill>
        <a:blip r:embed="rId557" cstate="email"/>
        <a:stretch>
          <a:fillRect/>
        </a:stretch>
      </xdr:blipFill>
      <xdr:spPr>
        <a:xfrm>
          <a:off x="1138555" y="698500"/>
          <a:ext cx="497205" cy="0"/>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xdr:cNvPicPr>
          <a:picLocks noChangeAspect="1"/>
        </xdr:cNvPicPr>
      </xdr:nvPicPr>
      <xdr:blipFill>
        <a:blip r:embed="rId558" cstate="email"/>
        <a:stretch>
          <a:fillRect/>
        </a:stretch>
      </xdr:blipFill>
      <xdr:spPr>
        <a:xfrm>
          <a:off x="1101090" y="698500"/>
          <a:ext cx="534670" cy="0"/>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xdr:cNvPicPr>
          <a:picLocks noChangeAspect="1"/>
        </xdr:cNvPicPr>
      </xdr:nvPicPr>
      <xdr:blipFill>
        <a:blip r:embed="rId559" cstate="email"/>
        <a:stretch>
          <a:fillRect/>
        </a:stretch>
      </xdr:blipFill>
      <xdr:spPr>
        <a:xfrm>
          <a:off x="1081405" y="698500"/>
          <a:ext cx="488315" cy="0"/>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xdr:cNvPicPr>
          <a:picLocks noChangeAspect="1"/>
        </xdr:cNvPicPr>
      </xdr:nvPicPr>
      <xdr:blipFill>
        <a:blip r:embed="rId560" cstate="email"/>
        <a:stretch>
          <a:fillRect/>
        </a:stretch>
      </xdr:blipFill>
      <xdr:spPr>
        <a:xfrm>
          <a:off x="1110615" y="698500"/>
          <a:ext cx="488315" cy="0"/>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xdr:cNvPicPr>
          <a:picLocks noChangeAspect="1"/>
        </xdr:cNvPicPr>
      </xdr:nvPicPr>
      <xdr:blipFill>
        <a:blip r:embed="rId561" cstate="email"/>
        <a:stretch>
          <a:fillRect/>
        </a:stretch>
      </xdr:blipFill>
      <xdr:spPr>
        <a:xfrm>
          <a:off x="1110615" y="698500"/>
          <a:ext cx="525145" cy="0"/>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xdr:cNvPicPr>
          <a:picLocks noChangeAspect="1"/>
        </xdr:cNvPicPr>
      </xdr:nvPicPr>
      <xdr:blipFill>
        <a:blip r:embed="rId562" cstate="email"/>
        <a:stretch>
          <a:fillRect/>
        </a:stretch>
      </xdr:blipFill>
      <xdr:spPr>
        <a:xfrm>
          <a:off x="1110615" y="698500"/>
          <a:ext cx="525145" cy="0"/>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xdr:cNvPicPr>
          <a:picLocks noChangeAspect="1"/>
        </xdr:cNvPicPr>
      </xdr:nvPicPr>
      <xdr:blipFill>
        <a:blip r:embed="rId563" cstate="email"/>
        <a:stretch>
          <a:fillRect/>
        </a:stretch>
      </xdr:blipFill>
      <xdr:spPr>
        <a:xfrm>
          <a:off x="1097280" y="698500"/>
          <a:ext cx="537210" cy="0"/>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xdr:cNvPicPr>
          <a:picLocks noChangeAspect="1"/>
        </xdr:cNvPicPr>
      </xdr:nvPicPr>
      <xdr:blipFill>
        <a:blip r:embed="rId564" cstate="email"/>
        <a:stretch>
          <a:fillRect/>
        </a:stretch>
      </xdr:blipFill>
      <xdr:spPr>
        <a:xfrm>
          <a:off x="1061720" y="698500"/>
          <a:ext cx="518160" cy="0"/>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xdr:cNvPicPr>
          <a:picLocks noChangeAspect="1"/>
        </xdr:cNvPicPr>
      </xdr:nvPicPr>
      <xdr:blipFill>
        <a:blip r:embed="rId565" cstate="email"/>
        <a:stretch>
          <a:fillRect/>
        </a:stretch>
      </xdr:blipFill>
      <xdr:spPr>
        <a:xfrm>
          <a:off x="1217930" y="698500"/>
          <a:ext cx="417830" cy="0"/>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xdr:cNvPicPr>
          <a:picLocks noChangeAspect="1"/>
        </xdr:cNvPicPr>
      </xdr:nvPicPr>
      <xdr:blipFill>
        <a:blip r:embed="rId566" cstate="email"/>
        <a:stretch>
          <a:fillRect/>
        </a:stretch>
      </xdr:blipFill>
      <xdr:spPr>
        <a:xfrm>
          <a:off x="1012825" y="698500"/>
          <a:ext cx="556895" cy="0"/>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xdr:cNvPicPr>
          <a:picLocks noChangeAspect="1"/>
        </xdr:cNvPicPr>
      </xdr:nvPicPr>
      <xdr:blipFill>
        <a:blip r:embed="rId566" cstate="email"/>
        <a:stretch>
          <a:fillRect/>
        </a:stretch>
      </xdr:blipFill>
      <xdr:spPr>
        <a:xfrm>
          <a:off x="1012825" y="698500"/>
          <a:ext cx="556895" cy="0"/>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xdr:cNvPicPr>
          <a:picLocks noChangeAspect="1"/>
        </xdr:cNvPicPr>
      </xdr:nvPicPr>
      <xdr:blipFill>
        <a:blip r:embed="rId567" cstate="email"/>
        <a:stretch>
          <a:fillRect/>
        </a:stretch>
      </xdr:blipFill>
      <xdr:spPr>
        <a:xfrm>
          <a:off x="1071880" y="698500"/>
          <a:ext cx="510540" cy="0"/>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xdr:cNvPicPr>
          <a:picLocks noChangeAspect="1"/>
        </xdr:cNvPicPr>
      </xdr:nvPicPr>
      <xdr:blipFill>
        <a:blip r:embed="rId568" cstate="email"/>
        <a:stretch>
          <a:fillRect/>
        </a:stretch>
      </xdr:blipFill>
      <xdr:spPr>
        <a:xfrm>
          <a:off x="1081405" y="698500"/>
          <a:ext cx="439420" cy="0"/>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xdr:cNvPicPr>
          <a:picLocks noChangeAspect="1"/>
        </xdr:cNvPicPr>
      </xdr:nvPicPr>
      <xdr:blipFill>
        <a:blip r:embed="rId569"/>
        <a:stretch>
          <a:fillRect/>
        </a:stretch>
      </xdr:blipFill>
      <xdr:spPr>
        <a:xfrm>
          <a:off x="1081405" y="698500"/>
          <a:ext cx="439420" cy="0"/>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xdr:cNvPicPr>
          <a:picLocks noChangeAspect="1"/>
        </xdr:cNvPicPr>
      </xdr:nvPicPr>
      <xdr:blipFill>
        <a:blip r:embed="rId570" cstate="email"/>
        <a:stretch>
          <a:fillRect/>
        </a:stretch>
      </xdr:blipFill>
      <xdr:spPr>
        <a:xfrm>
          <a:off x="1097915" y="698500"/>
          <a:ext cx="537845" cy="0"/>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xdr:cNvPicPr>
          <a:picLocks noChangeAspect="1"/>
        </xdr:cNvPicPr>
      </xdr:nvPicPr>
      <xdr:blipFill>
        <a:blip r:embed="rId571" cstate="email"/>
        <a:stretch>
          <a:fillRect/>
        </a:stretch>
      </xdr:blipFill>
      <xdr:spPr>
        <a:xfrm>
          <a:off x="1061720" y="698500"/>
          <a:ext cx="534035" cy="0"/>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xdr:cNvPicPr>
          <a:picLocks noChangeAspect="1"/>
        </xdr:cNvPicPr>
      </xdr:nvPicPr>
      <xdr:blipFill>
        <a:blip r:embed="rId572" cstate="email"/>
        <a:stretch>
          <a:fillRect/>
        </a:stretch>
      </xdr:blipFill>
      <xdr:spPr>
        <a:xfrm>
          <a:off x="1094105" y="698500"/>
          <a:ext cx="508000" cy="0"/>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xdr:cNvPicPr>
          <a:picLocks noChangeAspect="1"/>
        </xdr:cNvPicPr>
      </xdr:nvPicPr>
      <xdr:blipFill>
        <a:blip r:embed="rId573" cstate="email"/>
        <a:stretch>
          <a:fillRect/>
        </a:stretch>
      </xdr:blipFill>
      <xdr:spPr>
        <a:xfrm>
          <a:off x="1104900" y="698500"/>
          <a:ext cx="501650" cy="0"/>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xdr:cNvPicPr>
          <a:picLocks noChangeAspect="1"/>
        </xdr:cNvPicPr>
      </xdr:nvPicPr>
      <xdr:blipFill>
        <a:blip r:embed="rId566" cstate="email"/>
        <a:stretch>
          <a:fillRect/>
        </a:stretch>
      </xdr:blipFill>
      <xdr:spPr>
        <a:xfrm>
          <a:off x="1017270" y="698500"/>
          <a:ext cx="556895" cy="0"/>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xdr:cNvPicPr>
          <a:picLocks noChangeAspect="1"/>
        </xdr:cNvPicPr>
      </xdr:nvPicPr>
      <xdr:blipFill>
        <a:blip r:embed="rId574" cstate="email"/>
        <a:stretch>
          <a:fillRect/>
        </a:stretch>
      </xdr:blipFill>
      <xdr:spPr>
        <a:xfrm>
          <a:off x="998220" y="698500"/>
          <a:ext cx="511810" cy="0"/>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xdr:cNvPicPr>
          <a:picLocks noChangeAspect="1"/>
        </xdr:cNvPicPr>
      </xdr:nvPicPr>
      <xdr:blipFill>
        <a:blip r:embed="rId575" cstate="email"/>
        <a:stretch>
          <a:fillRect/>
        </a:stretch>
      </xdr:blipFill>
      <xdr:spPr>
        <a:xfrm>
          <a:off x="1019175" y="698500"/>
          <a:ext cx="512445" cy="0"/>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xdr:cNvPicPr>
          <a:picLocks noChangeAspect="1"/>
        </xdr:cNvPicPr>
      </xdr:nvPicPr>
      <xdr:blipFill>
        <a:blip r:embed="rId576" cstate="email"/>
        <a:stretch>
          <a:fillRect/>
        </a:stretch>
      </xdr:blipFill>
      <xdr:spPr>
        <a:xfrm>
          <a:off x="1072515" y="698500"/>
          <a:ext cx="501650" cy="0"/>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xdr:cNvPicPr>
          <a:picLocks noChangeAspect="1"/>
        </xdr:cNvPicPr>
      </xdr:nvPicPr>
      <xdr:blipFill>
        <a:blip r:embed="rId576" cstate="email"/>
        <a:stretch>
          <a:fillRect/>
        </a:stretch>
      </xdr:blipFill>
      <xdr:spPr>
        <a:xfrm>
          <a:off x="1094105" y="698500"/>
          <a:ext cx="501650" cy="0"/>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xdr:cNvPicPr>
          <a:picLocks noChangeAspect="1"/>
        </xdr:cNvPicPr>
      </xdr:nvPicPr>
      <xdr:blipFill>
        <a:blip r:embed="rId577" cstate="email"/>
        <a:stretch>
          <a:fillRect/>
        </a:stretch>
      </xdr:blipFill>
      <xdr:spPr>
        <a:xfrm>
          <a:off x="1094105" y="698500"/>
          <a:ext cx="541655" cy="0"/>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xdr:cNvPicPr>
          <a:picLocks noChangeAspect="1"/>
        </xdr:cNvPicPr>
      </xdr:nvPicPr>
      <xdr:blipFill>
        <a:blip r:embed="rId578" cstate="email"/>
        <a:stretch>
          <a:fillRect/>
        </a:stretch>
      </xdr:blipFill>
      <xdr:spPr>
        <a:xfrm>
          <a:off x="998220" y="698500"/>
          <a:ext cx="597535" cy="0"/>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xdr:cNvPicPr>
          <a:picLocks noChangeAspect="1"/>
        </xdr:cNvPicPr>
      </xdr:nvPicPr>
      <xdr:blipFill>
        <a:blip r:embed="rId579" cstate="email"/>
        <a:stretch>
          <a:fillRect/>
        </a:stretch>
      </xdr:blipFill>
      <xdr:spPr>
        <a:xfrm>
          <a:off x="998220" y="698500"/>
          <a:ext cx="575945" cy="0"/>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xdr:cNvPicPr>
          <a:picLocks noChangeAspect="1"/>
        </xdr:cNvPicPr>
      </xdr:nvPicPr>
      <xdr:blipFill>
        <a:blip r:embed="rId580" cstate="email"/>
        <a:stretch>
          <a:fillRect/>
        </a:stretch>
      </xdr:blipFill>
      <xdr:spPr>
        <a:xfrm>
          <a:off x="1029970" y="698500"/>
          <a:ext cx="605790" cy="0"/>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xdr:cNvPicPr>
          <a:picLocks noChangeAspect="1"/>
        </xdr:cNvPicPr>
      </xdr:nvPicPr>
      <xdr:blipFill>
        <a:blip r:embed="rId581" cstate="email"/>
        <a:stretch>
          <a:fillRect/>
        </a:stretch>
      </xdr:blipFill>
      <xdr:spPr>
        <a:xfrm>
          <a:off x="1147445" y="698500"/>
          <a:ext cx="488315" cy="0"/>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xdr:cNvPicPr>
          <a:picLocks noChangeAspect="1"/>
        </xdr:cNvPicPr>
      </xdr:nvPicPr>
      <xdr:blipFill>
        <a:blip r:embed="rId582" cstate="email"/>
        <a:stretch>
          <a:fillRect/>
        </a:stretch>
      </xdr:blipFill>
      <xdr:spPr>
        <a:xfrm>
          <a:off x="1061720" y="698500"/>
          <a:ext cx="534035" cy="0"/>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xdr:cNvPicPr>
          <a:picLocks noChangeAspect="1"/>
        </xdr:cNvPicPr>
      </xdr:nvPicPr>
      <xdr:blipFill>
        <a:blip r:embed="rId583" cstate="email"/>
        <a:stretch>
          <a:fillRect/>
        </a:stretch>
      </xdr:blipFill>
      <xdr:spPr>
        <a:xfrm>
          <a:off x="998220" y="698500"/>
          <a:ext cx="565150" cy="0"/>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xdr:cNvPicPr>
          <a:picLocks noChangeAspect="1"/>
        </xdr:cNvPicPr>
      </xdr:nvPicPr>
      <xdr:blipFill>
        <a:blip r:embed="rId584" cstate="email"/>
        <a:stretch>
          <a:fillRect/>
        </a:stretch>
      </xdr:blipFill>
      <xdr:spPr>
        <a:xfrm>
          <a:off x="1019175" y="698500"/>
          <a:ext cx="565785" cy="0"/>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xdr:cNvPicPr>
          <a:picLocks noChangeAspect="1"/>
        </xdr:cNvPicPr>
      </xdr:nvPicPr>
      <xdr:blipFill>
        <a:blip r:embed="rId585" cstate="email"/>
        <a:stretch>
          <a:fillRect/>
        </a:stretch>
      </xdr:blipFill>
      <xdr:spPr>
        <a:xfrm>
          <a:off x="1083310" y="698500"/>
          <a:ext cx="552450" cy="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xdr:cNvPicPr>
          <a:picLocks noChangeAspect="1"/>
        </xdr:cNvPicPr>
      </xdr:nvPicPr>
      <xdr:blipFill>
        <a:blip r:embed="rId586" cstate="email"/>
        <a:stretch>
          <a:fillRect/>
        </a:stretch>
      </xdr:blipFill>
      <xdr:spPr>
        <a:xfrm>
          <a:off x="1061720" y="698500"/>
          <a:ext cx="554990" cy="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xdr:cNvPicPr>
          <a:picLocks noChangeAspect="1"/>
        </xdr:cNvPicPr>
      </xdr:nvPicPr>
      <xdr:blipFill>
        <a:blip r:embed="rId587" cstate="email"/>
        <a:stretch>
          <a:fillRect/>
        </a:stretch>
      </xdr:blipFill>
      <xdr:spPr>
        <a:xfrm>
          <a:off x="1019175" y="698500"/>
          <a:ext cx="608330" cy="0"/>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xdr:cNvPicPr>
          <a:picLocks noChangeAspect="1"/>
        </xdr:cNvPicPr>
      </xdr:nvPicPr>
      <xdr:blipFill>
        <a:blip r:embed="rId588" cstate="email"/>
        <a:stretch>
          <a:fillRect/>
        </a:stretch>
      </xdr:blipFill>
      <xdr:spPr>
        <a:xfrm>
          <a:off x="1061720" y="698500"/>
          <a:ext cx="574040" cy="0"/>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xdr:cNvPicPr>
          <a:picLocks noChangeAspect="1"/>
        </xdr:cNvPicPr>
      </xdr:nvPicPr>
      <xdr:blipFill>
        <a:blip r:embed="rId589" cstate="email"/>
        <a:stretch>
          <a:fillRect/>
        </a:stretch>
      </xdr:blipFill>
      <xdr:spPr>
        <a:xfrm>
          <a:off x="1083310" y="698500"/>
          <a:ext cx="552450" cy="0"/>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xdr:cNvPicPr>
          <a:picLocks noChangeAspect="1"/>
        </xdr:cNvPicPr>
      </xdr:nvPicPr>
      <xdr:blipFill>
        <a:blip r:embed="rId590" cstate="email"/>
        <a:stretch>
          <a:fillRect/>
        </a:stretch>
      </xdr:blipFill>
      <xdr:spPr>
        <a:xfrm>
          <a:off x="1094105" y="698500"/>
          <a:ext cx="541655" cy="0"/>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xdr:cNvPicPr>
          <a:picLocks noChangeAspect="1"/>
        </xdr:cNvPicPr>
      </xdr:nvPicPr>
      <xdr:blipFill>
        <a:blip r:embed="rId591" cstate="email"/>
        <a:stretch>
          <a:fillRect/>
        </a:stretch>
      </xdr:blipFill>
      <xdr:spPr>
        <a:xfrm>
          <a:off x="1104900" y="698500"/>
          <a:ext cx="530860" cy="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xdr:cNvPicPr>
          <a:picLocks noChangeAspect="1"/>
        </xdr:cNvPicPr>
      </xdr:nvPicPr>
      <xdr:blipFill>
        <a:blip r:embed="rId592" cstate="email"/>
        <a:stretch>
          <a:fillRect/>
        </a:stretch>
      </xdr:blipFill>
      <xdr:spPr>
        <a:xfrm>
          <a:off x="1104900" y="698500"/>
          <a:ext cx="530860" cy="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xdr:cNvPicPr>
          <a:picLocks noChangeAspect="1"/>
        </xdr:cNvPicPr>
      </xdr:nvPicPr>
      <xdr:blipFill>
        <a:blip r:embed="rId593" cstate="email"/>
        <a:stretch>
          <a:fillRect/>
        </a:stretch>
      </xdr:blipFill>
      <xdr:spPr>
        <a:xfrm>
          <a:off x="1158240" y="698500"/>
          <a:ext cx="442595" cy="0"/>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xdr:cNvPicPr>
          <a:picLocks noChangeAspect="1"/>
        </xdr:cNvPicPr>
      </xdr:nvPicPr>
      <xdr:blipFill>
        <a:blip r:embed="rId594" cstate="email"/>
        <a:stretch>
          <a:fillRect/>
        </a:stretch>
      </xdr:blipFill>
      <xdr:spPr>
        <a:xfrm>
          <a:off x="1072515" y="698500"/>
          <a:ext cx="512445" cy="0"/>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xdr:cNvPicPr>
          <a:picLocks noChangeAspect="1"/>
        </xdr:cNvPicPr>
      </xdr:nvPicPr>
      <xdr:blipFill>
        <a:blip r:embed="rId595" cstate="email"/>
        <a:stretch>
          <a:fillRect/>
        </a:stretch>
      </xdr:blipFill>
      <xdr:spPr>
        <a:xfrm>
          <a:off x="1072515" y="698500"/>
          <a:ext cx="563245" cy="0"/>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xdr:cNvPicPr>
          <a:picLocks noChangeAspect="1"/>
        </xdr:cNvPicPr>
      </xdr:nvPicPr>
      <xdr:blipFill>
        <a:blip r:embed="rId596" cstate="email"/>
        <a:stretch>
          <a:fillRect/>
        </a:stretch>
      </xdr:blipFill>
      <xdr:spPr>
        <a:xfrm>
          <a:off x="1136650" y="698500"/>
          <a:ext cx="499110" cy="0"/>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xdr:cNvPicPr>
          <a:picLocks noChangeAspect="1"/>
        </xdr:cNvPicPr>
      </xdr:nvPicPr>
      <xdr:blipFill>
        <a:blip r:embed="rId597" cstate="email"/>
        <a:stretch>
          <a:fillRect/>
        </a:stretch>
      </xdr:blipFill>
      <xdr:spPr>
        <a:xfrm>
          <a:off x="1150620" y="698500"/>
          <a:ext cx="485140" cy="0"/>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xdr:cNvPicPr>
          <a:picLocks noChangeAspect="1"/>
        </xdr:cNvPicPr>
      </xdr:nvPicPr>
      <xdr:blipFill>
        <a:blip r:embed="rId598" cstate="email"/>
        <a:stretch>
          <a:fillRect/>
        </a:stretch>
      </xdr:blipFill>
      <xdr:spPr>
        <a:xfrm>
          <a:off x="1168400" y="698500"/>
          <a:ext cx="467360" cy="0"/>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xdr:cNvPicPr>
          <a:picLocks noChangeAspect="1"/>
        </xdr:cNvPicPr>
      </xdr:nvPicPr>
      <xdr:blipFill>
        <a:blip r:embed="rId599" cstate="email"/>
        <a:stretch>
          <a:fillRect/>
        </a:stretch>
      </xdr:blipFill>
      <xdr:spPr>
        <a:xfrm>
          <a:off x="987425" y="698500"/>
          <a:ext cx="629285" cy="0"/>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xdr:cNvPicPr>
          <a:picLocks noChangeAspect="1"/>
        </xdr:cNvPicPr>
      </xdr:nvPicPr>
      <xdr:blipFill>
        <a:blip r:embed="rId600" cstate="email"/>
        <a:stretch>
          <a:fillRect/>
        </a:stretch>
      </xdr:blipFill>
      <xdr:spPr>
        <a:xfrm>
          <a:off x="1040765" y="698500"/>
          <a:ext cx="594995" cy="0"/>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xdr:cNvPicPr>
          <a:picLocks noChangeAspect="1"/>
        </xdr:cNvPicPr>
      </xdr:nvPicPr>
      <xdr:blipFill>
        <a:blip r:embed="rId601" cstate="email"/>
        <a:stretch>
          <a:fillRect/>
        </a:stretch>
      </xdr:blipFill>
      <xdr:spPr>
        <a:xfrm>
          <a:off x="1179195" y="698500"/>
          <a:ext cx="456565" cy="0"/>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xdr:cNvPicPr>
          <a:picLocks noChangeAspect="1"/>
        </xdr:cNvPicPr>
      </xdr:nvPicPr>
      <xdr:blipFill>
        <a:blip r:embed="rId602" cstate="email"/>
        <a:stretch>
          <a:fillRect/>
        </a:stretch>
      </xdr:blipFill>
      <xdr:spPr>
        <a:xfrm>
          <a:off x="1158240" y="698500"/>
          <a:ext cx="459105" cy="0"/>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xdr:cNvPicPr>
          <a:picLocks noChangeAspect="1"/>
        </xdr:cNvPicPr>
      </xdr:nvPicPr>
      <xdr:blipFill>
        <a:blip r:embed="rId603" cstate="email"/>
        <a:stretch>
          <a:fillRect/>
        </a:stretch>
      </xdr:blipFill>
      <xdr:spPr>
        <a:xfrm>
          <a:off x="1051560" y="698500"/>
          <a:ext cx="469265" cy="0"/>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xdr:cNvPicPr>
          <a:picLocks noChangeAspect="1"/>
        </xdr:cNvPicPr>
      </xdr:nvPicPr>
      <xdr:blipFill>
        <a:blip r:embed="rId603" cstate="email"/>
        <a:stretch>
          <a:fillRect/>
        </a:stretch>
      </xdr:blipFill>
      <xdr:spPr>
        <a:xfrm>
          <a:off x="1075690" y="698500"/>
          <a:ext cx="469265" cy="0"/>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xdr:cNvPicPr>
          <a:picLocks noChangeAspect="1"/>
        </xdr:cNvPicPr>
      </xdr:nvPicPr>
      <xdr:blipFill>
        <a:blip r:embed="rId604" cstate="email"/>
        <a:stretch>
          <a:fillRect/>
        </a:stretch>
      </xdr:blipFill>
      <xdr:spPr>
        <a:xfrm>
          <a:off x="1072515" y="698500"/>
          <a:ext cx="523240" cy="0"/>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xdr:cNvPicPr>
          <a:picLocks noChangeAspect="1"/>
        </xdr:cNvPicPr>
      </xdr:nvPicPr>
      <xdr:blipFill>
        <a:blip r:embed="rId605" cstate="email"/>
        <a:stretch>
          <a:fillRect/>
        </a:stretch>
      </xdr:blipFill>
      <xdr:spPr>
        <a:xfrm>
          <a:off x="1040765" y="698500"/>
          <a:ext cx="533400" cy="0"/>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xdr:cNvPicPr>
          <a:picLocks noChangeAspect="1"/>
        </xdr:cNvPicPr>
      </xdr:nvPicPr>
      <xdr:blipFill>
        <a:blip r:embed="rId605" cstate="email"/>
        <a:stretch>
          <a:fillRect/>
        </a:stretch>
      </xdr:blipFill>
      <xdr:spPr>
        <a:xfrm>
          <a:off x="1061720" y="698500"/>
          <a:ext cx="534035" cy="0"/>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xdr:cNvPicPr>
          <a:picLocks noChangeAspect="1"/>
        </xdr:cNvPicPr>
      </xdr:nvPicPr>
      <xdr:blipFill>
        <a:blip r:embed="rId606" cstate="email"/>
        <a:stretch>
          <a:fillRect/>
        </a:stretch>
      </xdr:blipFill>
      <xdr:spPr>
        <a:xfrm>
          <a:off x="1094105" y="698500"/>
          <a:ext cx="490855" cy="0"/>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xdr:cNvPicPr>
          <a:picLocks noChangeAspect="1"/>
        </xdr:cNvPicPr>
      </xdr:nvPicPr>
      <xdr:blipFill>
        <a:blip r:embed="rId607" cstate="email"/>
        <a:stretch>
          <a:fillRect/>
        </a:stretch>
      </xdr:blipFill>
      <xdr:spPr>
        <a:xfrm>
          <a:off x="1136650" y="698500"/>
          <a:ext cx="490855" cy="0"/>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xdr:cNvPicPr>
          <a:picLocks noChangeAspect="1"/>
        </xdr:cNvPicPr>
      </xdr:nvPicPr>
      <xdr:blipFill>
        <a:blip r:embed="rId608" cstate="email"/>
        <a:stretch>
          <a:fillRect/>
        </a:stretch>
      </xdr:blipFill>
      <xdr:spPr>
        <a:xfrm>
          <a:off x="1136650" y="698500"/>
          <a:ext cx="482600" cy="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xdr:cNvPicPr>
          <a:picLocks noChangeAspect="1"/>
        </xdr:cNvPicPr>
      </xdr:nvPicPr>
      <xdr:blipFill>
        <a:blip r:embed="rId609" cstate="email"/>
        <a:stretch>
          <a:fillRect/>
        </a:stretch>
      </xdr:blipFill>
      <xdr:spPr>
        <a:xfrm>
          <a:off x="1125855" y="698500"/>
          <a:ext cx="482600" cy="0"/>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xdr:cNvPicPr>
          <a:picLocks noChangeAspect="1"/>
        </xdr:cNvPicPr>
      </xdr:nvPicPr>
      <xdr:blipFill>
        <a:blip r:embed="rId610" cstate="email"/>
        <a:stretch>
          <a:fillRect/>
        </a:stretch>
      </xdr:blipFill>
      <xdr:spPr>
        <a:xfrm>
          <a:off x="1136650" y="698500"/>
          <a:ext cx="482600" cy="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xdr:cNvPicPr>
          <a:picLocks noChangeAspect="1"/>
        </xdr:cNvPicPr>
      </xdr:nvPicPr>
      <xdr:blipFill>
        <a:blip r:embed="rId611" cstate="email"/>
        <a:stretch>
          <a:fillRect/>
        </a:stretch>
      </xdr:blipFill>
      <xdr:spPr>
        <a:xfrm>
          <a:off x="1115060" y="698500"/>
          <a:ext cx="505460" cy="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xdr:cNvPicPr>
          <a:picLocks noChangeAspect="1"/>
        </xdr:cNvPicPr>
      </xdr:nvPicPr>
      <xdr:blipFill>
        <a:blip r:embed="rId612" cstate="email"/>
        <a:stretch>
          <a:fillRect/>
        </a:stretch>
      </xdr:blipFill>
      <xdr:spPr>
        <a:xfrm>
          <a:off x="1118235" y="698500"/>
          <a:ext cx="505460" cy="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xdr:cNvPicPr>
          <a:picLocks noChangeAspect="1"/>
        </xdr:cNvPicPr>
      </xdr:nvPicPr>
      <xdr:blipFill>
        <a:blip r:embed="rId613" cstate="email"/>
        <a:stretch>
          <a:fillRect/>
        </a:stretch>
      </xdr:blipFill>
      <xdr:spPr>
        <a:xfrm>
          <a:off x="1142365" y="698500"/>
          <a:ext cx="493395" cy="0"/>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xdr:cNvPicPr>
          <a:picLocks noChangeAspect="1"/>
        </xdr:cNvPicPr>
      </xdr:nvPicPr>
      <xdr:blipFill>
        <a:blip r:embed="rId614" cstate="email"/>
        <a:stretch>
          <a:fillRect/>
        </a:stretch>
      </xdr:blipFill>
      <xdr:spPr>
        <a:xfrm>
          <a:off x="1158240" y="698500"/>
          <a:ext cx="394335" cy="0"/>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xdr:cNvPicPr>
          <a:picLocks noChangeAspect="1"/>
        </xdr:cNvPicPr>
      </xdr:nvPicPr>
      <xdr:blipFill>
        <a:blip r:embed="rId614" cstate="email"/>
        <a:stretch>
          <a:fillRect/>
        </a:stretch>
      </xdr:blipFill>
      <xdr:spPr>
        <a:xfrm>
          <a:off x="1136650" y="698500"/>
          <a:ext cx="394970" cy="0"/>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xdr:cNvPicPr>
          <a:picLocks noChangeAspect="1"/>
        </xdr:cNvPicPr>
      </xdr:nvPicPr>
      <xdr:blipFill>
        <a:blip r:embed="rId615" cstate="email"/>
        <a:stretch>
          <a:fillRect/>
        </a:stretch>
      </xdr:blipFill>
      <xdr:spPr>
        <a:xfrm>
          <a:off x="1083310" y="698500"/>
          <a:ext cx="512445" cy="0"/>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xdr:cNvPicPr>
          <a:picLocks noChangeAspect="1"/>
        </xdr:cNvPicPr>
      </xdr:nvPicPr>
      <xdr:blipFill>
        <a:blip r:embed="rId616" cstate="email"/>
        <a:stretch>
          <a:fillRect/>
        </a:stretch>
      </xdr:blipFill>
      <xdr:spPr>
        <a:xfrm>
          <a:off x="1083310" y="698500"/>
          <a:ext cx="474980" cy="0"/>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xdr:cNvPicPr>
          <a:picLocks noChangeAspect="1"/>
        </xdr:cNvPicPr>
      </xdr:nvPicPr>
      <xdr:blipFill>
        <a:blip r:embed="rId617" cstate="email"/>
        <a:stretch>
          <a:fillRect/>
        </a:stretch>
      </xdr:blipFill>
      <xdr:spPr>
        <a:xfrm>
          <a:off x="1104900" y="698500"/>
          <a:ext cx="530860" cy="0"/>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xdr:cNvPicPr>
          <a:picLocks noChangeAspect="1"/>
        </xdr:cNvPicPr>
      </xdr:nvPicPr>
      <xdr:blipFill>
        <a:blip r:embed="rId618" cstate="email"/>
        <a:stretch>
          <a:fillRect/>
        </a:stretch>
      </xdr:blipFill>
      <xdr:spPr>
        <a:xfrm>
          <a:off x="1125855" y="698500"/>
          <a:ext cx="509905" cy="0"/>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xdr:cNvPicPr>
          <a:picLocks noChangeAspect="1"/>
        </xdr:cNvPicPr>
      </xdr:nvPicPr>
      <xdr:blipFill>
        <a:blip r:embed="rId619" cstate="email"/>
        <a:stretch>
          <a:fillRect/>
        </a:stretch>
      </xdr:blipFill>
      <xdr:spPr>
        <a:xfrm>
          <a:off x="1158240" y="698500"/>
          <a:ext cx="477520" cy="0"/>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xdr:cNvPicPr>
          <a:picLocks noChangeAspect="1"/>
        </xdr:cNvPicPr>
      </xdr:nvPicPr>
      <xdr:blipFill>
        <a:blip r:embed="rId620" cstate="email"/>
        <a:stretch>
          <a:fillRect/>
        </a:stretch>
      </xdr:blipFill>
      <xdr:spPr>
        <a:xfrm>
          <a:off x="1115060" y="698500"/>
          <a:ext cx="520700" cy="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xdr:cNvPicPr>
          <a:picLocks noChangeAspect="1"/>
        </xdr:cNvPicPr>
      </xdr:nvPicPr>
      <xdr:blipFill>
        <a:blip r:embed="rId621" cstate="email"/>
        <a:stretch>
          <a:fillRect/>
        </a:stretch>
      </xdr:blipFill>
      <xdr:spPr>
        <a:xfrm>
          <a:off x="1136650" y="698500"/>
          <a:ext cx="499110" cy="0"/>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xdr:cNvPicPr>
          <a:picLocks noChangeAspect="1"/>
        </xdr:cNvPicPr>
      </xdr:nvPicPr>
      <xdr:blipFill>
        <a:blip r:embed="rId622" cstate="email"/>
        <a:stretch>
          <a:fillRect/>
        </a:stretch>
      </xdr:blipFill>
      <xdr:spPr>
        <a:xfrm>
          <a:off x="1092200" y="698500"/>
          <a:ext cx="502285" cy="0"/>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xdr:cNvPicPr>
          <a:picLocks noChangeAspect="1"/>
        </xdr:cNvPicPr>
      </xdr:nvPicPr>
      <xdr:blipFill>
        <a:blip r:embed="rId623" cstate="email"/>
        <a:stretch>
          <a:fillRect/>
        </a:stretch>
      </xdr:blipFill>
      <xdr:spPr>
        <a:xfrm>
          <a:off x="1109345" y="698500"/>
          <a:ext cx="526415" cy="0"/>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xdr:cNvPicPr>
          <a:picLocks noChangeAspect="1"/>
        </xdr:cNvPicPr>
      </xdr:nvPicPr>
      <xdr:blipFill>
        <a:blip r:embed="rId624" cstate="email"/>
        <a:stretch>
          <a:fillRect/>
        </a:stretch>
      </xdr:blipFill>
      <xdr:spPr>
        <a:xfrm>
          <a:off x="1167765" y="698500"/>
          <a:ext cx="446405" cy="0"/>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xdr:cNvPicPr>
          <a:picLocks noChangeAspect="1"/>
        </xdr:cNvPicPr>
      </xdr:nvPicPr>
      <xdr:blipFill>
        <a:blip r:embed="rId625" cstate="email"/>
        <a:stretch>
          <a:fillRect/>
        </a:stretch>
      </xdr:blipFill>
      <xdr:spPr>
        <a:xfrm>
          <a:off x="1137920" y="698500"/>
          <a:ext cx="490855" cy="0"/>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xdr:cNvPicPr>
          <a:picLocks noChangeAspect="1"/>
        </xdr:cNvPicPr>
      </xdr:nvPicPr>
      <xdr:blipFill>
        <a:blip r:embed="rId626" cstate="email"/>
        <a:stretch>
          <a:fillRect/>
        </a:stretch>
      </xdr:blipFill>
      <xdr:spPr>
        <a:xfrm>
          <a:off x="1104900" y="698500"/>
          <a:ext cx="490855" cy="0"/>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xdr:cNvPicPr>
          <a:picLocks noChangeAspect="1"/>
        </xdr:cNvPicPr>
      </xdr:nvPicPr>
      <xdr:blipFill>
        <a:blip r:embed="rId627" cstate="email"/>
        <a:stretch>
          <a:fillRect/>
        </a:stretch>
      </xdr:blipFill>
      <xdr:spPr>
        <a:xfrm>
          <a:off x="1079500" y="698500"/>
          <a:ext cx="459105" cy="0"/>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xdr:cNvPicPr>
          <a:picLocks noChangeAspect="1"/>
        </xdr:cNvPicPr>
      </xdr:nvPicPr>
      <xdr:blipFill>
        <a:blip r:embed="rId628" cstate="email"/>
        <a:stretch>
          <a:fillRect/>
        </a:stretch>
      </xdr:blipFill>
      <xdr:spPr>
        <a:xfrm>
          <a:off x="1040765" y="698500"/>
          <a:ext cx="594995" cy="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xdr:cNvPicPr>
          <a:picLocks noChangeAspect="1"/>
        </xdr:cNvPicPr>
      </xdr:nvPicPr>
      <xdr:blipFill>
        <a:blip r:embed="rId629" cstate="email"/>
        <a:stretch>
          <a:fillRect/>
        </a:stretch>
      </xdr:blipFill>
      <xdr:spPr>
        <a:xfrm>
          <a:off x="1047115" y="698500"/>
          <a:ext cx="414020" cy="0"/>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xdr:cNvPicPr>
          <a:picLocks noChangeAspect="1"/>
        </xdr:cNvPicPr>
      </xdr:nvPicPr>
      <xdr:blipFill>
        <a:blip r:embed="rId630" cstate="email"/>
        <a:stretch>
          <a:fillRect/>
        </a:stretch>
      </xdr:blipFill>
      <xdr:spPr>
        <a:xfrm>
          <a:off x="938530" y="698500"/>
          <a:ext cx="697230" cy="0"/>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xdr:cNvPicPr>
          <a:picLocks noChangeAspect="1"/>
        </xdr:cNvPicPr>
      </xdr:nvPicPr>
      <xdr:blipFill>
        <a:blip r:embed="rId631" cstate="email"/>
        <a:stretch>
          <a:fillRect/>
        </a:stretch>
      </xdr:blipFill>
      <xdr:spPr>
        <a:xfrm>
          <a:off x="1024255" y="698500"/>
          <a:ext cx="505460" cy="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xdr:cNvPicPr>
          <a:picLocks noChangeAspect="1"/>
        </xdr:cNvPicPr>
      </xdr:nvPicPr>
      <xdr:blipFill>
        <a:blip r:embed="rId632" cstate="email"/>
        <a:stretch>
          <a:fillRect/>
        </a:stretch>
      </xdr:blipFill>
      <xdr:spPr>
        <a:xfrm>
          <a:off x="1083310" y="698500"/>
          <a:ext cx="512445" cy="0"/>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xdr:cNvPicPr>
          <a:picLocks noChangeAspect="1"/>
        </xdr:cNvPicPr>
      </xdr:nvPicPr>
      <xdr:blipFill>
        <a:blip r:embed="rId633" cstate="email"/>
        <a:stretch>
          <a:fillRect/>
        </a:stretch>
      </xdr:blipFill>
      <xdr:spPr>
        <a:xfrm>
          <a:off x="1029970" y="698500"/>
          <a:ext cx="605790" cy="0"/>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xdr:cNvPicPr>
          <a:picLocks noChangeAspect="1"/>
        </xdr:cNvPicPr>
      </xdr:nvPicPr>
      <xdr:blipFill>
        <a:blip r:embed="rId634" cstate="email"/>
        <a:stretch>
          <a:fillRect/>
        </a:stretch>
      </xdr:blipFill>
      <xdr:spPr>
        <a:xfrm>
          <a:off x="1158240" y="698500"/>
          <a:ext cx="477520" cy="0"/>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xdr:cNvPicPr>
          <a:picLocks noChangeAspect="1"/>
        </xdr:cNvPicPr>
      </xdr:nvPicPr>
      <xdr:blipFill>
        <a:blip r:embed="rId635" cstate="email"/>
        <a:stretch>
          <a:fillRect/>
        </a:stretch>
      </xdr:blipFill>
      <xdr:spPr>
        <a:xfrm>
          <a:off x="1147445" y="698500"/>
          <a:ext cx="488315" cy="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xdr:cNvPicPr>
          <a:picLocks noChangeAspect="1"/>
        </xdr:cNvPicPr>
      </xdr:nvPicPr>
      <xdr:blipFill>
        <a:blip r:embed="rId636" cstate="email"/>
        <a:stretch>
          <a:fillRect/>
        </a:stretch>
      </xdr:blipFill>
      <xdr:spPr>
        <a:xfrm>
          <a:off x="1115060" y="698500"/>
          <a:ext cx="520700" cy="0"/>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xdr:cNvPicPr>
          <a:picLocks noChangeAspect="1"/>
        </xdr:cNvPicPr>
      </xdr:nvPicPr>
      <xdr:blipFill>
        <a:blip r:embed="rId637" cstate="email"/>
        <a:stretch>
          <a:fillRect/>
        </a:stretch>
      </xdr:blipFill>
      <xdr:spPr>
        <a:xfrm>
          <a:off x="1104900" y="698500"/>
          <a:ext cx="522605" cy="0"/>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xdr:cNvPicPr>
          <a:picLocks noChangeAspect="1"/>
        </xdr:cNvPicPr>
      </xdr:nvPicPr>
      <xdr:blipFill>
        <a:blip r:embed="rId638" cstate="email"/>
        <a:stretch>
          <a:fillRect/>
        </a:stretch>
      </xdr:blipFill>
      <xdr:spPr>
        <a:xfrm>
          <a:off x="1179195" y="698500"/>
          <a:ext cx="456565" cy="0"/>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xdr:cNvPicPr>
          <a:picLocks noChangeAspect="1"/>
        </xdr:cNvPicPr>
      </xdr:nvPicPr>
      <xdr:blipFill>
        <a:blip r:embed="rId639" cstate="email"/>
        <a:stretch>
          <a:fillRect/>
        </a:stretch>
      </xdr:blipFill>
      <xdr:spPr>
        <a:xfrm>
          <a:off x="1193165" y="698500"/>
          <a:ext cx="442595" cy="0"/>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xdr:cNvPicPr>
          <a:picLocks noChangeAspect="1"/>
        </xdr:cNvPicPr>
      </xdr:nvPicPr>
      <xdr:blipFill>
        <a:blip r:embed="rId638" cstate="email"/>
        <a:stretch>
          <a:fillRect/>
        </a:stretch>
      </xdr:blipFill>
      <xdr:spPr>
        <a:xfrm>
          <a:off x="1174750" y="698500"/>
          <a:ext cx="461010" cy="0"/>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xdr:cNvPicPr>
          <a:picLocks noChangeAspect="1"/>
        </xdr:cNvPicPr>
      </xdr:nvPicPr>
      <xdr:blipFill>
        <a:blip r:embed="rId640" cstate="email"/>
        <a:stretch>
          <a:fillRect/>
        </a:stretch>
      </xdr:blipFill>
      <xdr:spPr>
        <a:xfrm>
          <a:off x="1158240" y="698500"/>
          <a:ext cx="477520" cy="0"/>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xdr:cNvPicPr>
          <a:picLocks noChangeAspect="1"/>
        </xdr:cNvPicPr>
      </xdr:nvPicPr>
      <xdr:blipFill>
        <a:blip r:embed="rId641" cstate="email"/>
        <a:stretch>
          <a:fillRect/>
        </a:stretch>
      </xdr:blipFill>
      <xdr:spPr>
        <a:xfrm>
          <a:off x="1129030" y="698500"/>
          <a:ext cx="490855" cy="0"/>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xdr:cNvPicPr>
          <a:picLocks noChangeAspect="1"/>
        </xdr:cNvPicPr>
      </xdr:nvPicPr>
      <xdr:blipFill>
        <a:blip r:embed="rId642" cstate="email"/>
        <a:stretch>
          <a:fillRect/>
        </a:stretch>
      </xdr:blipFill>
      <xdr:spPr>
        <a:xfrm>
          <a:off x="1168400" y="698500"/>
          <a:ext cx="450850" cy="0"/>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xdr:cNvPicPr>
          <a:picLocks noChangeAspect="1"/>
        </xdr:cNvPicPr>
      </xdr:nvPicPr>
      <xdr:blipFill>
        <a:blip r:embed="rId642" cstate="email"/>
        <a:stretch>
          <a:fillRect/>
        </a:stretch>
      </xdr:blipFill>
      <xdr:spPr>
        <a:xfrm>
          <a:off x="1158240" y="698500"/>
          <a:ext cx="450215" cy="0"/>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xdr:cNvPicPr>
          <a:picLocks noChangeAspect="1"/>
        </xdr:cNvPicPr>
      </xdr:nvPicPr>
      <xdr:blipFill>
        <a:blip r:embed="rId643" cstate="email"/>
        <a:stretch>
          <a:fillRect/>
        </a:stretch>
      </xdr:blipFill>
      <xdr:spPr>
        <a:xfrm>
          <a:off x="1069340" y="698500"/>
          <a:ext cx="506095" cy="0"/>
        </a:xfrm>
        <a:prstGeom prst="rect">
          <a:avLst/>
        </a:prstGeom>
      </xdr:spPr>
    </xdr:pic>
    <xdr:clientData/>
  </xdr:twoCellAnchor>
  <xdr:twoCellAnchor>
    <xdr:from>
      <xdr:col>1</xdr:col>
      <xdr:colOff>191697</xdr:colOff>
      <xdr:row>880</xdr:row>
      <xdr:rowOff>23962</xdr:rowOff>
    </xdr:from>
    <xdr:to>
      <xdr:col>1</xdr:col>
      <xdr:colOff>194332</xdr:colOff>
      <xdr:row>881</xdr:row>
      <xdr:rowOff>66407</xdr:rowOff>
    </xdr:to>
    <xdr:pic>
      <xdr:nvPicPr>
        <xdr:cNvPr id="12399" name="Picture 12398"/>
        <xdr:cNvPicPr>
          <a:picLocks noChangeAspect="1"/>
        </xdr:cNvPicPr>
      </xdr:nvPicPr>
      <xdr:blipFill>
        <a:blip r:embed="rId644" cstate="email"/>
        <a:stretch>
          <a:fillRect/>
        </a:stretch>
      </xdr:blipFill>
      <xdr:spPr>
        <a:xfrm>
          <a:off x="1136015" y="698500"/>
          <a:ext cx="3175" cy="0"/>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xdr:cNvPicPr>
          <a:picLocks noChangeAspect="1"/>
        </xdr:cNvPicPr>
      </xdr:nvPicPr>
      <xdr:blipFill>
        <a:blip r:embed="rId645" cstate="email"/>
        <a:stretch>
          <a:fillRect/>
        </a:stretch>
      </xdr:blipFill>
      <xdr:spPr>
        <a:xfrm>
          <a:off x="1172210" y="698500"/>
          <a:ext cx="407670" cy="0"/>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xdr:cNvPicPr>
          <a:picLocks noChangeAspect="1"/>
        </xdr:cNvPicPr>
      </xdr:nvPicPr>
      <xdr:blipFill>
        <a:blip r:embed="rId646" cstate="email"/>
        <a:stretch>
          <a:fillRect/>
        </a:stretch>
      </xdr:blipFill>
      <xdr:spPr>
        <a:xfrm>
          <a:off x="1184275" y="698500"/>
          <a:ext cx="451485" cy="0"/>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xdr:cNvPicPr>
          <a:picLocks noChangeAspect="1"/>
        </xdr:cNvPicPr>
      </xdr:nvPicPr>
      <xdr:blipFill>
        <a:blip r:embed="rId647" cstate="email"/>
        <a:stretch>
          <a:fillRect/>
        </a:stretch>
      </xdr:blipFill>
      <xdr:spPr>
        <a:xfrm>
          <a:off x="1169035" y="698500"/>
          <a:ext cx="431165" cy="0"/>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xdr:cNvPicPr>
          <a:picLocks noChangeAspect="1"/>
        </xdr:cNvPicPr>
      </xdr:nvPicPr>
      <xdr:blipFill>
        <a:blip r:embed="rId647" cstate="email"/>
        <a:stretch>
          <a:fillRect/>
        </a:stretch>
      </xdr:blipFill>
      <xdr:spPr>
        <a:xfrm>
          <a:off x="1177290" y="698500"/>
          <a:ext cx="431800" cy="0"/>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xdr:cNvPicPr>
          <a:picLocks noChangeAspect="1"/>
        </xdr:cNvPicPr>
      </xdr:nvPicPr>
      <xdr:blipFill>
        <a:blip r:embed="rId648" cstate="email"/>
        <a:stretch>
          <a:fillRect/>
        </a:stretch>
      </xdr:blipFill>
      <xdr:spPr>
        <a:xfrm>
          <a:off x="1210310" y="698500"/>
          <a:ext cx="425450" cy="0"/>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xdr:cNvPicPr>
          <a:picLocks noChangeAspect="1"/>
        </xdr:cNvPicPr>
      </xdr:nvPicPr>
      <xdr:blipFill>
        <a:blip r:embed="rId649" cstate="email"/>
        <a:stretch>
          <a:fillRect/>
        </a:stretch>
      </xdr:blipFill>
      <xdr:spPr>
        <a:xfrm>
          <a:off x="1206500" y="698500"/>
          <a:ext cx="429260" cy="0"/>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xdr:cNvPicPr>
          <a:picLocks noChangeAspect="1"/>
        </xdr:cNvPicPr>
      </xdr:nvPicPr>
      <xdr:blipFill>
        <a:blip r:embed="rId650" cstate="email"/>
        <a:stretch>
          <a:fillRect/>
        </a:stretch>
      </xdr:blipFill>
      <xdr:spPr>
        <a:xfrm>
          <a:off x="1148080" y="698500"/>
          <a:ext cx="480695" cy="0"/>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xdr:cNvPicPr>
          <a:picLocks noChangeAspect="1"/>
        </xdr:cNvPicPr>
      </xdr:nvPicPr>
      <xdr:blipFill>
        <a:blip r:embed="rId651" cstate="email"/>
        <a:stretch>
          <a:fillRect/>
        </a:stretch>
      </xdr:blipFill>
      <xdr:spPr>
        <a:xfrm>
          <a:off x="1156970" y="698500"/>
          <a:ext cx="478790" cy="0"/>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xdr:cNvPicPr>
          <a:picLocks noChangeAspect="1"/>
        </xdr:cNvPicPr>
      </xdr:nvPicPr>
      <xdr:blipFill>
        <a:blip r:embed="rId652" cstate="email"/>
        <a:stretch>
          <a:fillRect/>
        </a:stretch>
      </xdr:blipFill>
      <xdr:spPr>
        <a:xfrm>
          <a:off x="1100455" y="698500"/>
          <a:ext cx="527050" cy="0"/>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xdr:cNvPicPr>
          <a:picLocks noChangeAspect="1"/>
        </xdr:cNvPicPr>
      </xdr:nvPicPr>
      <xdr:blipFill>
        <a:blip r:embed="rId642" cstate="email"/>
        <a:stretch>
          <a:fillRect/>
        </a:stretch>
      </xdr:blipFill>
      <xdr:spPr>
        <a:xfrm>
          <a:off x="1184275" y="698500"/>
          <a:ext cx="450215" cy="0"/>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xdr:cNvPicPr>
          <a:picLocks noChangeAspect="1"/>
        </xdr:cNvPicPr>
      </xdr:nvPicPr>
      <xdr:blipFill>
        <a:blip r:embed="rId653" cstate="email"/>
        <a:stretch>
          <a:fillRect/>
        </a:stretch>
      </xdr:blipFill>
      <xdr:spPr>
        <a:xfrm>
          <a:off x="1064260" y="698500"/>
          <a:ext cx="571500" cy="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xdr:cNvPicPr>
          <a:picLocks noChangeAspect="1"/>
        </xdr:cNvPicPr>
      </xdr:nvPicPr>
      <xdr:blipFill>
        <a:blip r:embed="rId654" cstate="email"/>
        <a:stretch>
          <a:fillRect/>
        </a:stretch>
      </xdr:blipFill>
      <xdr:spPr>
        <a:xfrm>
          <a:off x="1036955" y="698500"/>
          <a:ext cx="598805" cy="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xdr:cNvPicPr>
          <a:picLocks noChangeAspect="1"/>
        </xdr:cNvPicPr>
      </xdr:nvPicPr>
      <xdr:blipFill>
        <a:blip r:embed="rId655" cstate="email"/>
        <a:stretch>
          <a:fillRect/>
        </a:stretch>
      </xdr:blipFill>
      <xdr:spPr>
        <a:xfrm>
          <a:off x="1033780" y="698500"/>
          <a:ext cx="601980" cy="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xdr:cNvPicPr>
          <a:picLocks noChangeAspect="1"/>
        </xdr:cNvPicPr>
      </xdr:nvPicPr>
      <xdr:blipFill>
        <a:blip r:embed="rId656" cstate="email"/>
        <a:stretch>
          <a:fillRect/>
        </a:stretch>
      </xdr:blipFill>
      <xdr:spPr>
        <a:xfrm>
          <a:off x="1052195" y="698500"/>
          <a:ext cx="583565" cy="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xdr:cNvPicPr>
          <a:picLocks noChangeAspect="1"/>
        </xdr:cNvPicPr>
      </xdr:nvPicPr>
      <xdr:blipFill>
        <a:blip r:embed="rId657" cstate="email"/>
        <a:stretch>
          <a:fillRect/>
        </a:stretch>
      </xdr:blipFill>
      <xdr:spPr>
        <a:xfrm>
          <a:off x="1100455" y="698500"/>
          <a:ext cx="535305" cy="0"/>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xdr:cNvPicPr>
          <a:picLocks noChangeAspect="1"/>
        </xdr:cNvPicPr>
      </xdr:nvPicPr>
      <xdr:blipFill>
        <a:blip r:embed="rId658" cstate="email"/>
        <a:stretch>
          <a:fillRect/>
        </a:stretch>
      </xdr:blipFill>
      <xdr:spPr>
        <a:xfrm>
          <a:off x="1076325" y="698500"/>
          <a:ext cx="559435" cy="0"/>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xdr:cNvPicPr>
          <a:picLocks noChangeAspect="1"/>
        </xdr:cNvPicPr>
      </xdr:nvPicPr>
      <xdr:blipFill>
        <a:blip r:embed="rId659" cstate="email"/>
        <a:stretch>
          <a:fillRect/>
        </a:stretch>
      </xdr:blipFill>
      <xdr:spPr>
        <a:xfrm>
          <a:off x="1148080" y="698500"/>
          <a:ext cx="487680" cy="0"/>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xdr:cNvPicPr>
          <a:picLocks noChangeAspect="1"/>
        </xdr:cNvPicPr>
      </xdr:nvPicPr>
      <xdr:blipFill>
        <a:blip r:embed="rId660" cstate="email"/>
        <a:stretch>
          <a:fillRect/>
        </a:stretch>
      </xdr:blipFill>
      <xdr:spPr>
        <a:xfrm>
          <a:off x="1064260" y="698500"/>
          <a:ext cx="527685" cy="0"/>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xdr:cNvPicPr>
          <a:picLocks noChangeAspect="1"/>
        </xdr:cNvPicPr>
      </xdr:nvPicPr>
      <xdr:blipFill>
        <a:blip r:embed="rId660" cstate="email"/>
        <a:stretch>
          <a:fillRect/>
        </a:stretch>
      </xdr:blipFill>
      <xdr:spPr>
        <a:xfrm>
          <a:off x="1064260" y="698500"/>
          <a:ext cx="527685" cy="0"/>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xdr:cNvPicPr>
          <a:picLocks noChangeAspect="1"/>
        </xdr:cNvPicPr>
      </xdr:nvPicPr>
      <xdr:blipFill>
        <a:blip r:embed="rId661" cstate="email"/>
        <a:stretch>
          <a:fillRect/>
        </a:stretch>
      </xdr:blipFill>
      <xdr:spPr>
        <a:xfrm>
          <a:off x="1088390" y="698500"/>
          <a:ext cx="515620" cy="0"/>
        </a:xfrm>
        <a:prstGeom prst="rect">
          <a:avLst/>
        </a:prstGeom>
      </xdr:spPr>
    </xdr:pic>
    <xdr:clientData/>
  </xdr:twoCellAnchor>
  <xdr:twoCellAnchor>
    <xdr:from>
      <xdr:col>1</xdr:col>
      <xdr:colOff>143200</xdr:colOff>
      <xdr:row>909</xdr:row>
      <xdr:rowOff>17639</xdr:rowOff>
    </xdr:from>
    <xdr:to>
      <xdr:col>1</xdr:col>
      <xdr:colOff>683845</xdr:colOff>
      <xdr:row>909</xdr:row>
      <xdr:rowOff>608542</xdr:rowOff>
    </xdr:to>
    <xdr:pic>
      <xdr:nvPicPr>
        <xdr:cNvPr id="12420" name="Picture 12419"/>
        <xdr:cNvPicPr>
          <a:picLocks noChangeAspect="1"/>
        </xdr:cNvPicPr>
      </xdr:nvPicPr>
      <xdr:blipFill>
        <a:blip r:embed="rId662" cstate="email"/>
        <a:stretch>
          <a:fillRect/>
        </a:stretch>
      </xdr:blipFill>
      <xdr:spPr>
        <a:xfrm flipH="1">
          <a:off x="1087755" y="698500"/>
          <a:ext cx="540385" cy="0"/>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xdr:cNvPicPr>
          <a:picLocks noChangeAspect="1"/>
        </xdr:cNvPicPr>
      </xdr:nvPicPr>
      <xdr:blipFill>
        <a:blip r:embed="rId663" cstate="email"/>
        <a:stretch>
          <a:fillRect/>
        </a:stretch>
      </xdr:blipFill>
      <xdr:spPr>
        <a:xfrm>
          <a:off x="1064260" y="698500"/>
          <a:ext cx="571500" cy="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xdr:cNvPicPr>
          <a:picLocks noChangeAspect="1"/>
        </xdr:cNvPicPr>
      </xdr:nvPicPr>
      <xdr:blipFill>
        <a:blip r:embed="rId664" cstate="email"/>
        <a:stretch>
          <a:fillRect/>
        </a:stretch>
      </xdr:blipFill>
      <xdr:spPr>
        <a:xfrm>
          <a:off x="1064260" y="698500"/>
          <a:ext cx="443230" cy="0"/>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xdr:cNvPicPr>
          <a:picLocks noChangeAspect="1"/>
        </xdr:cNvPicPr>
      </xdr:nvPicPr>
      <xdr:blipFill>
        <a:blip r:embed="rId664" cstate="email"/>
        <a:stretch>
          <a:fillRect/>
        </a:stretch>
      </xdr:blipFill>
      <xdr:spPr>
        <a:xfrm>
          <a:off x="1088390" y="698500"/>
          <a:ext cx="443230" cy="0"/>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xdr:cNvPicPr>
          <a:picLocks noChangeAspect="1"/>
        </xdr:cNvPicPr>
      </xdr:nvPicPr>
      <xdr:blipFill>
        <a:blip r:embed="rId664" cstate="email"/>
        <a:stretch>
          <a:fillRect/>
        </a:stretch>
      </xdr:blipFill>
      <xdr:spPr>
        <a:xfrm>
          <a:off x="1100455" y="698500"/>
          <a:ext cx="443230" cy="0"/>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xdr:cNvPicPr>
          <a:picLocks noChangeAspect="1"/>
        </xdr:cNvPicPr>
      </xdr:nvPicPr>
      <xdr:blipFill>
        <a:blip r:embed="rId665" cstate="email"/>
        <a:stretch>
          <a:fillRect/>
        </a:stretch>
      </xdr:blipFill>
      <xdr:spPr>
        <a:xfrm>
          <a:off x="1040130" y="698500"/>
          <a:ext cx="527685" cy="0"/>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xdr:cNvPicPr>
          <a:picLocks noChangeAspect="1"/>
        </xdr:cNvPicPr>
      </xdr:nvPicPr>
      <xdr:blipFill>
        <a:blip r:embed="rId666" cstate="email"/>
        <a:stretch>
          <a:fillRect/>
        </a:stretch>
      </xdr:blipFill>
      <xdr:spPr>
        <a:xfrm>
          <a:off x="1076325" y="698500"/>
          <a:ext cx="503555" cy="0"/>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xdr:cNvPicPr>
          <a:picLocks noChangeAspect="1"/>
        </xdr:cNvPicPr>
      </xdr:nvPicPr>
      <xdr:blipFill>
        <a:blip r:embed="rId667" cstate="email"/>
        <a:stretch>
          <a:fillRect/>
        </a:stretch>
      </xdr:blipFill>
      <xdr:spPr>
        <a:xfrm>
          <a:off x="1064260" y="698500"/>
          <a:ext cx="474345" cy="0"/>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xdr:cNvPicPr>
          <a:picLocks noChangeAspect="1"/>
        </xdr:cNvPicPr>
      </xdr:nvPicPr>
      <xdr:blipFill>
        <a:blip r:embed="rId668" cstate="email"/>
        <a:stretch>
          <a:fillRect/>
        </a:stretch>
      </xdr:blipFill>
      <xdr:spPr>
        <a:xfrm>
          <a:off x="1076325" y="698500"/>
          <a:ext cx="503555" cy="0"/>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xdr:cNvPicPr>
          <a:picLocks noChangeAspect="1"/>
        </xdr:cNvPicPr>
      </xdr:nvPicPr>
      <xdr:blipFill>
        <a:blip r:embed="rId669" cstate="email"/>
        <a:stretch>
          <a:fillRect/>
        </a:stretch>
      </xdr:blipFill>
      <xdr:spPr>
        <a:xfrm>
          <a:off x="1052195" y="698500"/>
          <a:ext cx="527685" cy="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xdr:cNvPicPr>
          <a:picLocks noChangeAspect="1"/>
        </xdr:cNvPicPr>
      </xdr:nvPicPr>
      <xdr:blipFill>
        <a:blip r:embed="rId670" cstate="email"/>
        <a:stretch>
          <a:fillRect/>
        </a:stretch>
      </xdr:blipFill>
      <xdr:spPr>
        <a:xfrm>
          <a:off x="1112520" y="698500"/>
          <a:ext cx="523240" cy="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xdr:cNvPicPr>
          <a:picLocks noChangeAspect="1"/>
        </xdr:cNvPicPr>
      </xdr:nvPicPr>
      <xdr:blipFill>
        <a:blip r:embed="rId671" cstate="email"/>
        <a:stretch>
          <a:fillRect/>
        </a:stretch>
      </xdr:blipFill>
      <xdr:spPr>
        <a:xfrm>
          <a:off x="1100455" y="698500"/>
          <a:ext cx="443230" cy="0"/>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xdr:cNvPicPr>
          <a:picLocks noChangeAspect="1"/>
        </xdr:cNvPicPr>
      </xdr:nvPicPr>
      <xdr:blipFill>
        <a:blip r:embed="rId671" cstate="email"/>
        <a:stretch>
          <a:fillRect/>
        </a:stretch>
      </xdr:blipFill>
      <xdr:spPr>
        <a:xfrm>
          <a:off x="1076325" y="698500"/>
          <a:ext cx="443230" cy="0"/>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xdr:cNvPicPr>
          <a:picLocks noChangeAspect="1"/>
        </xdr:cNvPicPr>
      </xdr:nvPicPr>
      <xdr:blipFill>
        <a:blip r:embed="rId672" cstate="email"/>
        <a:stretch>
          <a:fillRect/>
        </a:stretch>
      </xdr:blipFill>
      <xdr:spPr>
        <a:xfrm>
          <a:off x="1100455" y="698500"/>
          <a:ext cx="527050" cy="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xdr:cNvPicPr>
          <a:picLocks noChangeAspect="1"/>
        </xdr:cNvPicPr>
      </xdr:nvPicPr>
      <xdr:blipFill>
        <a:blip r:embed="rId673" cstate="email"/>
        <a:stretch>
          <a:fillRect/>
        </a:stretch>
      </xdr:blipFill>
      <xdr:spPr>
        <a:xfrm>
          <a:off x="1124585" y="698500"/>
          <a:ext cx="511175" cy="0"/>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xdr:cNvPicPr>
          <a:picLocks noChangeAspect="1"/>
        </xdr:cNvPicPr>
      </xdr:nvPicPr>
      <xdr:blipFill>
        <a:blip r:embed="rId674" cstate="email"/>
        <a:stretch>
          <a:fillRect/>
        </a:stretch>
      </xdr:blipFill>
      <xdr:spPr>
        <a:xfrm>
          <a:off x="1016635" y="698500"/>
          <a:ext cx="455295" cy="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xdr:cNvPicPr>
          <a:picLocks noChangeAspect="1"/>
        </xdr:cNvPicPr>
      </xdr:nvPicPr>
      <xdr:blipFill>
        <a:blip r:embed="rId675" cstate="email"/>
        <a:stretch>
          <a:fillRect/>
        </a:stretch>
      </xdr:blipFill>
      <xdr:spPr>
        <a:xfrm>
          <a:off x="1101090" y="698500"/>
          <a:ext cx="467360" cy="0"/>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xdr:cNvPicPr>
          <a:picLocks noChangeAspect="1"/>
        </xdr:cNvPicPr>
      </xdr:nvPicPr>
      <xdr:blipFill>
        <a:blip r:embed="rId676" cstate="email"/>
        <a:stretch>
          <a:fillRect/>
        </a:stretch>
      </xdr:blipFill>
      <xdr:spPr>
        <a:xfrm>
          <a:off x="1109980" y="698500"/>
          <a:ext cx="525780" cy="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xdr:cNvPicPr>
          <a:picLocks noChangeAspect="1"/>
        </xdr:cNvPicPr>
      </xdr:nvPicPr>
      <xdr:blipFill>
        <a:blip r:embed="rId677" cstate="email"/>
        <a:stretch>
          <a:fillRect/>
        </a:stretch>
      </xdr:blipFill>
      <xdr:spPr>
        <a:xfrm>
          <a:off x="1109980" y="698500"/>
          <a:ext cx="525780" cy="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xdr:cNvPicPr>
          <a:picLocks noChangeAspect="1"/>
        </xdr:cNvPicPr>
      </xdr:nvPicPr>
      <xdr:blipFill>
        <a:blip r:embed="rId678" cstate="email"/>
        <a:stretch>
          <a:fillRect/>
        </a:stretch>
      </xdr:blipFill>
      <xdr:spPr>
        <a:xfrm>
          <a:off x="1071880" y="698500"/>
          <a:ext cx="533400" cy="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xdr:cNvPicPr>
          <a:picLocks noChangeAspect="1"/>
        </xdr:cNvPicPr>
      </xdr:nvPicPr>
      <xdr:blipFill>
        <a:blip r:embed="rId679" cstate="email"/>
        <a:stretch>
          <a:fillRect/>
        </a:stretch>
      </xdr:blipFill>
      <xdr:spPr>
        <a:xfrm>
          <a:off x="1090295" y="698500"/>
          <a:ext cx="420370" cy="0"/>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xdr:cNvPicPr>
          <a:picLocks noChangeAspect="1"/>
        </xdr:cNvPicPr>
      </xdr:nvPicPr>
      <xdr:blipFill>
        <a:blip r:embed="rId680" cstate="email"/>
        <a:stretch>
          <a:fillRect/>
        </a:stretch>
      </xdr:blipFill>
      <xdr:spPr>
        <a:xfrm>
          <a:off x="1082040" y="698500"/>
          <a:ext cx="508635" cy="0"/>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xdr:cNvPicPr>
          <a:picLocks noChangeAspect="1"/>
        </xdr:cNvPicPr>
      </xdr:nvPicPr>
      <xdr:blipFill>
        <a:blip r:embed="rId681" cstate="email"/>
        <a:stretch>
          <a:fillRect/>
        </a:stretch>
      </xdr:blipFill>
      <xdr:spPr>
        <a:xfrm>
          <a:off x="1098550" y="698500"/>
          <a:ext cx="505460" cy="0"/>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xdr:cNvPicPr>
          <a:picLocks noChangeAspect="1"/>
        </xdr:cNvPicPr>
      </xdr:nvPicPr>
      <xdr:blipFill>
        <a:blip r:embed="rId682" cstate="email"/>
        <a:stretch>
          <a:fillRect/>
        </a:stretch>
      </xdr:blipFill>
      <xdr:spPr>
        <a:xfrm>
          <a:off x="1106170" y="698500"/>
          <a:ext cx="506095" cy="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xdr:cNvPicPr>
          <a:picLocks noChangeAspect="1"/>
        </xdr:cNvPicPr>
      </xdr:nvPicPr>
      <xdr:blipFill>
        <a:blip r:embed="rId683" cstate="email"/>
        <a:stretch>
          <a:fillRect/>
        </a:stretch>
      </xdr:blipFill>
      <xdr:spPr>
        <a:xfrm>
          <a:off x="1082040" y="698500"/>
          <a:ext cx="468630" cy="0"/>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xdr:cNvPicPr>
          <a:picLocks noChangeAspect="1"/>
        </xdr:cNvPicPr>
      </xdr:nvPicPr>
      <xdr:blipFill>
        <a:blip r:embed="rId683" cstate="email"/>
        <a:stretch>
          <a:fillRect/>
        </a:stretch>
      </xdr:blipFill>
      <xdr:spPr>
        <a:xfrm>
          <a:off x="1070610" y="698500"/>
          <a:ext cx="468630" cy="0"/>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xdr:cNvPicPr>
          <a:picLocks noChangeAspect="1"/>
        </xdr:cNvPicPr>
      </xdr:nvPicPr>
      <xdr:blipFill>
        <a:blip r:embed="rId684" cstate="email"/>
        <a:stretch>
          <a:fillRect/>
        </a:stretch>
      </xdr:blipFill>
      <xdr:spPr>
        <a:xfrm>
          <a:off x="1050290" y="698500"/>
          <a:ext cx="514350" cy="0"/>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xdr:cNvPicPr>
          <a:picLocks noChangeAspect="1"/>
        </xdr:cNvPicPr>
      </xdr:nvPicPr>
      <xdr:blipFill>
        <a:blip r:embed="rId685" cstate="email"/>
        <a:stretch>
          <a:fillRect/>
        </a:stretch>
      </xdr:blipFill>
      <xdr:spPr>
        <a:xfrm>
          <a:off x="989965" y="698500"/>
          <a:ext cx="423545" cy="0"/>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xdr:cNvPicPr>
          <a:picLocks noChangeAspect="1"/>
        </xdr:cNvPicPr>
      </xdr:nvPicPr>
      <xdr:blipFill>
        <a:blip r:embed="rId686" cstate="email"/>
        <a:stretch>
          <a:fillRect/>
        </a:stretch>
      </xdr:blipFill>
      <xdr:spPr>
        <a:xfrm>
          <a:off x="1005205" y="698500"/>
          <a:ext cx="438150" cy="0"/>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xdr:cNvPicPr>
          <a:picLocks noChangeAspect="1"/>
        </xdr:cNvPicPr>
      </xdr:nvPicPr>
      <xdr:blipFill>
        <a:blip r:embed="rId687" cstate="email"/>
        <a:stretch>
          <a:fillRect/>
        </a:stretch>
      </xdr:blipFill>
      <xdr:spPr>
        <a:xfrm>
          <a:off x="1005205" y="698500"/>
          <a:ext cx="483870" cy="0"/>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xdr:cNvPicPr>
          <a:picLocks noChangeAspect="1"/>
        </xdr:cNvPicPr>
      </xdr:nvPicPr>
      <xdr:blipFill>
        <a:blip r:embed="rId688" cstate="email"/>
        <a:stretch>
          <a:fillRect/>
        </a:stretch>
      </xdr:blipFill>
      <xdr:spPr>
        <a:xfrm>
          <a:off x="1021080" y="698500"/>
          <a:ext cx="483870" cy="0"/>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xdr:cNvPicPr>
          <a:picLocks noChangeAspect="1"/>
        </xdr:cNvPicPr>
      </xdr:nvPicPr>
      <xdr:blipFill>
        <a:blip r:embed="rId689" cstate="email"/>
        <a:stretch>
          <a:fillRect/>
        </a:stretch>
      </xdr:blipFill>
      <xdr:spPr>
        <a:xfrm>
          <a:off x="1020445" y="698500"/>
          <a:ext cx="407670" cy="0"/>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xdr:cNvPicPr>
          <a:picLocks noChangeAspect="1"/>
        </xdr:cNvPicPr>
      </xdr:nvPicPr>
      <xdr:blipFill>
        <a:blip r:embed="rId690" cstate="email"/>
        <a:stretch>
          <a:fillRect/>
        </a:stretch>
      </xdr:blipFill>
      <xdr:spPr>
        <a:xfrm>
          <a:off x="1020445" y="698500"/>
          <a:ext cx="503555" cy="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xdr:cNvPicPr>
          <a:picLocks noChangeAspect="1"/>
        </xdr:cNvPicPr>
      </xdr:nvPicPr>
      <xdr:blipFill>
        <a:blip r:embed="rId691" cstate="email"/>
        <a:stretch>
          <a:fillRect/>
        </a:stretch>
      </xdr:blipFill>
      <xdr:spPr>
        <a:xfrm>
          <a:off x="1065530" y="698500"/>
          <a:ext cx="514350" cy="0"/>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xdr:cNvPicPr>
          <a:picLocks noChangeAspect="1"/>
        </xdr:cNvPicPr>
      </xdr:nvPicPr>
      <xdr:blipFill>
        <a:blip r:embed="rId692" cstate="email"/>
        <a:stretch>
          <a:fillRect/>
        </a:stretch>
      </xdr:blipFill>
      <xdr:spPr>
        <a:xfrm>
          <a:off x="1124585" y="698500"/>
          <a:ext cx="474980" cy="0"/>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xdr:cNvPicPr>
          <a:picLocks noChangeAspect="1"/>
        </xdr:cNvPicPr>
      </xdr:nvPicPr>
      <xdr:blipFill>
        <a:blip r:embed="rId693" cstate="email"/>
        <a:stretch>
          <a:fillRect/>
        </a:stretch>
      </xdr:blipFill>
      <xdr:spPr>
        <a:xfrm>
          <a:off x="1029335" y="698500"/>
          <a:ext cx="508000" cy="0"/>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xdr:cNvPicPr>
          <a:picLocks noChangeAspect="1"/>
        </xdr:cNvPicPr>
      </xdr:nvPicPr>
      <xdr:blipFill>
        <a:blip r:embed="rId694" cstate="email"/>
        <a:stretch>
          <a:fillRect/>
        </a:stretch>
      </xdr:blipFill>
      <xdr:spPr>
        <a:xfrm>
          <a:off x="1113790" y="698500"/>
          <a:ext cx="467360" cy="0"/>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xdr:cNvPicPr>
          <a:picLocks noChangeAspect="1"/>
        </xdr:cNvPicPr>
      </xdr:nvPicPr>
      <xdr:blipFill>
        <a:blip r:embed="rId695" cstate="email"/>
        <a:stretch>
          <a:fillRect/>
        </a:stretch>
      </xdr:blipFill>
      <xdr:spPr>
        <a:xfrm>
          <a:off x="1080135" y="698500"/>
          <a:ext cx="440055" cy="0"/>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xdr:cNvPicPr>
          <a:picLocks noChangeAspect="1"/>
        </xdr:cNvPicPr>
      </xdr:nvPicPr>
      <xdr:blipFill>
        <a:blip r:embed="rId696" cstate="email"/>
        <a:stretch>
          <a:fillRect/>
        </a:stretch>
      </xdr:blipFill>
      <xdr:spPr>
        <a:xfrm>
          <a:off x="1097280" y="698500"/>
          <a:ext cx="521335" cy="0"/>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xdr:cNvPicPr>
          <a:picLocks noChangeAspect="1"/>
        </xdr:cNvPicPr>
      </xdr:nvPicPr>
      <xdr:blipFill>
        <a:blip r:embed="rId697" cstate="email"/>
        <a:stretch>
          <a:fillRect/>
        </a:stretch>
      </xdr:blipFill>
      <xdr:spPr>
        <a:xfrm>
          <a:off x="1165860" y="698500"/>
          <a:ext cx="419735" cy="0"/>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xdr:cNvPicPr>
          <a:picLocks noChangeAspect="1"/>
        </xdr:cNvPicPr>
      </xdr:nvPicPr>
      <xdr:blipFill>
        <a:blip r:embed="rId698" cstate="email"/>
        <a:stretch>
          <a:fillRect/>
        </a:stretch>
      </xdr:blipFill>
      <xdr:spPr>
        <a:xfrm>
          <a:off x="1026160" y="698500"/>
          <a:ext cx="582295" cy="0"/>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xdr:cNvPicPr>
          <a:picLocks noChangeAspect="1"/>
        </xdr:cNvPicPr>
      </xdr:nvPicPr>
      <xdr:blipFill>
        <a:blip r:embed="rId699" cstate="email"/>
        <a:stretch>
          <a:fillRect/>
        </a:stretch>
      </xdr:blipFill>
      <xdr:spPr>
        <a:xfrm>
          <a:off x="1026160" y="698500"/>
          <a:ext cx="483870" cy="0"/>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xdr:cNvPicPr>
          <a:picLocks noChangeAspect="1"/>
        </xdr:cNvPicPr>
      </xdr:nvPicPr>
      <xdr:blipFill>
        <a:blip r:embed="rId699" cstate="email"/>
        <a:stretch>
          <a:fillRect/>
        </a:stretch>
      </xdr:blipFill>
      <xdr:spPr>
        <a:xfrm>
          <a:off x="1049655" y="698500"/>
          <a:ext cx="483870" cy="0"/>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xdr:cNvPicPr>
          <a:picLocks noChangeAspect="1"/>
        </xdr:cNvPicPr>
      </xdr:nvPicPr>
      <xdr:blipFill>
        <a:blip r:embed="rId700" cstate="email"/>
        <a:stretch>
          <a:fillRect/>
        </a:stretch>
      </xdr:blipFill>
      <xdr:spPr>
        <a:xfrm>
          <a:off x="1049655" y="698500"/>
          <a:ext cx="535305" cy="0"/>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xdr:cNvPicPr>
          <a:picLocks noChangeAspect="1"/>
        </xdr:cNvPicPr>
      </xdr:nvPicPr>
      <xdr:blipFill>
        <a:blip r:embed="rId701" cstate="email"/>
        <a:stretch>
          <a:fillRect/>
        </a:stretch>
      </xdr:blipFill>
      <xdr:spPr>
        <a:xfrm>
          <a:off x="967740" y="698500"/>
          <a:ext cx="477520" cy="0"/>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xdr:cNvPicPr>
          <a:picLocks noChangeAspect="1"/>
        </xdr:cNvPicPr>
      </xdr:nvPicPr>
      <xdr:blipFill>
        <a:blip r:embed="rId702" cstate="email"/>
        <a:stretch>
          <a:fillRect/>
        </a:stretch>
      </xdr:blipFill>
      <xdr:spPr>
        <a:xfrm>
          <a:off x="944880" y="698500"/>
          <a:ext cx="477520" cy="0"/>
        </a:xfrm>
        <a:prstGeom prst="rect">
          <a:avLst/>
        </a:prstGeom>
      </xdr:spPr>
    </xdr:pic>
    <xdr:clientData/>
  </xdr:twoCellAnchor>
  <xdr:twoCellAnchor>
    <xdr:from>
      <xdr:col>1</xdr:col>
      <xdr:colOff>13956</xdr:colOff>
      <xdr:row>921</xdr:row>
      <xdr:rowOff>65172</xdr:rowOff>
    </xdr:from>
    <xdr:to>
      <xdr:col>1</xdr:col>
      <xdr:colOff>708130</xdr:colOff>
      <xdr:row>921</xdr:row>
      <xdr:rowOff>600110</xdr:rowOff>
    </xdr:to>
    <xdr:pic>
      <xdr:nvPicPr>
        <xdr:cNvPr id="12466" name="Picture 12465"/>
        <xdr:cNvPicPr>
          <a:picLocks noChangeAspect="1"/>
        </xdr:cNvPicPr>
      </xdr:nvPicPr>
      <xdr:blipFill>
        <a:blip r:embed="rId703" cstate="email"/>
        <a:stretch>
          <a:fillRect/>
        </a:stretch>
      </xdr:blipFill>
      <xdr:spPr>
        <a:xfrm>
          <a:off x="958215" y="698500"/>
          <a:ext cx="677545" cy="0"/>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xdr:cNvPicPr>
          <a:picLocks noChangeAspect="1"/>
        </xdr:cNvPicPr>
      </xdr:nvPicPr>
      <xdr:blipFill>
        <a:blip r:embed="rId702" cstate="email"/>
        <a:stretch>
          <a:fillRect/>
        </a:stretch>
      </xdr:blipFill>
      <xdr:spPr>
        <a:xfrm>
          <a:off x="944880" y="698500"/>
          <a:ext cx="477520" cy="0"/>
        </a:xfrm>
        <a:prstGeom prst="rect">
          <a:avLst/>
        </a:prstGeom>
      </xdr:spPr>
    </xdr:pic>
    <xdr:clientData/>
  </xdr:twoCellAnchor>
  <xdr:twoCellAnchor>
    <xdr:from>
      <xdr:col>1</xdr:col>
      <xdr:colOff>46605</xdr:colOff>
      <xdr:row>862</xdr:row>
      <xdr:rowOff>0</xdr:rowOff>
    </xdr:from>
    <xdr:to>
      <xdr:col>1</xdr:col>
      <xdr:colOff>119077</xdr:colOff>
      <xdr:row>863</xdr:row>
      <xdr:rowOff>0</xdr:rowOff>
    </xdr:to>
    <xdr:pic>
      <xdr:nvPicPr>
        <xdr:cNvPr id="12468" name="Picture 12467"/>
        <xdr:cNvPicPr>
          <a:picLocks noChangeAspect="1"/>
        </xdr:cNvPicPr>
      </xdr:nvPicPr>
      <xdr:blipFill>
        <a:blip r:embed="rId704" cstate="email"/>
        <a:stretch>
          <a:fillRect/>
        </a:stretch>
      </xdr:blipFill>
      <xdr:spPr>
        <a:xfrm>
          <a:off x="991235" y="698500"/>
          <a:ext cx="72390" cy="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xdr:cNvPicPr>
          <a:picLocks noChangeAspect="1"/>
        </xdr:cNvPicPr>
      </xdr:nvPicPr>
      <xdr:blipFill>
        <a:blip r:embed="rId705" cstate="email"/>
        <a:stretch>
          <a:fillRect/>
        </a:stretch>
      </xdr:blipFill>
      <xdr:spPr>
        <a:xfrm>
          <a:off x="1030605" y="698500"/>
          <a:ext cx="507365" cy="0"/>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xdr:cNvPicPr>
          <a:picLocks noChangeAspect="1"/>
        </xdr:cNvPicPr>
      </xdr:nvPicPr>
      <xdr:blipFill>
        <a:blip r:embed="rId706" cstate="email"/>
        <a:stretch>
          <a:fillRect/>
        </a:stretch>
      </xdr:blipFill>
      <xdr:spPr>
        <a:xfrm>
          <a:off x="979805" y="698500"/>
          <a:ext cx="655955" cy="0"/>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xdr:cNvPicPr>
          <a:picLocks noChangeAspect="1"/>
        </xdr:cNvPicPr>
      </xdr:nvPicPr>
      <xdr:blipFill>
        <a:blip r:embed="rId707" cstate="email"/>
        <a:stretch>
          <a:fillRect/>
        </a:stretch>
      </xdr:blipFill>
      <xdr:spPr>
        <a:xfrm>
          <a:off x="967740" y="698500"/>
          <a:ext cx="629285" cy="0"/>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xdr:cNvPicPr>
          <a:picLocks noChangeAspect="1"/>
        </xdr:cNvPicPr>
      </xdr:nvPicPr>
      <xdr:blipFill>
        <a:blip r:embed="rId708" cstate="email"/>
        <a:stretch>
          <a:fillRect/>
        </a:stretch>
      </xdr:blipFill>
      <xdr:spPr>
        <a:xfrm>
          <a:off x="979805" y="698500"/>
          <a:ext cx="593725" cy="0"/>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xdr:cNvPicPr>
          <a:picLocks noChangeAspect="1"/>
        </xdr:cNvPicPr>
      </xdr:nvPicPr>
      <xdr:blipFill>
        <a:blip r:embed="rId709" cstate="email"/>
        <a:stretch>
          <a:fillRect/>
        </a:stretch>
      </xdr:blipFill>
      <xdr:spPr>
        <a:xfrm>
          <a:off x="979805" y="698500"/>
          <a:ext cx="630555" cy="0"/>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xdr:cNvPicPr>
          <a:picLocks noChangeAspect="1"/>
        </xdr:cNvPicPr>
      </xdr:nvPicPr>
      <xdr:blipFill>
        <a:blip r:embed="rId710" cstate="email"/>
        <a:stretch>
          <a:fillRect/>
        </a:stretch>
      </xdr:blipFill>
      <xdr:spPr>
        <a:xfrm>
          <a:off x="979805" y="698500"/>
          <a:ext cx="617220" cy="0"/>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xdr:cNvPicPr>
          <a:picLocks noChangeAspect="1"/>
        </xdr:cNvPicPr>
      </xdr:nvPicPr>
      <xdr:blipFill>
        <a:blip r:embed="rId711" cstate="email"/>
        <a:stretch>
          <a:fillRect/>
        </a:stretch>
      </xdr:blipFill>
      <xdr:spPr>
        <a:xfrm>
          <a:off x="979805" y="698500"/>
          <a:ext cx="593725" cy="0"/>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xdr:cNvPicPr>
          <a:picLocks noChangeAspect="1"/>
        </xdr:cNvPicPr>
      </xdr:nvPicPr>
      <xdr:blipFill>
        <a:blip r:embed="rId712" cstate="email"/>
        <a:stretch>
          <a:fillRect/>
        </a:stretch>
      </xdr:blipFill>
      <xdr:spPr>
        <a:xfrm>
          <a:off x="979805" y="698500"/>
          <a:ext cx="617220" cy="0"/>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xdr:cNvPicPr>
          <a:picLocks noChangeAspect="1"/>
        </xdr:cNvPicPr>
      </xdr:nvPicPr>
      <xdr:blipFill>
        <a:blip r:embed="rId713" cstate="email"/>
        <a:stretch>
          <a:fillRect/>
        </a:stretch>
      </xdr:blipFill>
      <xdr:spPr>
        <a:xfrm>
          <a:off x="944880" y="698500"/>
          <a:ext cx="617220" cy="0"/>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xdr:cNvPicPr>
          <a:picLocks noChangeAspect="1"/>
        </xdr:cNvPicPr>
      </xdr:nvPicPr>
      <xdr:blipFill>
        <a:blip r:embed="rId714" cstate="email"/>
        <a:stretch>
          <a:fillRect/>
        </a:stretch>
      </xdr:blipFill>
      <xdr:spPr>
        <a:xfrm>
          <a:off x="1014730" y="698500"/>
          <a:ext cx="593725" cy="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xdr:cNvPicPr>
          <a:picLocks noChangeAspect="1"/>
        </xdr:cNvPicPr>
      </xdr:nvPicPr>
      <xdr:blipFill>
        <a:blip r:embed="rId714" cstate="email"/>
        <a:stretch>
          <a:fillRect/>
        </a:stretch>
      </xdr:blipFill>
      <xdr:spPr>
        <a:xfrm>
          <a:off x="944880" y="698500"/>
          <a:ext cx="593725" cy="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xdr:cNvPicPr>
          <a:picLocks noChangeAspect="1"/>
        </xdr:cNvPicPr>
      </xdr:nvPicPr>
      <xdr:blipFill>
        <a:blip r:embed="rId715" cstate="email"/>
        <a:stretch>
          <a:fillRect/>
        </a:stretch>
      </xdr:blipFill>
      <xdr:spPr>
        <a:xfrm>
          <a:off x="956310" y="698500"/>
          <a:ext cx="640715" cy="0"/>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xdr:cNvPicPr>
          <a:picLocks noChangeAspect="1"/>
        </xdr:cNvPicPr>
      </xdr:nvPicPr>
      <xdr:blipFill>
        <a:blip r:embed="rId716" cstate="email"/>
        <a:stretch>
          <a:fillRect/>
        </a:stretch>
      </xdr:blipFill>
      <xdr:spPr>
        <a:xfrm>
          <a:off x="969010" y="698500"/>
          <a:ext cx="640715" cy="0"/>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xdr:cNvPicPr>
          <a:picLocks noChangeAspect="1"/>
        </xdr:cNvPicPr>
      </xdr:nvPicPr>
      <xdr:blipFill>
        <a:blip r:embed="rId716" cstate="email"/>
        <a:stretch>
          <a:fillRect/>
        </a:stretch>
      </xdr:blipFill>
      <xdr:spPr>
        <a:xfrm>
          <a:off x="981075" y="698500"/>
          <a:ext cx="641350" cy="0"/>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xdr:cNvPicPr>
          <a:picLocks noChangeAspect="1"/>
        </xdr:cNvPicPr>
      </xdr:nvPicPr>
      <xdr:blipFill>
        <a:blip r:embed="rId717" cstate="email"/>
        <a:stretch>
          <a:fillRect/>
        </a:stretch>
      </xdr:blipFill>
      <xdr:spPr>
        <a:xfrm>
          <a:off x="991235" y="698500"/>
          <a:ext cx="640715" cy="0"/>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xdr:cNvPicPr>
          <a:picLocks noChangeAspect="1"/>
        </xdr:cNvPicPr>
      </xdr:nvPicPr>
      <xdr:blipFill>
        <a:blip r:embed="rId718" cstate="email"/>
        <a:stretch>
          <a:fillRect/>
        </a:stretch>
      </xdr:blipFill>
      <xdr:spPr>
        <a:xfrm>
          <a:off x="1002665" y="698500"/>
          <a:ext cx="518160" cy="0"/>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xdr:cNvPicPr>
          <a:picLocks noChangeAspect="1"/>
        </xdr:cNvPicPr>
      </xdr:nvPicPr>
      <xdr:blipFill>
        <a:blip r:embed="rId719" cstate="email"/>
        <a:stretch>
          <a:fillRect/>
        </a:stretch>
      </xdr:blipFill>
      <xdr:spPr>
        <a:xfrm>
          <a:off x="979805" y="698500"/>
          <a:ext cx="622935" cy="0"/>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xdr:cNvPicPr>
          <a:picLocks noChangeAspect="1"/>
        </xdr:cNvPicPr>
      </xdr:nvPicPr>
      <xdr:blipFill>
        <a:blip r:embed="rId720" cstate="email"/>
        <a:stretch>
          <a:fillRect/>
        </a:stretch>
      </xdr:blipFill>
      <xdr:spPr>
        <a:xfrm>
          <a:off x="991235" y="698500"/>
          <a:ext cx="606425" cy="0"/>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xdr:cNvPicPr>
          <a:picLocks noChangeAspect="1"/>
        </xdr:cNvPicPr>
      </xdr:nvPicPr>
      <xdr:blipFill>
        <a:blip r:embed="rId721" cstate="email"/>
        <a:stretch>
          <a:fillRect/>
        </a:stretch>
      </xdr:blipFill>
      <xdr:spPr>
        <a:xfrm>
          <a:off x="979805" y="698500"/>
          <a:ext cx="655955" cy="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xdr:cNvPicPr>
          <a:picLocks noChangeAspect="1"/>
        </xdr:cNvPicPr>
      </xdr:nvPicPr>
      <xdr:blipFill>
        <a:blip r:embed="rId722" cstate="email"/>
        <a:stretch>
          <a:fillRect/>
        </a:stretch>
      </xdr:blipFill>
      <xdr:spPr>
        <a:xfrm>
          <a:off x="1002665" y="698500"/>
          <a:ext cx="594360" cy="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xdr:cNvPicPr>
          <a:picLocks noChangeAspect="1"/>
        </xdr:cNvPicPr>
      </xdr:nvPicPr>
      <xdr:blipFill>
        <a:blip r:embed="rId723" cstate="email"/>
        <a:stretch>
          <a:fillRect/>
        </a:stretch>
      </xdr:blipFill>
      <xdr:spPr>
        <a:xfrm>
          <a:off x="967740" y="698500"/>
          <a:ext cx="668020" cy="0"/>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xdr:cNvPicPr>
          <a:picLocks noChangeAspect="1"/>
        </xdr:cNvPicPr>
      </xdr:nvPicPr>
      <xdr:blipFill>
        <a:blip r:embed="rId724" cstate="email"/>
        <a:stretch>
          <a:fillRect/>
        </a:stretch>
      </xdr:blipFill>
      <xdr:spPr>
        <a:xfrm>
          <a:off x="956310" y="698500"/>
          <a:ext cx="679450" cy="0"/>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xdr:cNvPicPr>
          <a:picLocks noChangeAspect="1"/>
        </xdr:cNvPicPr>
      </xdr:nvPicPr>
      <xdr:blipFill>
        <a:blip r:embed="rId725" cstate="email"/>
        <a:stretch>
          <a:fillRect/>
        </a:stretch>
      </xdr:blipFill>
      <xdr:spPr>
        <a:xfrm>
          <a:off x="979805" y="698500"/>
          <a:ext cx="655955" cy="0"/>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xdr:cNvPicPr>
          <a:picLocks noChangeAspect="1"/>
        </xdr:cNvPicPr>
      </xdr:nvPicPr>
      <xdr:blipFill>
        <a:blip r:embed="rId726" cstate="email"/>
        <a:stretch>
          <a:fillRect/>
        </a:stretch>
      </xdr:blipFill>
      <xdr:spPr>
        <a:xfrm>
          <a:off x="991235" y="698500"/>
          <a:ext cx="644525" cy="0"/>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xdr:cNvPicPr>
          <a:picLocks noChangeAspect="1"/>
        </xdr:cNvPicPr>
      </xdr:nvPicPr>
      <xdr:blipFill>
        <a:blip r:embed="rId727" cstate="email"/>
        <a:stretch>
          <a:fillRect/>
        </a:stretch>
      </xdr:blipFill>
      <xdr:spPr>
        <a:xfrm>
          <a:off x="979805" y="698500"/>
          <a:ext cx="655955" cy="0"/>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xdr:cNvPicPr>
          <a:picLocks noChangeAspect="1"/>
        </xdr:cNvPicPr>
      </xdr:nvPicPr>
      <xdr:blipFill>
        <a:blip r:embed="rId728" cstate="email"/>
        <a:stretch>
          <a:fillRect/>
        </a:stretch>
      </xdr:blipFill>
      <xdr:spPr>
        <a:xfrm>
          <a:off x="979805" y="698500"/>
          <a:ext cx="655955" cy="0"/>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xdr:cNvPicPr>
          <a:picLocks noChangeAspect="1"/>
        </xdr:cNvPicPr>
      </xdr:nvPicPr>
      <xdr:blipFill>
        <a:blip r:embed="rId729" cstate="email"/>
        <a:stretch>
          <a:fillRect/>
        </a:stretch>
      </xdr:blipFill>
      <xdr:spPr>
        <a:xfrm>
          <a:off x="979805" y="698500"/>
          <a:ext cx="655955" cy="0"/>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xdr:cNvPicPr>
          <a:picLocks noChangeAspect="1"/>
        </xdr:cNvPicPr>
      </xdr:nvPicPr>
      <xdr:blipFill>
        <a:blip r:embed="rId730" cstate="email"/>
        <a:stretch>
          <a:fillRect/>
        </a:stretch>
      </xdr:blipFill>
      <xdr:spPr>
        <a:xfrm>
          <a:off x="991235" y="698500"/>
          <a:ext cx="477520" cy="0"/>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xdr:cNvPicPr>
          <a:picLocks noChangeAspect="1"/>
        </xdr:cNvPicPr>
      </xdr:nvPicPr>
      <xdr:blipFill>
        <a:blip r:embed="rId731" cstate="email"/>
        <a:stretch>
          <a:fillRect/>
        </a:stretch>
      </xdr:blipFill>
      <xdr:spPr>
        <a:xfrm>
          <a:off x="991235" y="698500"/>
          <a:ext cx="477520" cy="0"/>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xdr:cNvPicPr>
          <a:picLocks noChangeAspect="1"/>
        </xdr:cNvPicPr>
      </xdr:nvPicPr>
      <xdr:blipFill>
        <a:blip r:embed="rId732" cstate="email"/>
        <a:stretch>
          <a:fillRect/>
        </a:stretch>
      </xdr:blipFill>
      <xdr:spPr>
        <a:xfrm>
          <a:off x="1049655" y="698500"/>
          <a:ext cx="454025" cy="0"/>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xdr:cNvPicPr>
          <a:picLocks noChangeAspect="1"/>
        </xdr:cNvPicPr>
      </xdr:nvPicPr>
      <xdr:blipFill>
        <a:blip r:embed="rId733" cstate="email"/>
        <a:stretch>
          <a:fillRect/>
        </a:stretch>
      </xdr:blipFill>
      <xdr:spPr>
        <a:xfrm>
          <a:off x="1084580" y="698500"/>
          <a:ext cx="431800" cy="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xdr:cNvPicPr>
          <a:picLocks noChangeAspect="1"/>
        </xdr:cNvPicPr>
      </xdr:nvPicPr>
      <xdr:blipFill>
        <a:blip r:embed="rId733" cstate="email"/>
        <a:stretch>
          <a:fillRect/>
        </a:stretch>
      </xdr:blipFill>
      <xdr:spPr>
        <a:xfrm>
          <a:off x="1084580" y="698500"/>
          <a:ext cx="431800" cy="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xdr:cNvPicPr>
          <a:picLocks noChangeAspect="1"/>
        </xdr:cNvPicPr>
      </xdr:nvPicPr>
      <xdr:blipFill>
        <a:blip r:embed="rId734" cstate="email"/>
        <a:stretch>
          <a:fillRect/>
        </a:stretch>
      </xdr:blipFill>
      <xdr:spPr>
        <a:xfrm>
          <a:off x="1072515" y="698500"/>
          <a:ext cx="457200" cy="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xdr:cNvPicPr>
          <a:picLocks noChangeAspect="1"/>
        </xdr:cNvPicPr>
      </xdr:nvPicPr>
      <xdr:blipFill>
        <a:blip r:embed="rId735" cstate="email"/>
        <a:stretch>
          <a:fillRect/>
        </a:stretch>
      </xdr:blipFill>
      <xdr:spPr>
        <a:xfrm>
          <a:off x="1002665" y="698500"/>
          <a:ext cx="444500" cy="0"/>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xdr:cNvPicPr>
          <a:picLocks noChangeAspect="1"/>
        </xdr:cNvPicPr>
      </xdr:nvPicPr>
      <xdr:blipFill>
        <a:blip r:embed="rId736" cstate="email"/>
        <a:stretch>
          <a:fillRect/>
        </a:stretch>
      </xdr:blipFill>
      <xdr:spPr>
        <a:xfrm>
          <a:off x="1037590" y="698500"/>
          <a:ext cx="444500" cy="0"/>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xdr:cNvPicPr>
          <a:picLocks noChangeAspect="1"/>
        </xdr:cNvPicPr>
      </xdr:nvPicPr>
      <xdr:blipFill>
        <a:blip r:embed="rId735" cstate="email"/>
        <a:stretch>
          <a:fillRect/>
        </a:stretch>
      </xdr:blipFill>
      <xdr:spPr>
        <a:xfrm>
          <a:off x="1049655" y="698500"/>
          <a:ext cx="444500" cy="0"/>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xdr:cNvPicPr>
          <a:picLocks noChangeAspect="1"/>
        </xdr:cNvPicPr>
      </xdr:nvPicPr>
      <xdr:blipFill>
        <a:blip r:embed="rId736" cstate="email"/>
        <a:stretch>
          <a:fillRect/>
        </a:stretch>
      </xdr:blipFill>
      <xdr:spPr>
        <a:xfrm>
          <a:off x="1038860" y="698500"/>
          <a:ext cx="444500" cy="0"/>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xdr:cNvPicPr>
          <a:picLocks noChangeAspect="1"/>
        </xdr:cNvPicPr>
      </xdr:nvPicPr>
      <xdr:blipFill>
        <a:blip r:embed="rId737" cstate="email"/>
        <a:stretch>
          <a:fillRect/>
        </a:stretch>
      </xdr:blipFill>
      <xdr:spPr>
        <a:xfrm>
          <a:off x="1014730" y="698500"/>
          <a:ext cx="477520" cy="0"/>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xdr:cNvPicPr>
          <a:picLocks noChangeAspect="1"/>
        </xdr:cNvPicPr>
      </xdr:nvPicPr>
      <xdr:blipFill>
        <a:blip r:embed="rId738" cstate="email"/>
        <a:stretch>
          <a:fillRect/>
        </a:stretch>
      </xdr:blipFill>
      <xdr:spPr>
        <a:xfrm>
          <a:off x="1035050" y="698500"/>
          <a:ext cx="476250" cy="0"/>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xdr:cNvPicPr>
          <a:picLocks noChangeAspect="1"/>
        </xdr:cNvPicPr>
      </xdr:nvPicPr>
      <xdr:blipFill>
        <a:blip r:embed="rId739" cstate="email"/>
        <a:stretch>
          <a:fillRect/>
        </a:stretch>
      </xdr:blipFill>
      <xdr:spPr>
        <a:xfrm>
          <a:off x="1080770" y="698500"/>
          <a:ext cx="408305" cy="0"/>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xdr:cNvPicPr>
          <a:picLocks noChangeAspect="1"/>
        </xdr:cNvPicPr>
      </xdr:nvPicPr>
      <xdr:blipFill>
        <a:blip r:embed="rId740" cstate="email"/>
        <a:stretch>
          <a:fillRect/>
        </a:stretch>
      </xdr:blipFill>
      <xdr:spPr>
        <a:xfrm>
          <a:off x="1012825" y="698500"/>
          <a:ext cx="514350" cy="0"/>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xdr:cNvPicPr>
          <a:picLocks noChangeAspect="1"/>
        </xdr:cNvPicPr>
      </xdr:nvPicPr>
      <xdr:blipFill>
        <a:blip r:embed="rId741" cstate="email"/>
        <a:stretch>
          <a:fillRect/>
        </a:stretch>
      </xdr:blipFill>
      <xdr:spPr>
        <a:xfrm>
          <a:off x="1090295" y="698500"/>
          <a:ext cx="509905" cy="0"/>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xdr:cNvPicPr>
          <a:picLocks noChangeAspect="1"/>
        </xdr:cNvPicPr>
      </xdr:nvPicPr>
      <xdr:blipFill>
        <a:blip r:embed="rId742" cstate="email"/>
        <a:stretch>
          <a:fillRect/>
        </a:stretch>
      </xdr:blipFill>
      <xdr:spPr>
        <a:xfrm>
          <a:off x="1109345" y="698500"/>
          <a:ext cx="473710" cy="0"/>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xdr:cNvPicPr>
          <a:picLocks noChangeAspect="1"/>
        </xdr:cNvPicPr>
      </xdr:nvPicPr>
      <xdr:blipFill>
        <a:blip r:embed="rId556" cstate="email"/>
        <a:stretch>
          <a:fillRect/>
        </a:stretch>
      </xdr:blipFill>
      <xdr:spPr>
        <a:xfrm>
          <a:off x="1195705" y="698500"/>
          <a:ext cx="440055" cy="0"/>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xdr:cNvPicPr>
          <a:picLocks noChangeAspect="1"/>
        </xdr:cNvPicPr>
      </xdr:nvPicPr>
      <xdr:blipFill>
        <a:blip r:embed="rId556" cstate="email"/>
        <a:stretch>
          <a:fillRect/>
        </a:stretch>
      </xdr:blipFill>
      <xdr:spPr>
        <a:xfrm>
          <a:off x="1195705" y="698500"/>
          <a:ext cx="440055" cy="0"/>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xdr:cNvPicPr>
          <a:picLocks noChangeAspect="1"/>
        </xdr:cNvPicPr>
      </xdr:nvPicPr>
      <xdr:blipFill>
        <a:blip r:embed="rId556" cstate="email"/>
        <a:stretch>
          <a:fillRect/>
        </a:stretch>
      </xdr:blipFill>
      <xdr:spPr>
        <a:xfrm>
          <a:off x="1195705" y="698500"/>
          <a:ext cx="440055" cy="0"/>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xdr:cNvPicPr>
          <a:picLocks noChangeAspect="1"/>
        </xdr:cNvPicPr>
      </xdr:nvPicPr>
      <xdr:blipFill>
        <a:blip r:embed="rId743" cstate="email"/>
        <a:stretch>
          <a:fillRect/>
        </a:stretch>
      </xdr:blipFill>
      <xdr:spPr>
        <a:xfrm>
          <a:off x="1101725" y="698500"/>
          <a:ext cx="414020" cy="0"/>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xdr:cNvPicPr>
          <a:picLocks noChangeAspect="1"/>
        </xdr:cNvPicPr>
      </xdr:nvPicPr>
      <xdr:blipFill>
        <a:blip r:embed="rId744" cstate="email"/>
        <a:stretch>
          <a:fillRect/>
        </a:stretch>
      </xdr:blipFill>
      <xdr:spPr>
        <a:xfrm>
          <a:off x="1051560" y="698500"/>
          <a:ext cx="584200" cy="0"/>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xdr:cNvPicPr>
          <a:picLocks noChangeAspect="1"/>
        </xdr:cNvPicPr>
      </xdr:nvPicPr>
      <xdr:blipFill>
        <a:blip r:embed="rId642" cstate="email"/>
        <a:stretch>
          <a:fillRect/>
        </a:stretch>
      </xdr:blipFill>
      <xdr:spPr>
        <a:xfrm>
          <a:off x="1158240" y="698500"/>
          <a:ext cx="450215" cy="0"/>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xdr:cNvPicPr>
          <a:picLocks noChangeAspect="1"/>
        </xdr:cNvPicPr>
      </xdr:nvPicPr>
      <xdr:blipFill>
        <a:blip r:embed="rId684" cstate="email"/>
        <a:stretch>
          <a:fillRect/>
        </a:stretch>
      </xdr:blipFill>
      <xdr:spPr>
        <a:xfrm>
          <a:off x="1050290" y="698500"/>
          <a:ext cx="514350" cy="0"/>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xdr:cNvPicPr>
          <a:picLocks noChangeAspect="1"/>
        </xdr:cNvPicPr>
      </xdr:nvPicPr>
      <xdr:blipFill>
        <a:blip r:embed="rId745" cstate="email"/>
        <a:stretch>
          <a:fillRect/>
        </a:stretch>
      </xdr:blipFill>
      <xdr:spPr>
        <a:xfrm>
          <a:off x="1036320" y="698500"/>
          <a:ext cx="599440" cy="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xdr:cNvPicPr>
          <a:picLocks noChangeAspect="1"/>
        </xdr:cNvPicPr>
      </xdr:nvPicPr>
      <xdr:blipFill>
        <a:blip r:embed="rId746" cstate="email"/>
        <a:stretch>
          <a:fillRect/>
        </a:stretch>
      </xdr:blipFill>
      <xdr:spPr>
        <a:xfrm>
          <a:off x="1097280" y="698500"/>
          <a:ext cx="538480" cy="0"/>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xdr:cNvPicPr>
          <a:picLocks noChangeAspect="1"/>
        </xdr:cNvPicPr>
      </xdr:nvPicPr>
      <xdr:blipFill>
        <a:blip r:embed="rId747" cstate="email"/>
        <a:stretch>
          <a:fillRect/>
        </a:stretch>
      </xdr:blipFill>
      <xdr:spPr>
        <a:xfrm>
          <a:off x="1084580" y="698500"/>
          <a:ext cx="551180" cy="0"/>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xdr:cNvPicPr>
          <a:picLocks noChangeAspect="1"/>
        </xdr:cNvPicPr>
      </xdr:nvPicPr>
      <xdr:blipFill>
        <a:blip r:embed="rId748" cstate="email"/>
        <a:stretch>
          <a:fillRect/>
        </a:stretch>
      </xdr:blipFill>
      <xdr:spPr>
        <a:xfrm>
          <a:off x="995680" y="698500"/>
          <a:ext cx="640080" cy="0"/>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xdr:cNvPicPr>
          <a:picLocks noChangeAspect="1"/>
        </xdr:cNvPicPr>
      </xdr:nvPicPr>
      <xdr:blipFill>
        <a:blip r:embed="rId749" cstate="email"/>
        <a:stretch>
          <a:fillRect/>
        </a:stretch>
      </xdr:blipFill>
      <xdr:spPr>
        <a:xfrm>
          <a:off x="1020445" y="698500"/>
          <a:ext cx="615315" cy="0"/>
        </a:xfrm>
        <a:prstGeom prst="rect">
          <a:avLst/>
        </a:prstGeom>
      </xdr:spPr>
    </xdr:pic>
    <xdr:clientData/>
  </xdr:twoCellAnchor>
  <xdr:twoCellAnchor>
    <xdr:from>
      <xdr:col>1</xdr:col>
      <xdr:colOff>148535</xdr:colOff>
      <xdr:row>1030</xdr:row>
      <xdr:rowOff>42848</xdr:rowOff>
    </xdr:from>
    <xdr:to>
      <xdr:col>1</xdr:col>
      <xdr:colOff>599722</xdr:colOff>
      <xdr:row>1031</xdr:row>
      <xdr:rowOff>28707</xdr:rowOff>
    </xdr:to>
    <xdr:pic>
      <xdr:nvPicPr>
        <xdr:cNvPr id="12525" name="Picture 12524"/>
        <xdr:cNvPicPr>
          <a:picLocks noChangeAspect="1"/>
        </xdr:cNvPicPr>
      </xdr:nvPicPr>
      <xdr:blipFill>
        <a:blip r:embed="rId750" cstate="email"/>
        <a:stretch>
          <a:fillRect/>
        </a:stretch>
      </xdr:blipFill>
      <xdr:spPr>
        <a:xfrm flipH="1">
          <a:off x="1092835" y="698500"/>
          <a:ext cx="451485" cy="0"/>
        </a:xfrm>
        <a:prstGeom prst="rect">
          <a:avLst/>
        </a:prstGeom>
      </xdr:spPr>
    </xdr:pic>
    <xdr:clientData/>
  </xdr:twoCellAnchor>
  <xdr:twoCellAnchor>
    <xdr:from>
      <xdr:col>1</xdr:col>
      <xdr:colOff>134579</xdr:colOff>
      <xdr:row>1031</xdr:row>
      <xdr:rowOff>38100</xdr:rowOff>
    </xdr:from>
    <xdr:to>
      <xdr:col>1</xdr:col>
      <xdr:colOff>823406</xdr:colOff>
      <xdr:row>1032</xdr:row>
      <xdr:rowOff>23959</xdr:rowOff>
    </xdr:to>
    <xdr:pic>
      <xdr:nvPicPr>
        <xdr:cNvPr id="12526" name="Picture 12525"/>
        <xdr:cNvPicPr>
          <a:picLocks noChangeAspect="1"/>
        </xdr:cNvPicPr>
      </xdr:nvPicPr>
      <xdr:blipFill>
        <a:blip r:embed="rId751" cstate="email"/>
        <a:stretch>
          <a:fillRect/>
        </a:stretch>
      </xdr:blipFill>
      <xdr:spPr>
        <a:xfrm flipH="1">
          <a:off x="1078865" y="698500"/>
          <a:ext cx="556895" cy="0"/>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xdr:cNvPicPr>
          <a:picLocks noChangeAspect="1"/>
        </xdr:cNvPicPr>
      </xdr:nvPicPr>
      <xdr:blipFill>
        <a:blip r:embed="rId752" cstate="email"/>
        <a:stretch>
          <a:fillRect/>
        </a:stretch>
      </xdr:blipFill>
      <xdr:spPr>
        <a:xfrm>
          <a:off x="1046480" y="698500"/>
          <a:ext cx="589280" cy="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xdr:cNvPicPr>
          <a:picLocks noChangeAspect="1"/>
        </xdr:cNvPicPr>
      </xdr:nvPicPr>
      <xdr:blipFill>
        <a:blip r:embed="rId753" cstate="email"/>
        <a:stretch>
          <a:fillRect/>
        </a:stretch>
      </xdr:blipFill>
      <xdr:spPr>
        <a:xfrm>
          <a:off x="1059180" y="698500"/>
          <a:ext cx="571500" cy="0"/>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xdr:cNvPicPr>
          <a:picLocks noChangeAspect="1"/>
        </xdr:cNvPicPr>
      </xdr:nvPicPr>
      <xdr:blipFill>
        <a:blip r:embed="rId754" cstate="email"/>
        <a:stretch>
          <a:fillRect/>
        </a:stretch>
      </xdr:blipFill>
      <xdr:spPr>
        <a:xfrm>
          <a:off x="1059180" y="698500"/>
          <a:ext cx="576580" cy="0"/>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xdr:cNvPicPr>
          <a:picLocks noChangeAspect="1"/>
        </xdr:cNvPicPr>
      </xdr:nvPicPr>
      <xdr:blipFill>
        <a:blip r:embed="rId755" cstate="email"/>
        <a:stretch>
          <a:fillRect/>
        </a:stretch>
      </xdr:blipFill>
      <xdr:spPr>
        <a:xfrm>
          <a:off x="1046480" y="698500"/>
          <a:ext cx="589280" cy="0"/>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xdr:cNvPicPr>
          <a:picLocks noChangeAspect="1"/>
        </xdr:cNvPicPr>
      </xdr:nvPicPr>
      <xdr:blipFill>
        <a:blip r:embed="rId756" cstate="email"/>
        <a:stretch>
          <a:fillRect/>
        </a:stretch>
      </xdr:blipFill>
      <xdr:spPr>
        <a:xfrm>
          <a:off x="1021080" y="698500"/>
          <a:ext cx="614680" cy="0"/>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xdr:cNvPicPr>
          <a:picLocks noChangeAspect="1"/>
        </xdr:cNvPicPr>
      </xdr:nvPicPr>
      <xdr:blipFill>
        <a:blip r:embed="rId757" cstate="email"/>
        <a:stretch>
          <a:fillRect/>
        </a:stretch>
      </xdr:blipFill>
      <xdr:spPr>
        <a:xfrm>
          <a:off x="1000125" y="698500"/>
          <a:ext cx="624205" cy="0"/>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xdr:cNvPicPr>
          <a:picLocks noChangeAspect="1"/>
        </xdr:cNvPicPr>
      </xdr:nvPicPr>
      <xdr:blipFill>
        <a:blip r:embed="rId758" cstate="email"/>
        <a:stretch>
          <a:fillRect/>
        </a:stretch>
      </xdr:blipFill>
      <xdr:spPr>
        <a:xfrm>
          <a:off x="1056005" y="698500"/>
          <a:ext cx="579755" cy="0"/>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xdr:cNvPicPr>
          <a:picLocks noChangeAspect="1"/>
        </xdr:cNvPicPr>
      </xdr:nvPicPr>
      <xdr:blipFill>
        <a:blip r:embed="rId759" cstate="email"/>
        <a:stretch>
          <a:fillRect/>
        </a:stretch>
      </xdr:blipFill>
      <xdr:spPr>
        <a:xfrm>
          <a:off x="1066800" y="698500"/>
          <a:ext cx="568960" cy="0"/>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xdr:cNvPicPr>
          <a:picLocks noChangeAspect="1"/>
        </xdr:cNvPicPr>
      </xdr:nvPicPr>
      <xdr:blipFill>
        <a:blip r:embed="rId760" cstate="email"/>
        <a:stretch>
          <a:fillRect/>
        </a:stretch>
      </xdr:blipFill>
      <xdr:spPr>
        <a:xfrm>
          <a:off x="1056005" y="698500"/>
          <a:ext cx="579755" cy="0"/>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xdr:cNvPicPr>
          <a:picLocks noChangeAspect="1"/>
        </xdr:cNvPicPr>
      </xdr:nvPicPr>
      <xdr:blipFill>
        <a:blip r:embed="rId761" cstate="email"/>
        <a:stretch>
          <a:fillRect/>
        </a:stretch>
      </xdr:blipFill>
      <xdr:spPr>
        <a:xfrm>
          <a:off x="989330" y="698500"/>
          <a:ext cx="646430" cy="0"/>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xdr:cNvPicPr>
          <a:picLocks noChangeAspect="1"/>
        </xdr:cNvPicPr>
      </xdr:nvPicPr>
      <xdr:blipFill>
        <a:blip r:embed="rId762" cstate="email"/>
        <a:stretch>
          <a:fillRect/>
        </a:stretch>
      </xdr:blipFill>
      <xdr:spPr>
        <a:xfrm>
          <a:off x="1011555" y="698500"/>
          <a:ext cx="624205" cy="0"/>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xdr:cNvPicPr>
          <a:picLocks noChangeAspect="1"/>
        </xdr:cNvPicPr>
      </xdr:nvPicPr>
      <xdr:blipFill>
        <a:blip r:embed="rId763" cstate="email"/>
        <a:stretch>
          <a:fillRect/>
        </a:stretch>
      </xdr:blipFill>
      <xdr:spPr>
        <a:xfrm>
          <a:off x="1000125" y="698500"/>
          <a:ext cx="615315" cy="0"/>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xdr:cNvPicPr>
          <a:picLocks noChangeAspect="1"/>
        </xdr:cNvPicPr>
      </xdr:nvPicPr>
      <xdr:blipFill>
        <a:blip r:embed="rId764" cstate="email"/>
        <a:stretch>
          <a:fillRect/>
        </a:stretch>
      </xdr:blipFill>
      <xdr:spPr>
        <a:xfrm>
          <a:off x="1022350" y="698500"/>
          <a:ext cx="613410" cy="0"/>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xdr:cNvPicPr>
          <a:picLocks noChangeAspect="1"/>
        </xdr:cNvPicPr>
      </xdr:nvPicPr>
      <xdr:blipFill>
        <a:blip r:embed="rId763" cstate="email"/>
        <a:stretch>
          <a:fillRect/>
        </a:stretch>
      </xdr:blipFill>
      <xdr:spPr>
        <a:xfrm>
          <a:off x="1011555" y="698500"/>
          <a:ext cx="615315" cy="0"/>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xdr:cNvPicPr>
          <a:picLocks noChangeAspect="1"/>
        </xdr:cNvPicPr>
      </xdr:nvPicPr>
      <xdr:blipFill>
        <a:blip r:embed="rId765" cstate="email"/>
        <a:stretch>
          <a:fillRect/>
        </a:stretch>
      </xdr:blipFill>
      <xdr:spPr>
        <a:xfrm>
          <a:off x="1011555" y="698500"/>
          <a:ext cx="624205" cy="0"/>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xdr:cNvPicPr>
          <a:picLocks noChangeAspect="1"/>
        </xdr:cNvPicPr>
      </xdr:nvPicPr>
      <xdr:blipFill>
        <a:blip r:embed="rId766" cstate="email"/>
        <a:stretch>
          <a:fillRect/>
        </a:stretch>
      </xdr:blipFill>
      <xdr:spPr>
        <a:xfrm>
          <a:off x="1011555" y="698500"/>
          <a:ext cx="624205" cy="0"/>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xdr:cNvPicPr>
          <a:picLocks noChangeAspect="1"/>
        </xdr:cNvPicPr>
      </xdr:nvPicPr>
      <xdr:blipFill>
        <a:blip r:embed="rId767" cstate="email"/>
        <a:stretch>
          <a:fillRect/>
        </a:stretch>
      </xdr:blipFill>
      <xdr:spPr>
        <a:xfrm>
          <a:off x="1029970" y="698500"/>
          <a:ext cx="605790" cy="0"/>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xdr:cNvPicPr>
          <a:picLocks noChangeAspect="1"/>
        </xdr:cNvPicPr>
      </xdr:nvPicPr>
      <xdr:blipFill>
        <a:blip r:embed="rId768" cstate="email"/>
        <a:stretch>
          <a:fillRect/>
        </a:stretch>
      </xdr:blipFill>
      <xdr:spPr>
        <a:xfrm>
          <a:off x="1056005" y="698500"/>
          <a:ext cx="546100" cy="0"/>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xdr:cNvPicPr>
          <a:picLocks noChangeAspect="1"/>
        </xdr:cNvPicPr>
      </xdr:nvPicPr>
      <xdr:blipFill>
        <a:blip r:embed="rId768" cstate="email"/>
        <a:stretch>
          <a:fillRect/>
        </a:stretch>
      </xdr:blipFill>
      <xdr:spPr>
        <a:xfrm>
          <a:off x="1022350" y="698500"/>
          <a:ext cx="546100" cy="0"/>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xdr:cNvPicPr>
          <a:picLocks noChangeAspect="1"/>
        </xdr:cNvPicPr>
      </xdr:nvPicPr>
      <xdr:blipFill>
        <a:blip r:embed="rId768" cstate="email"/>
        <a:stretch>
          <a:fillRect/>
        </a:stretch>
      </xdr:blipFill>
      <xdr:spPr>
        <a:xfrm>
          <a:off x="1041400" y="698500"/>
          <a:ext cx="545465" cy="0"/>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xdr:cNvPicPr>
          <a:picLocks noChangeAspect="1"/>
        </xdr:cNvPicPr>
      </xdr:nvPicPr>
      <xdr:blipFill>
        <a:blip r:embed="rId768" cstate="email"/>
        <a:stretch>
          <a:fillRect/>
        </a:stretch>
      </xdr:blipFill>
      <xdr:spPr>
        <a:xfrm>
          <a:off x="1059815" y="698500"/>
          <a:ext cx="546100" cy="0"/>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xdr:cNvPicPr>
          <a:picLocks noChangeAspect="1"/>
        </xdr:cNvPicPr>
      </xdr:nvPicPr>
      <xdr:blipFill>
        <a:blip r:embed="rId769" cstate="email"/>
        <a:stretch>
          <a:fillRect/>
        </a:stretch>
      </xdr:blipFill>
      <xdr:spPr>
        <a:xfrm>
          <a:off x="1033780" y="698500"/>
          <a:ext cx="601345" cy="0"/>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xdr:cNvPicPr>
          <a:picLocks noChangeAspect="1"/>
        </xdr:cNvPicPr>
      </xdr:nvPicPr>
      <xdr:blipFill>
        <a:blip r:embed="rId770" cstate="email"/>
        <a:stretch>
          <a:fillRect/>
        </a:stretch>
      </xdr:blipFill>
      <xdr:spPr>
        <a:xfrm>
          <a:off x="1044575" y="698500"/>
          <a:ext cx="591185" cy="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xdr:cNvPicPr>
          <a:picLocks noChangeAspect="1"/>
        </xdr:cNvPicPr>
      </xdr:nvPicPr>
      <xdr:blipFill>
        <a:blip r:embed="rId771" cstate="email"/>
        <a:stretch>
          <a:fillRect/>
        </a:stretch>
      </xdr:blipFill>
      <xdr:spPr>
        <a:xfrm>
          <a:off x="989330" y="698500"/>
          <a:ext cx="645795" cy="0"/>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xdr:cNvPicPr>
          <a:picLocks noChangeAspect="1"/>
        </xdr:cNvPicPr>
      </xdr:nvPicPr>
      <xdr:blipFill>
        <a:blip r:embed="rId772" cstate="email"/>
        <a:stretch>
          <a:fillRect/>
        </a:stretch>
      </xdr:blipFill>
      <xdr:spPr>
        <a:xfrm>
          <a:off x="1052830" y="698500"/>
          <a:ext cx="582930" cy="0"/>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xdr:cNvPicPr>
          <a:picLocks noChangeAspect="1"/>
        </xdr:cNvPicPr>
      </xdr:nvPicPr>
      <xdr:blipFill>
        <a:blip r:embed="rId773" cstate="email"/>
        <a:stretch>
          <a:fillRect/>
        </a:stretch>
      </xdr:blipFill>
      <xdr:spPr>
        <a:xfrm>
          <a:off x="1078230" y="698500"/>
          <a:ext cx="557530" cy="0"/>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xdr:cNvPicPr>
          <a:picLocks noChangeAspect="1"/>
        </xdr:cNvPicPr>
      </xdr:nvPicPr>
      <xdr:blipFill>
        <a:blip r:embed="rId774" cstate="email"/>
        <a:stretch>
          <a:fillRect/>
        </a:stretch>
      </xdr:blipFill>
      <xdr:spPr>
        <a:xfrm>
          <a:off x="1074420" y="698500"/>
          <a:ext cx="561340" cy="0"/>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xdr:cNvPicPr>
          <a:picLocks noChangeAspect="1"/>
        </xdr:cNvPicPr>
      </xdr:nvPicPr>
      <xdr:blipFill>
        <a:blip r:embed="rId775" cstate="email"/>
        <a:stretch>
          <a:fillRect/>
        </a:stretch>
      </xdr:blipFill>
      <xdr:spPr>
        <a:xfrm>
          <a:off x="1054735" y="698500"/>
          <a:ext cx="581025" cy="0"/>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xdr:cNvPicPr>
          <a:picLocks noChangeAspect="1"/>
        </xdr:cNvPicPr>
      </xdr:nvPicPr>
      <xdr:blipFill>
        <a:blip r:embed="rId776" cstate="email"/>
        <a:stretch>
          <a:fillRect/>
        </a:stretch>
      </xdr:blipFill>
      <xdr:spPr>
        <a:xfrm>
          <a:off x="1041400" y="698500"/>
          <a:ext cx="524510" cy="0"/>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xdr:cNvPicPr>
          <a:picLocks noChangeAspect="1"/>
        </xdr:cNvPicPr>
      </xdr:nvPicPr>
      <xdr:blipFill>
        <a:blip r:embed="rId777" cstate="email"/>
        <a:stretch>
          <a:fillRect/>
        </a:stretch>
      </xdr:blipFill>
      <xdr:spPr>
        <a:xfrm>
          <a:off x="999490" y="698500"/>
          <a:ext cx="607695" cy="0"/>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xdr:cNvPicPr>
          <a:picLocks noChangeAspect="1"/>
        </xdr:cNvPicPr>
      </xdr:nvPicPr>
      <xdr:blipFill>
        <a:blip r:embed="rId778" cstate="email"/>
        <a:stretch>
          <a:fillRect/>
        </a:stretch>
      </xdr:blipFill>
      <xdr:spPr>
        <a:xfrm>
          <a:off x="999490" y="698500"/>
          <a:ext cx="636270" cy="0"/>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xdr:cNvPicPr>
          <a:picLocks noChangeAspect="1"/>
        </xdr:cNvPicPr>
      </xdr:nvPicPr>
      <xdr:blipFill>
        <a:blip r:embed="rId779" cstate="email"/>
        <a:stretch>
          <a:fillRect/>
        </a:stretch>
      </xdr:blipFill>
      <xdr:spPr>
        <a:xfrm>
          <a:off x="1041400" y="698500"/>
          <a:ext cx="524510" cy="0"/>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xdr:cNvPicPr>
          <a:picLocks noChangeAspect="1"/>
        </xdr:cNvPicPr>
      </xdr:nvPicPr>
      <xdr:blipFill>
        <a:blip r:embed="rId780" cstate="email"/>
        <a:stretch>
          <a:fillRect/>
        </a:stretch>
      </xdr:blipFill>
      <xdr:spPr>
        <a:xfrm>
          <a:off x="1082675" y="698500"/>
          <a:ext cx="483235" cy="0"/>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xdr:cNvPicPr>
          <a:picLocks noChangeAspect="1"/>
        </xdr:cNvPicPr>
      </xdr:nvPicPr>
      <xdr:blipFill>
        <a:blip r:embed="rId781" cstate="email"/>
        <a:stretch>
          <a:fillRect/>
        </a:stretch>
      </xdr:blipFill>
      <xdr:spPr>
        <a:xfrm>
          <a:off x="1041400" y="698500"/>
          <a:ext cx="594360" cy="0"/>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xdr:cNvPicPr>
          <a:picLocks noChangeAspect="1"/>
        </xdr:cNvPicPr>
      </xdr:nvPicPr>
      <xdr:blipFill>
        <a:blip r:embed="rId782" cstate="email"/>
        <a:stretch>
          <a:fillRect/>
        </a:stretch>
      </xdr:blipFill>
      <xdr:spPr>
        <a:xfrm>
          <a:off x="1080770" y="698500"/>
          <a:ext cx="554990" cy="0"/>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xdr:cNvPicPr>
          <a:picLocks noChangeAspect="1"/>
        </xdr:cNvPicPr>
      </xdr:nvPicPr>
      <xdr:blipFill>
        <a:blip r:embed="rId783" cstate="email"/>
        <a:stretch>
          <a:fillRect/>
        </a:stretch>
      </xdr:blipFill>
      <xdr:spPr>
        <a:xfrm>
          <a:off x="1033780" y="698500"/>
          <a:ext cx="601980" cy="0"/>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xdr:cNvPicPr>
          <a:picLocks noChangeAspect="1"/>
        </xdr:cNvPicPr>
      </xdr:nvPicPr>
      <xdr:blipFill>
        <a:blip r:embed="rId784" cstate="email"/>
        <a:stretch>
          <a:fillRect/>
        </a:stretch>
      </xdr:blipFill>
      <xdr:spPr>
        <a:xfrm>
          <a:off x="1059180" y="698500"/>
          <a:ext cx="469900" cy="0"/>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xdr:cNvPicPr>
          <a:picLocks noChangeAspect="1"/>
        </xdr:cNvPicPr>
      </xdr:nvPicPr>
      <xdr:blipFill>
        <a:blip r:embed="rId785" cstate="email"/>
        <a:stretch>
          <a:fillRect/>
        </a:stretch>
      </xdr:blipFill>
      <xdr:spPr>
        <a:xfrm>
          <a:off x="1097280" y="698500"/>
          <a:ext cx="513080" cy="0"/>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xdr:cNvPicPr>
          <a:picLocks noChangeAspect="1"/>
        </xdr:cNvPicPr>
      </xdr:nvPicPr>
      <xdr:blipFill>
        <a:blip r:embed="rId786" cstate="email"/>
        <a:stretch>
          <a:fillRect/>
        </a:stretch>
      </xdr:blipFill>
      <xdr:spPr>
        <a:xfrm>
          <a:off x="1033780" y="698500"/>
          <a:ext cx="571500" cy="0"/>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xdr:cNvPicPr>
          <a:picLocks noChangeAspect="1"/>
        </xdr:cNvPicPr>
      </xdr:nvPicPr>
      <xdr:blipFill>
        <a:blip r:embed="rId787" cstate="email"/>
        <a:stretch>
          <a:fillRect/>
        </a:stretch>
      </xdr:blipFill>
      <xdr:spPr>
        <a:xfrm>
          <a:off x="1040130" y="698500"/>
          <a:ext cx="595630" cy="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xdr:cNvPicPr>
          <a:picLocks noChangeAspect="1"/>
        </xdr:cNvPicPr>
      </xdr:nvPicPr>
      <xdr:blipFill>
        <a:blip r:embed="rId788" cstate="email"/>
        <a:stretch>
          <a:fillRect/>
        </a:stretch>
      </xdr:blipFill>
      <xdr:spPr>
        <a:xfrm>
          <a:off x="1033780" y="698500"/>
          <a:ext cx="601980" cy="0"/>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xdr:cNvPicPr>
          <a:picLocks noChangeAspect="1"/>
        </xdr:cNvPicPr>
      </xdr:nvPicPr>
      <xdr:blipFill>
        <a:blip r:embed="rId789" cstate="email"/>
        <a:stretch>
          <a:fillRect/>
        </a:stretch>
      </xdr:blipFill>
      <xdr:spPr>
        <a:xfrm>
          <a:off x="1071880" y="698500"/>
          <a:ext cx="563880" cy="0"/>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xdr:cNvPicPr>
          <a:picLocks noChangeAspect="1"/>
        </xdr:cNvPicPr>
      </xdr:nvPicPr>
      <xdr:blipFill>
        <a:blip r:embed="rId790" cstate="email"/>
        <a:stretch>
          <a:fillRect/>
        </a:stretch>
      </xdr:blipFill>
      <xdr:spPr>
        <a:xfrm>
          <a:off x="1066800" y="698500"/>
          <a:ext cx="513080" cy="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xdr:cNvPicPr>
          <a:picLocks noChangeAspect="1"/>
        </xdr:cNvPicPr>
      </xdr:nvPicPr>
      <xdr:blipFill>
        <a:blip r:embed="rId791" cstate="email"/>
        <a:stretch>
          <a:fillRect/>
        </a:stretch>
      </xdr:blipFill>
      <xdr:spPr>
        <a:xfrm>
          <a:off x="1114425" y="698500"/>
          <a:ext cx="481965" cy="0"/>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xdr:cNvPicPr>
          <a:picLocks noChangeAspect="1"/>
        </xdr:cNvPicPr>
      </xdr:nvPicPr>
      <xdr:blipFill>
        <a:blip r:embed="rId791" cstate="email"/>
        <a:stretch>
          <a:fillRect/>
        </a:stretch>
      </xdr:blipFill>
      <xdr:spPr>
        <a:xfrm>
          <a:off x="1097280" y="698500"/>
          <a:ext cx="481965" cy="0"/>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xdr:cNvPicPr>
          <a:picLocks noChangeAspect="1"/>
        </xdr:cNvPicPr>
      </xdr:nvPicPr>
      <xdr:blipFill>
        <a:blip r:embed="rId792" cstate="email"/>
        <a:stretch>
          <a:fillRect/>
        </a:stretch>
      </xdr:blipFill>
      <xdr:spPr>
        <a:xfrm>
          <a:off x="1005840" y="698500"/>
          <a:ext cx="582295" cy="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xdr:cNvPicPr>
          <a:picLocks noChangeAspect="1"/>
        </xdr:cNvPicPr>
      </xdr:nvPicPr>
      <xdr:blipFill>
        <a:blip r:embed="rId793" cstate="email"/>
        <a:stretch>
          <a:fillRect/>
        </a:stretch>
      </xdr:blipFill>
      <xdr:spPr>
        <a:xfrm>
          <a:off x="1052830" y="698500"/>
          <a:ext cx="542290" cy="0"/>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xdr:cNvPicPr>
          <a:picLocks noChangeAspect="1"/>
        </xdr:cNvPicPr>
      </xdr:nvPicPr>
      <xdr:blipFill>
        <a:blip r:embed="rId794" cstate="email"/>
        <a:stretch>
          <a:fillRect/>
        </a:stretch>
      </xdr:blipFill>
      <xdr:spPr>
        <a:xfrm>
          <a:off x="1097280" y="698500"/>
          <a:ext cx="538480" cy="0"/>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xdr:cNvPicPr>
          <a:picLocks noChangeAspect="1"/>
        </xdr:cNvPicPr>
      </xdr:nvPicPr>
      <xdr:blipFill>
        <a:blip r:embed="rId795" cstate="email"/>
        <a:stretch>
          <a:fillRect/>
        </a:stretch>
      </xdr:blipFill>
      <xdr:spPr>
        <a:xfrm>
          <a:off x="1068705" y="698500"/>
          <a:ext cx="541655" cy="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xdr:cNvPicPr>
          <a:picLocks noChangeAspect="1"/>
        </xdr:cNvPicPr>
      </xdr:nvPicPr>
      <xdr:blipFill>
        <a:blip r:embed="rId796" cstate="email"/>
        <a:stretch>
          <a:fillRect/>
        </a:stretch>
      </xdr:blipFill>
      <xdr:spPr>
        <a:xfrm>
          <a:off x="1096645" y="698500"/>
          <a:ext cx="539115" cy="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xdr:cNvPicPr>
          <a:picLocks noChangeAspect="1"/>
        </xdr:cNvPicPr>
      </xdr:nvPicPr>
      <xdr:blipFill>
        <a:blip r:embed="rId797" cstate="email"/>
        <a:stretch>
          <a:fillRect/>
        </a:stretch>
      </xdr:blipFill>
      <xdr:spPr>
        <a:xfrm>
          <a:off x="1109980" y="698500"/>
          <a:ext cx="525780" cy="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xdr:cNvPicPr>
          <a:picLocks noChangeAspect="1"/>
        </xdr:cNvPicPr>
      </xdr:nvPicPr>
      <xdr:blipFill>
        <a:blip r:embed="rId798" cstate="email"/>
        <a:stretch>
          <a:fillRect/>
        </a:stretch>
      </xdr:blipFill>
      <xdr:spPr>
        <a:xfrm>
          <a:off x="1122680" y="698500"/>
          <a:ext cx="513080" cy="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xdr:cNvPicPr>
          <a:picLocks noChangeAspect="1"/>
        </xdr:cNvPicPr>
      </xdr:nvPicPr>
      <xdr:blipFill>
        <a:blip r:embed="rId799" cstate="email"/>
        <a:stretch>
          <a:fillRect/>
        </a:stretch>
      </xdr:blipFill>
      <xdr:spPr>
        <a:xfrm>
          <a:off x="1052830" y="698500"/>
          <a:ext cx="557530" cy="0"/>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xdr:cNvPicPr>
          <a:picLocks noChangeAspect="1"/>
        </xdr:cNvPicPr>
      </xdr:nvPicPr>
      <xdr:blipFill>
        <a:blip r:embed="rId800" cstate="email"/>
        <a:stretch>
          <a:fillRect/>
        </a:stretch>
      </xdr:blipFill>
      <xdr:spPr>
        <a:xfrm>
          <a:off x="1052830" y="698500"/>
          <a:ext cx="582930" cy="0"/>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xdr:cNvPicPr>
          <a:picLocks noChangeAspect="1"/>
        </xdr:cNvPicPr>
      </xdr:nvPicPr>
      <xdr:blipFill>
        <a:blip r:embed="rId801" cstate="email"/>
        <a:stretch>
          <a:fillRect/>
        </a:stretch>
      </xdr:blipFill>
      <xdr:spPr>
        <a:xfrm>
          <a:off x="1052830" y="698500"/>
          <a:ext cx="573405" cy="0"/>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xdr:cNvPicPr>
          <a:picLocks noChangeAspect="1"/>
        </xdr:cNvPicPr>
      </xdr:nvPicPr>
      <xdr:blipFill>
        <a:blip r:embed="rId802" cstate="email"/>
        <a:stretch>
          <a:fillRect/>
        </a:stretch>
      </xdr:blipFill>
      <xdr:spPr>
        <a:xfrm>
          <a:off x="1068705" y="698500"/>
          <a:ext cx="567055" cy="0"/>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xdr:cNvPicPr>
          <a:picLocks noChangeAspect="1"/>
        </xdr:cNvPicPr>
      </xdr:nvPicPr>
      <xdr:blipFill>
        <a:blip r:embed="rId803" cstate="email"/>
        <a:stretch>
          <a:fillRect/>
        </a:stretch>
      </xdr:blipFill>
      <xdr:spPr>
        <a:xfrm>
          <a:off x="1019810" y="698500"/>
          <a:ext cx="556260" cy="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xdr:cNvPicPr>
          <a:picLocks noChangeAspect="1"/>
        </xdr:cNvPicPr>
      </xdr:nvPicPr>
      <xdr:blipFill>
        <a:blip r:embed="rId804" cstate="email"/>
        <a:stretch>
          <a:fillRect/>
        </a:stretch>
      </xdr:blipFill>
      <xdr:spPr>
        <a:xfrm>
          <a:off x="1006475" y="698500"/>
          <a:ext cx="588645" cy="0"/>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xdr:cNvPicPr>
          <a:picLocks noChangeAspect="1"/>
        </xdr:cNvPicPr>
      </xdr:nvPicPr>
      <xdr:blipFill>
        <a:blip r:embed="rId805" cstate="email"/>
        <a:stretch>
          <a:fillRect/>
        </a:stretch>
      </xdr:blipFill>
      <xdr:spPr>
        <a:xfrm>
          <a:off x="1059815" y="698500"/>
          <a:ext cx="575945" cy="0"/>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xdr:cNvPicPr>
          <a:picLocks noChangeAspect="1"/>
        </xdr:cNvPicPr>
      </xdr:nvPicPr>
      <xdr:blipFill>
        <a:blip r:embed="rId806" cstate="email"/>
        <a:stretch>
          <a:fillRect/>
        </a:stretch>
      </xdr:blipFill>
      <xdr:spPr>
        <a:xfrm>
          <a:off x="1069340" y="698500"/>
          <a:ext cx="566420" cy="0"/>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xdr:cNvPicPr>
          <a:picLocks noChangeAspect="1"/>
        </xdr:cNvPicPr>
      </xdr:nvPicPr>
      <xdr:blipFill>
        <a:blip r:embed="rId807" cstate="email"/>
        <a:stretch>
          <a:fillRect/>
        </a:stretch>
      </xdr:blipFill>
      <xdr:spPr>
        <a:xfrm>
          <a:off x="1076325" y="698500"/>
          <a:ext cx="559435" cy="0"/>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xdr:cNvPicPr>
          <a:picLocks noChangeAspect="1"/>
        </xdr:cNvPicPr>
      </xdr:nvPicPr>
      <xdr:blipFill>
        <a:blip r:embed="rId808" cstate="email"/>
        <a:stretch>
          <a:fillRect/>
        </a:stretch>
      </xdr:blipFill>
      <xdr:spPr>
        <a:xfrm>
          <a:off x="1108075" y="698500"/>
          <a:ext cx="527685" cy="0"/>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xdr:cNvPicPr>
          <a:picLocks noChangeAspect="1"/>
        </xdr:cNvPicPr>
      </xdr:nvPicPr>
      <xdr:blipFill>
        <a:blip r:embed="rId809" cstate="email"/>
        <a:stretch>
          <a:fillRect/>
        </a:stretch>
      </xdr:blipFill>
      <xdr:spPr>
        <a:xfrm>
          <a:off x="1135380" y="698500"/>
          <a:ext cx="500380" cy="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xdr:cNvPicPr>
          <a:picLocks noChangeAspect="1"/>
        </xdr:cNvPicPr>
      </xdr:nvPicPr>
      <xdr:blipFill>
        <a:blip r:embed="rId810" cstate="email"/>
        <a:stretch>
          <a:fillRect/>
        </a:stretch>
      </xdr:blipFill>
      <xdr:spPr>
        <a:xfrm>
          <a:off x="1148080" y="698500"/>
          <a:ext cx="487680" cy="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xdr:cNvPicPr>
          <a:picLocks noChangeAspect="1"/>
        </xdr:cNvPicPr>
      </xdr:nvPicPr>
      <xdr:blipFill>
        <a:blip r:embed="rId811" cstate="email"/>
        <a:stretch>
          <a:fillRect/>
        </a:stretch>
      </xdr:blipFill>
      <xdr:spPr>
        <a:xfrm>
          <a:off x="1160780" y="698500"/>
          <a:ext cx="474980" cy="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xdr:cNvPicPr>
          <a:picLocks noChangeAspect="1"/>
        </xdr:cNvPicPr>
      </xdr:nvPicPr>
      <xdr:blipFill>
        <a:blip r:embed="rId812" cstate="email"/>
        <a:stretch>
          <a:fillRect/>
        </a:stretch>
      </xdr:blipFill>
      <xdr:spPr>
        <a:xfrm>
          <a:off x="1236980" y="698500"/>
          <a:ext cx="398780" cy="0"/>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xdr:cNvPicPr>
          <a:picLocks noChangeAspect="1"/>
        </xdr:cNvPicPr>
      </xdr:nvPicPr>
      <xdr:blipFill>
        <a:blip r:embed="rId813" cstate="email"/>
        <a:stretch>
          <a:fillRect/>
        </a:stretch>
      </xdr:blipFill>
      <xdr:spPr>
        <a:xfrm>
          <a:off x="1224280" y="698500"/>
          <a:ext cx="411480" cy="0"/>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xdr:cNvPicPr>
          <a:picLocks noChangeAspect="1"/>
        </xdr:cNvPicPr>
      </xdr:nvPicPr>
      <xdr:blipFill>
        <a:blip r:embed="rId814" cstate="email"/>
        <a:stretch>
          <a:fillRect/>
        </a:stretch>
      </xdr:blipFill>
      <xdr:spPr>
        <a:xfrm>
          <a:off x="1236980" y="698500"/>
          <a:ext cx="398780" cy="0"/>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xdr:cNvPicPr>
          <a:picLocks noChangeAspect="1"/>
        </xdr:cNvPicPr>
      </xdr:nvPicPr>
      <xdr:blipFill>
        <a:blip r:embed="rId815" cstate="email"/>
        <a:stretch>
          <a:fillRect/>
        </a:stretch>
      </xdr:blipFill>
      <xdr:spPr>
        <a:xfrm>
          <a:off x="1236345" y="698500"/>
          <a:ext cx="399415" cy="0"/>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xdr:cNvPicPr>
          <a:picLocks noChangeAspect="1"/>
        </xdr:cNvPicPr>
      </xdr:nvPicPr>
      <xdr:blipFill>
        <a:blip r:embed="rId816" cstate="email"/>
        <a:stretch>
          <a:fillRect/>
        </a:stretch>
      </xdr:blipFill>
      <xdr:spPr>
        <a:xfrm>
          <a:off x="1148080" y="698500"/>
          <a:ext cx="487680" cy="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xdr:cNvPicPr>
          <a:picLocks noChangeAspect="1"/>
        </xdr:cNvPicPr>
      </xdr:nvPicPr>
      <xdr:blipFill>
        <a:blip r:embed="rId817" cstate="email"/>
        <a:stretch>
          <a:fillRect/>
        </a:stretch>
      </xdr:blipFill>
      <xdr:spPr>
        <a:xfrm>
          <a:off x="1097280" y="698500"/>
          <a:ext cx="538480" cy="0"/>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xdr:cNvPicPr>
          <a:picLocks noChangeAspect="1"/>
        </xdr:cNvPicPr>
      </xdr:nvPicPr>
      <xdr:blipFill>
        <a:blip r:embed="rId818" cstate="email"/>
        <a:stretch>
          <a:fillRect/>
        </a:stretch>
      </xdr:blipFill>
      <xdr:spPr>
        <a:xfrm>
          <a:off x="1046480" y="698500"/>
          <a:ext cx="589280" cy="0"/>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xdr:cNvPicPr>
          <a:picLocks noChangeAspect="1"/>
        </xdr:cNvPicPr>
      </xdr:nvPicPr>
      <xdr:blipFill>
        <a:blip r:embed="rId819" cstate="email"/>
        <a:stretch>
          <a:fillRect/>
        </a:stretch>
      </xdr:blipFill>
      <xdr:spPr>
        <a:xfrm>
          <a:off x="1097280" y="698500"/>
          <a:ext cx="538480" cy="0"/>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xdr:cNvPicPr>
          <a:picLocks noChangeAspect="1"/>
        </xdr:cNvPicPr>
      </xdr:nvPicPr>
      <xdr:blipFill>
        <a:blip r:embed="rId820" cstate="email"/>
        <a:stretch>
          <a:fillRect/>
        </a:stretch>
      </xdr:blipFill>
      <xdr:spPr>
        <a:xfrm>
          <a:off x="1097280" y="698500"/>
          <a:ext cx="538480" cy="0"/>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xdr:cNvPicPr>
          <a:picLocks noChangeAspect="1"/>
        </xdr:cNvPicPr>
      </xdr:nvPicPr>
      <xdr:blipFill>
        <a:blip r:embed="rId821" cstate="email"/>
        <a:stretch>
          <a:fillRect/>
        </a:stretch>
      </xdr:blipFill>
      <xdr:spPr>
        <a:xfrm>
          <a:off x="1021080" y="698500"/>
          <a:ext cx="584200" cy="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xdr:cNvPicPr>
          <a:picLocks noChangeAspect="1"/>
        </xdr:cNvPicPr>
      </xdr:nvPicPr>
      <xdr:blipFill>
        <a:blip r:embed="rId822" cstate="email"/>
        <a:stretch>
          <a:fillRect/>
        </a:stretch>
      </xdr:blipFill>
      <xdr:spPr>
        <a:xfrm>
          <a:off x="1046480" y="698500"/>
          <a:ext cx="589280" cy="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xdr:cNvPicPr>
          <a:picLocks noChangeAspect="1"/>
        </xdr:cNvPicPr>
      </xdr:nvPicPr>
      <xdr:blipFill>
        <a:blip r:embed="rId823" cstate="email"/>
        <a:stretch>
          <a:fillRect/>
        </a:stretch>
      </xdr:blipFill>
      <xdr:spPr>
        <a:xfrm>
          <a:off x="1084580" y="698500"/>
          <a:ext cx="551180" cy="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xdr:cNvPicPr>
          <a:picLocks noChangeAspect="1"/>
        </xdr:cNvPicPr>
      </xdr:nvPicPr>
      <xdr:blipFill>
        <a:blip r:embed="rId824" cstate="email"/>
        <a:stretch>
          <a:fillRect/>
        </a:stretch>
      </xdr:blipFill>
      <xdr:spPr>
        <a:xfrm>
          <a:off x="1084580" y="698500"/>
          <a:ext cx="551180" cy="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xdr:cNvPicPr>
          <a:picLocks noChangeAspect="1"/>
        </xdr:cNvPicPr>
      </xdr:nvPicPr>
      <xdr:blipFill>
        <a:blip r:embed="rId825" cstate="email"/>
        <a:stretch>
          <a:fillRect/>
        </a:stretch>
      </xdr:blipFill>
      <xdr:spPr>
        <a:xfrm>
          <a:off x="1084580" y="698500"/>
          <a:ext cx="551180" cy="0"/>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xdr:cNvPicPr>
          <a:picLocks noChangeAspect="1"/>
        </xdr:cNvPicPr>
      </xdr:nvPicPr>
      <xdr:blipFill>
        <a:blip r:embed="rId826" cstate="email"/>
        <a:stretch>
          <a:fillRect/>
        </a:stretch>
      </xdr:blipFill>
      <xdr:spPr>
        <a:xfrm>
          <a:off x="1148080" y="698500"/>
          <a:ext cx="487680" cy="0"/>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xdr:cNvPicPr>
          <a:picLocks noChangeAspect="1"/>
        </xdr:cNvPicPr>
      </xdr:nvPicPr>
      <xdr:blipFill>
        <a:blip r:embed="rId827" cstate="email"/>
        <a:stretch>
          <a:fillRect/>
        </a:stretch>
      </xdr:blipFill>
      <xdr:spPr>
        <a:xfrm>
          <a:off x="1135380" y="698500"/>
          <a:ext cx="500380" cy="0"/>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xdr:cNvPicPr>
          <a:picLocks noChangeAspect="1"/>
        </xdr:cNvPicPr>
      </xdr:nvPicPr>
      <xdr:blipFill>
        <a:blip r:embed="rId828" cstate="email"/>
        <a:stretch>
          <a:fillRect/>
        </a:stretch>
      </xdr:blipFill>
      <xdr:spPr>
        <a:xfrm>
          <a:off x="1097280" y="698500"/>
          <a:ext cx="538480" cy="0"/>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xdr:cNvPicPr>
          <a:picLocks noChangeAspect="1"/>
        </xdr:cNvPicPr>
      </xdr:nvPicPr>
      <xdr:blipFill>
        <a:blip r:embed="rId829" cstate="email"/>
        <a:stretch>
          <a:fillRect/>
        </a:stretch>
      </xdr:blipFill>
      <xdr:spPr>
        <a:xfrm>
          <a:off x="1071880" y="698500"/>
          <a:ext cx="563880" cy="0"/>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xdr:cNvPicPr>
          <a:picLocks noChangeAspect="1"/>
        </xdr:cNvPicPr>
      </xdr:nvPicPr>
      <xdr:blipFill>
        <a:blip r:embed="rId830" cstate="email"/>
        <a:stretch>
          <a:fillRect/>
        </a:stretch>
      </xdr:blipFill>
      <xdr:spPr>
        <a:xfrm>
          <a:off x="1059180" y="698500"/>
          <a:ext cx="576580" cy="0"/>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xdr:cNvPicPr>
          <a:picLocks noChangeAspect="1"/>
        </xdr:cNvPicPr>
      </xdr:nvPicPr>
      <xdr:blipFill>
        <a:blip r:embed="rId831" cstate="email"/>
        <a:stretch>
          <a:fillRect/>
        </a:stretch>
      </xdr:blipFill>
      <xdr:spPr>
        <a:xfrm>
          <a:off x="1021080" y="698500"/>
          <a:ext cx="584200" cy="0"/>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xdr:cNvPicPr>
          <a:picLocks noChangeAspect="1"/>
        </xdr:cNvPicPr>
      </xdr:nvPicPr>
      <xdr:blipFill>
        <a:blip r:embed="rId832" cstate="email"/>
        <a:stretch>
          <a:fillRect/>
        </a:stretch>
      </xdr:blipFill>
      <xdr:spPr>
        <a:xfrm>
          <a:off x="1046480" y="698500"/>
          <a:ext cx="589280" cy="0"/>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xdr:cNvPicPr>
          <a:picLocks noChangeAspect="1"/>
        </xdr:cNvPicPr>
      </xdr:nvPicPr>
      <xdr:blipFill>
        <a:blip r:embed="rId833" cstate="email"/>
        <a:stretch>
          <a:fillRect/>
        </a:stretch>
      </xdr:blipFill>
      <xdr:spPr>
        <a:xfrm>
          <a:off x="1021080" y="698500"/>
          <a:ext cx="614680" cy="0"/>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xdr:cNvPicPr>
          <a:picLocks noChangeAspect="1"/>
        </xdr:cNvPicPr>
      </xdr:nvPicPr>
      <xdr:blipFill>
        <a:blip r:embed="rId834" cstate="email"/>
        <a:stretch>
          <a:fillRect/>
        </a:stretch>
      </xdr:blipFill>
      <xdr:spPr>
        <a:xfrm>
          <a:off x="1059180" y="698500"/>
          <a:ext cx="520700" cy="0"/>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xdr:cNvPicPr>
          <a:picLocks noChangeAspect="1"/>
        </xdr:cNvPicPr>
      </xdr:nvPicPr>
      <xdr:blipFill>
        <a:blip r:embed="rId835" cstate="email"/>
        <a:stretch>
          <a:fillRect/>
        </a:stretch>
      </xdr:blipFill>
      <xdr:spPr>
        <a:xfrm>
          <a:off x="1084580" y="698500"/>
          <a:ext cx="551180" cy="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xdr:cNvPicPr>
          <a:picLocks noChangeAspect="1"/>
        </xdr:cNvPicPr>
      </xdr:nvPicPr>
      <xdr:blipFill>
        <a:blip r:embed="rId836" cstate="email"/>
        <a:stretch>
          <a:fillRect/>
        </a:stretch>
      </xdr:blipFill>
      <xdr:spPr>
        <a:xfrm>
          <a:off x="1046480" y="698500"/>
          <a:ext cx="589280" cy="0"/>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xdr:cNvPicPr>
          <a:picLocks noChangeAspect="1"/>
        </xdr:cNvPicPr>
      </xdr:nvPicPr>
      <xdr:blipFill>
        <a:blip r:embed="rId837" cstate="email"/>
        <a:stretch>
          <a:fillRect/>
        </a:stretch>
      </xdr:blipFill>
      <xdr:spPr>
        <a:xfrm>
          <a:off x="1071880" y="698500"/>
          <a:ext cx="563880" cy="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xdr:cNvPicPr>
          <a:picLocks noChangeAspect="1"/>
        </xdr:cNvPicPr>
      </xdr:nvPicPr>
      <xdr:blipFill>
        <a:blip r:embed="rId838" cstate="email"/>
        <a:stretch>
          <a:fillRect/>
        </a:stretch>
      </xdr:blipFill>
      <xdr:spPr>
        <a:xfrm>
          <a:off x="1033780" y="698500"/>
          <a:ext cx="601980" cy="0"/>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xdr:cNvPicPr>
          <a:picLocks noChangeAspect="1"/>
        </xdr:cNvPicPr>
      </xdr:nvPicPr>
      <xdr:blipFill>
        <a:blip r:embed="rId839" cstate="email"/>
        <a:stretch>
          <a:fillRect/>
        </a:stretch>
      </xdr:blipFill>
      <xdr:spPr>
        <a:xfrm>
          <a:off x="1046480" y="698500"/>
          <a:ext cx="589280" cy="0"/>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xdr:cNvPicPr>
          <a:picLocks noChangeAspect="1"/>
        </xdr:cNvPicPr>
      </xdr:nvPicPr>
      <xdr:blipFill>
        <a:blip r:embed="rId840" cstate="email"/>
        <a:stretch>
          <a:fillRect/>
        </a:stretch>
      </xdr:blipFill>
      <xdr:spPr>
        <a:xfrm>
          <a:off x="1033780" y="698500"/>
          <a:ext cx="601980" cy="0"/>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xdr:cNvPicPr>
          <a:picLocks noChangeAspect="1"/>
        </xdr:cNvPicPr>
      </xdr:nvPicPr>
      <xdr:blipFill>
        <a:blip r:embed="rId841" cstate="email"/>
        <a:stretch>
          <a:fillRect/>
        </a:stretch>
      </xdr:blipFill>
      <xdr:spPr>
        <a:xfrm>
          <a:off x="1181735" y="1333500"/>
          <a:ext cx="398145" cy="0"/>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xdr:cNvPicPr>
          <a:picLocks noChangeAspect="1"/>
        </xdr:cNvPicPr>
      </xdr:nvPicPr>
      <xdr:blipFill>
        <a:blip r:embed="rId842" cstate="email"/>
        <a:stretch>
          <a:fillRect/>
        </a:stretch>
      </xdr:blipFill>
      <xdr:spPr>
        <a:xfrm>
          <a:off x="1181735" y="1333500"/>
          <a:ext cx="398145" cy="0"/>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xdr:cNvPicPr>
          <a:picLocks noChangeAspect="1"/>
        </xdr:cNvPicPr>
      </xdr:nvPicPr>
      <xdr:blipFill>
        <a:blip r:embed="rId843" cstate="email"/>
        <a:stretch>
          <a:fillRect/>
        </a:stretch>
      </xdr:blipFill>
      <xdr:spPr>
        <a:xfrm>
          <a:off x="1183005" y="1333500"/>
          <a:ext cx="397510" cy="0"/>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xdr:cNvPicPr>
          <a:picLocks noChangeAspect="1"/>
        </xdr:cNvPicPr>
      </xdr:nvPicPr>
      <xdr:blipFill>
        <a:blip r:embed="rId844" cstate="email"/>
        <a:stretch>
          <a:fillRect/>
        </a:stretch>
      </xdr:blipFill>
      <xdr:spPr>
        <a:xfrm>
          <a:off x="1164590" y="1333500"/>
          <a:ext cx="469265" cy="0"/>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xdr:cNvPicPr>
          <a:picLocks noChangeAspect="1"/>
        </xdr:cNvPicPr>
      </xdr:nvPicPr>
      <xdr:blipFill>
        <a:blip r:embed="rId841" cstate="email"/>
        <a:stretch>
          <a:fillRect/>
        </a:stretch>
      </xdr:blipFill>
      <xdr:spPr>
        <a:xfrm>
          <a:off x="1129030" y="1333500"/>
          <a:ext cx="397510" cy="0"/>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xdr:cNvPicPr>
          <a:picLocks noChangeAspect="1"/>
        </xdr:cNvPicPr>
      </xdr:nvPicPr>
      <xdr:blipFill>
        <a:blip r:embed="rId845" cstate="email"/>
        <a:stretch>
          <a:fillRect/>
        </a:stretch>
      </xdr:blipFill>
      <xdr:spPr>
        <a:xfrm>
          <a:off x="1090295" y="1333500"/>
          <a:ext cx="387350" cy="0"/>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xdr:cNvPicPr>
          <a:picLocks noChangeAspect="1"/>
        </xdr:cNvPicPr>
      </xdr:nvPicPr>
      <xdr:blipFill>
        <a:blip r:embed="rId845" cstate="email"/>
        <a:stretch>
          <a:fillRect/>
        </a:stretch>
      </xdr:blipFill>
      <xdr:spPr>
        <a:xfrm>
          <a:off x="1109345" y="1333500"/>
          <a:ext cx="387985" cy="0"/>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xdr:cNvPicPr>
          <a:picLocks noChangeAspect="1"/>
        </xdr:cNvPicPr>
      </xdr:nvPicPr>
      <xdr:blipFill>
        <a:blip r:embed="rId846" cstate="email"/>
        <a:stretch>
          <a:fillRect/>
        </a:stretch>
      </xdr:blipFill>
      <xdr:spPr>
        <a:xfrm>
          <a:off x="1118870" y="1333500"/>
          <a:ext cx="413385" cy="0"/>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xdr:cNvPicPr>
          <a:picLocks noChangeAspect="1"/>
        </xdr:cNvPicPr>
      </xdr:nvPicPr>
      <xdr:blipFill>
        <a:blip r:embed="rId846" cstate="email"/>
        <a:stretch>
          <a:fillRect/>
        </a:stretch>
      </xdr:blipFill>
      <xdr:spPr>
        <a:xfrm>
          <a:off x="1138555" y="1333500"/>
          <a:ext cx="413385" cy="0"/>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xdr:cNvPicPr>
          <a:picLocks noChangeAspect="1"/>
        </xdr:cNvPicPr>
      </xdr:nvPicPr>
      <xdr:blipFill>
        <a:blip r:embed="rId846" cstate="email"/>
        <a:stretch>
          <a:fillRect/>
        </a:stretch>
      </xdr:blipFill>
      <xdr:spPr>
        <a:xfrm>
          <a:off x="1138555" y="1333500"/>
          <a:ext cx="413385" cy="0"/>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xdr:cNvPicPr>
          <a:picLocks noChangeAspect="1"/>
        </xdr:cNvPicPr>
      </xdr:nvPicPr>
      <xdr:blipFill>
        <a:blip r:embed="rId846" cstate="email"/>
        <a:stretch>
          <a:fillRect/>
        </a:stretch>
      </xdr:blipFill>
      <xdr:spPr>
        <a:xfrm>
          <a:off x="1138555" y="1333500"/>
          <a:ext cx="413385" cy="0"/>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xdr:cNvPicPr>
          <a:picLocks noChangeAspect="1"/>
        </xdr:cNvPicPr>
      </xdr:nvPicPr>
      <xdr:blipFill>
        <a:blip r:embed="rId847" cstate="email"/>
        <a:stretch>
          <a:fillRect/>
        </a:stretch>
      </xdr:blipFill>
      <xdr:spPr>
        <a:xfrm>
          <a:off x="1097280" y="1333500"/>
          <a:ext cx="508000" cy="0"/>
        </a:xfrm>
        <a:prstGeom prst="rect">
          <a:avLst/>
        </a:prstGeom>
      </xdr:spPr>
    </xdr:pic>
    <xdr:clientData/>
  </xdr:twoCellAnchor>
  <xdr:twoCellAnchor>
    <xdr:from>
      <xdr:col>1</xdr:col>
      <xdr:colOff>172721</xdr:colOff>
      <xdr:row>1166</xdr:row>
      <xdr:rowOff>40640</xdr:rowOff>
    </xdr:from>
    <xdr:to>
      <xdr:col>1</xdr:col>
      <xdr:colOff>180787</xdr:colOff>
      <xdr:row>1167</xdr:row>
      <xdr:rowOff>18143</xdr:rowOff>
    </xdr:to>
    <xdr:pic>
      <xdr:nvPicPr>
        <xdr:cNvPr id="12634" name="Picture 12633"/>
        <xdr:cNvPicPr>
          <a:picLocks noChangeAspect="1"/>
        </xdr:cNvPicPr>
      </xdr:nvPicPr>
      <xdr:blipFill>
        <a:blip r:embed="rId848" cstate="email"/>
        <a:stretch>
          <a:fillRect/>
        </a:stretch>
      </xdr:blipFill>
      <xdr:spPr>
        <a:xfrm>
          <a:off x="1117600" y="1333500"/>
          <a:ext cx="7620" cy="0"/>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xdr:cNvPicPr>
          <a:picLocks noChangeAspect="1"/>
        </xdr:cNvPicPr>
      </xdr:nvPicPr>
      <xdr:blipFill>
        <a:blip r:embed="rId849" cstate="email"/>
        <a:stretch>
          <a:fillRect/>
        </a:stretch>
      </xdr:blipFill>
      <xdr:spPr>
        <a:xfrm>
          <a:off x="1137920" y="1333500"/>
          <a:ext cx="388620" cy="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xdr:cNvPicPr>
          <a:picLocks noChangeAspect="1"/>
        </xdr:cNvPicPr>
      </xdr:nvPicPr>
      <xdr:blipFill>
        <a:blip r:embed="rId850" cstate="email"/>
        <a:stretch>
          <a:fillRect/>
        </a:stretch>
      </xdr:blipFill>
      <xdr:spPr>
        <a:xfrm>
          <a:off x="1148080" y="1333500"/>
          <a:ext cx="396240" cy="0"/>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xdr:cNvPicPr>
          <a:picLocks noChangeAspect="1"/>
        </xdr:cNvPicPr>
      </xdr:nvPicPr>
      <xdr:blipFill>
        <a:blip r:embed="rId851" cstate="email"/>
        <a:stretch>
          <a:fillRect/>
        </a:stretch>
      </xdr:blipFill>
      <xdr:spPr>
        <a:xfrm>
          <a:off x="1148080" y="1333500"/>
          <a:ext cx="396240" cy="0"/>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xdr:cNvPicPr>
          <a:picLocks noChangeAspect="1"/>
        </xdr:cNvPicPr>
      </xdr:nvPicPr>
      <xdr:blipFill>
        <a:blip r:embed="rId852" cstate="email"/>
        <a:stretch>
          <a:fillRect/>
        </a:stretch>
      </xdr:blipFill>
      <xdr:spPr>
        <a:xfrm>
          <a:off x="1137920" y="1333500"/>
          <a:ext cx="406400" cy="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xdr:cNvPicPr>
          <a:picLocks noChangeAspect="1"/>
        </xdr:cNvPicPr>
      </xdr:nvPicPr>
      <xdr:blipFill>
        <a:blip r:embed="rId853" cstate="email"/>
        <a:stretch>
          <a:fillRect/>
        </a:stretch>
      </xdr:blipFill>
      <xdr:spPr>
        <a:xfrm>
          <a:off x="1127760" y="1333500"/>
          <a:ext cx="406400" cy="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xdr:cNvPicPr>
          <a:picLocks noChangeAspect="1"/>
        </xdr:cNvPicPr>
      </xdr:nvPicPr>
      <xdr:blipFill>
        <a:blip r:embed="rId854" cstate="email"/>
        <a:stretch>
          <a:fillRect/>
        </a:stretch>
      </xdr:blipFill>
      <xdr:spPr>
        <a:xfrm>
          <a:off x="1135380" y="1333500"/>
          <a:ext cx="419100" cy="0"/>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xdr:cNvPicPr>
          <a:picLocks noChangeAspect="1"/>
        </xdr:cNvPicPr>
      </xdr:nvPicPr>
      <xdr:blipFill>
        <a:blip r:embed="rId855" cstate="email"/>
        <a:stretch>
          <a:fillRect/>
        </a:stretch>
      </xdr:blipFill>
      <xdr:spPr>
        <a:xfrm>
          <a:off x="1148080" y="1333500"/>
          <a:ext cx="419100" cy="0"/>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xdr:cNvPicPr>
          <a:picLocks noChangeAspect="1"/>
        </xdr:cNvPicPr>
      </xdr:nvPicPr>
      <xdr:blipFill>
        <a:blip r:embed="rId856" cstate="email"/>
        <a:stretch>
          <a:fillRect/>
        </a:stretch>
      </xdr:blipFill>
      <xdr:spPr>
        <a:xfrm>
          <a:off x="1148080" y="1333500"/>
          <a:ext cx="403860" cy="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xdr:cNvPicPr>
          <a:picLocks noChangeAspect="1"/>
        </xdr:cNvPicPr>
      </xdr:nvPicPr>
      <xdr:blipFill>
        <a:blip r:embed="rId857" cstate="email"/>
        <a:stretch>
          <a:fillRect/>
        </a:stretch>
      </xdr:blipFill>
      <xdr:spPr>
        <a:xfrm>
          <a:off x="1148080" y="1333500"/>
          <a:ext cx="487680" cy="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xdr:cNvPicPr>
          <a:picLocks noChangeAspect="1"/>
        </xdr:cNvPicPr>
      </xdr:nvPicPr>
      <xdr:blipFill>
        <a:blip r:embed="rId858" cstate="email"/>
        <a:stretch>
          <a:fillRect/>
        </a:stretch>
      </xdr:blipFill>
      <xdr:spPr>
        <a:xfrm>
          <a:off x="1202690" y="1333500"/>
          <a:ext cx="395605" cy="0"/>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xdr:cNvPicPr>
          <a:picLocks noChangeAspect="1"/>
        </xdr:cNvPicPr>
      </xdr:nvPicPr>
      <xdr:blipFill>
        <a:blip r:embed="rId859" cstate="email"/>
        <a:stretch>
          <a:fillRect/>
        </a:stretch>
      </xdr:blipFill>
      <xdr:spPr>
        <a:xfrm>
          <a:off x="1209040" y="1333500"/>
          <a:ext cx="396240" cy="0"/>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xdr:cNvPicPr>
          <a:picLocks noChangeAspect="1"/>
        </xdr:cNvPicPr>
      </xdr:nvPicPr>
      <xdr:blipFill>
        <a:blip r:embed="rId860" cstate="email"/>
        <a:stretch>
          <a:fillRect/>
        </a:stretch>
      </xdr:blipFill>
      <xdr:spPr>
        <a:xfrm>
          <a:off x="944880" y="1333500"/>
          <a:ext cx="395605" cy="0"/>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xdr:cNvPicPr>
          <a:picLocks noChangeAspect="1"/>
        </xdr:cNvPicPr>
      </xdr:nvPicPr>
      <xdr:blipFill>
        <a:blip r:embed="rId860" cstate="email"/>
        <a:stretch>
          <a:fillRect/>
        </a:stretch>
      </xdr:blipFill>
      <xdr:spPr>
        <a:xfrm>
          <a:off x="944880" y="1333500"/>
          <a:ext cx="395605" cy="0"/>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xdr:cNvPicPr>
          <a:picLocks noChangeAspect="1"/>
        </xdr:cNvPicPr>
      </xdr:nvPicPr>
      <xdr:blipFill>
        <a:blip r:embed="rId861" cstate="email"/>
        <a:stretch>
          <a:fillRect/>
        </a:stretch>
      </xdr:blipFill>
      <xdr:spPr>
        <a:xfrm>
          <a:off x="1031240" y="1333500"/>
          <a:ext cx="490855" cy="0"/>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xdr:cNvPicPr>
          <a:picLocks noChangeAspect="1"/>
        </xdr:cNvPicPr>
      </xdr:nvPicPr>
      <xdr:blipFill>
        <a:blip r:embed="rId862" cstate="email"/>
        <a:stretch>
          <a:fillRect/>
        </a:stretch>
      </xdr:blipFill>
      <xdr:spPr>
        <a:xfrm>
          <a:off x="944880" y="1333500"/>
          <a:ext cx="490220" cy="0"/>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xdr:cNvPicPr>
          <a:picLocks noChangeAspect="1"/>
        </xdr:cNvPicPr>
      </xdr:nvPicPr>
      <xdr:blipFill>
        <a:blip r:embed="rId862" cstate="email"/>
        <a:stretch>
          <a:fillRect/>
        </a:stretch>
      </xdr:blipFill>
      <xdr:spPr>
        <a:xfrm>
          <a:off x="944880" y="1333500"/>
          <a:ext cx="490220" cy="0"/>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xdr:cNvPicPr>
          <a:picLocks noChangeAspect="1"/>
        </xdr:cNvPicPr>
      </xdr:nvPicPr>
      <xdr:blipFill>
        <a:blip r:embed="rId863" cstate="email"/>
        <a:stretch>
          <a:fillRect/>
        </a:stretch>
      </xdr:blipFill>
      <xdr:spPr>
        <a:xfrm>
          <a:off x="992505" y="1333500"/>
          <a:ext cx="490855" cy="0"/>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xdr:cNvPicPr>
          <a:picLocks noChangeAspect="1"/>
        </xdr:cNvPicPr>
      </xdr:nvPicPr>
      <xdr:blipFill>
        <a:blip r:embed="rId864" cstate="email"/>
        <a:stretch>
          <a:fillRect/>
        </a:stretch>
      </xdr:blipFill>
      <xdr:spPr>
        <a:xfrm>
          <a:off x="982980" y="1333500"/>
          <a:ext cx="500380" cy="0"/>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xdr:cNvPicPr>
          <a:picLocks noChangeAspect="1"/>
        </xdr:cNvPicPr>
      </xdr:nvPicPr>
      <xdr:blipFill>
        <a:blip r:embed="rId865" cstate="email"/>
        <a:stretch>
          <a:fillRect/>
        </a:stretch>
      </xdr:blipFill>
      <xdr:spPr>
        <a:xfrm>
          <a:off x="1012190" y="1333500"/>
          <a:ext cx="487045" cy="0"/>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xdr:cNvPicPr>
          <a:picLocks noChangeAspect="1"/>
        </xdr:cNvPicPr>
      </xdr:nvPicPr>
      <xdr:blipFill>
        <a:blip r:embed="rId866" cstate="email"/>
        <a:stretch>
          <a:fillRect/>
        </a:stretch>
      </xdr:blipFill>
      <xdr:spPr>
        <a:xfrm>
          <a:off x="995680" y="1333500"/>
          <a:ext cx="497840" cy="0"/>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xdr:cNvPicPr>
          <a:picLocks noChangeAspect="1"/>
        </xdr:cNvPicPr>
      </xdr:nvPicPr>
      <xdr:blipFill>
        <a:blip r:embed="rId867" cstate="email"/>
        <a:stretch>
          <a:fillRect/>
        </a:stretch>
      </xdr:blipFill>
      <xdr:spPr>
        <a:xfrm>
          <a:off x="944880" y="1333500"/>
          <a:ext cx="497840" cy="0"/>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xdr:cNvPicPr>
          <a:picLocks noChangeAspect="1"/>
        </xdr:cNvPicPr>
      </xdr:nvPicPr>
      <xdr:blipFill>
        <a:blip r:embed="rId867" cstate="email"/>
        <a:stretch>
          <a:fillRect/>
        </a:stretch>
      </xdr:blipFill>
      <xdr:spPr>
        <a:xfrm>
          <a:off x="944880" y="1333500"/>
          <a:ext cx="497840" cy="0"/>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xdr:cNvPicPr>
          <a:picLocks noChangeAspect="1"/>
        </xdr:cNvPicPr>
      </xdr:nvPicPr>
      <xdr:blipFill>
        <a:blip r:embed="rId868" cstate="email"/>
        <a:stretch>
          <a:fillRect/>
        </a:stretch>
      </xdr:blipFill>
      <xdr:spPr>
        <a:xfrm>
          <a:off x="1005840" y="1333500"/>
          <a:ext cx="487680" cy="0"/>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xdr:cNvPicPr>
          <a:picLocks noChangeAspect="1"/>
        </xdr:cNvPicPr>
      </xdr:nvPicPr>
      <xdr:blipFill>
        <a:blip r:embed="rId869" cstate="email"/>
        <a:stretch>
          <a:fillRect/>
        </a:stretch>
      </xdr:blipFill>
      <xdr:spPr>
        <a:xfrm>
          <a:off x="1005840" y="1333500"/>
          <a:ext cx="487680" cy="0"/>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xdr:cNvPicPr>
          <a:picLocks noChangeAspect="1"/>
        </xdr:cNvPicPr>
      </xdr:nvPicPr>
      <xdr:blipFill>
        <a:blip r:embed="rId870" cstate="email"/>
        <a:stretch>
          <a:fillRect/>
        </a:stretch>
      </xdr:blipFill>
      <xdr:spPr>
        <a:xfrm>
          <a:off x="965200" y="1333500"/>
          <a:ext cx="487680" cy="0"/>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xdr:cNvPicPr>
          <a:picLocks noChangeAspect="1"/>
        </xdr:cNvPicPr>
      </xdr:nvPicPr>
      <xdr:blipFill>
        <a:blip r:embed="rId871" cstate="email"/>
        <a:stretch>
          <a:fillRect/>
        </a:stretch>
      </xdr:blipFill>
      <xdr:spPr>
        <a:xfrm>
          <a:off x="985520" y="1333500"/>
          <a:ext cx="491490" cy="0"/>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xdr:cNvPicPr>
          <a:picLocks noChangeAspect="1"/>
        </xdr:cNvPicPr>
      </xdr:nvPicPr>
      <xdr:blipFill>
        <a:blip r:embed="rId872" cstate="email"/>
        <a:stretch>
          <a:fillRect/>
        </a:stretch>
      </xdr:blipFill>
      <xdr:spPr>
        <a:xfrm>
          <a:off x="944880" y="1333500"/>
          <a:ext cx="491490" cy="0"/>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xdr:cNvPicPr>
          <a:picLocks noChangeAspect="1"/>
        </xdr:cNvPicPr>
      </xdr:nvPicPr>
      <xdr:blipFill>
        <a:blip r:embed="rId872" cstate="email"/>
        <a:stretch>
          <a:fillRect/>
        </a:stretch>
      </xdr:blipFill>
      <xdr:spPr>
        <a:xfrm>
          <a:off x="944880" y="1333500"/>
          <a:ext cx="491490" cy="0"/>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xdr:cNvPicPr>
          <a:picLocks noChangeAspect="1"/>
        </xdr:cNvPicPr>
      </xdr:nvPicPr>
      <xdr:blipFill>
        <a:blip r:embed="rId873" cstate="email"/>
        <a:stretch>
          <a:fillRect/>
        </a:stretch>
      </xdr:blipFill>
      <xdr:spPr>
        <a:xfrm>
          <a:off x="1005840" y="1333500"/>
          <a:ext cx="497840" cy="0"/>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xdr:cNvPicPr>
          <a:picLocks noChangeAspect="1"/>
        </xdr:cNvPicPr>
      </xdr:nvPicPr>
      <xdr:blipFill>
        <a:blip r:embed="rId874" cstate="email"/>
        <a:stretch>
          <a:fillRect/>
        </a:stretch>
      </xdr:blipFill>
      <xdr:spPr>
        <a:xfrm>
          <a:off x="1026160" y="1333500"/>
          <a:ext cx="496570" cy="0"/>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xdr:cNvPicPr>
          <a:picLocks noChangeAspect="1"/>
        </xdr:cNvPicPr>
      </xdr:nvPicPr>
      <xdr:blipFill>
        <a:blip r:embed="rId875" cstate="email"/>
        <a:stretch>
          <a:fillRect/>
        </a:stretch>
      </xdr:blipFill>
      <xdr:spPr>
        <a:xfrm>
          <a:off x="1036320" y="1333500"/>
          <a:ext cx="513080" cy="0"/>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xdr:cNvPicPr>
          <a:picLocks noChangeAspect="1"/>
        </xdr:cNvPicPr>
      </xdr:nvPicPr>
      <xdr:blipFill>
        <a:blip r:embed="rId875" cstate="email"/>
        <a:stretch>
          <a:fillRect/>
        </a:stretch>
      </xdr:blipFill>
      <xdr:spPr>
        <a:xfrm>
          <a:off x="1005840" y="1333500"/>
          <a:ext cx="513080" cy="0"/>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xdr:cNvPicPr>
          <a:picLocks noChangeAspect="1"/>
        </xdr:cNvPicPr>
      </xdr:nvPicPr>
      <xdr:blipFill>
        <a:blip r:embed="rId875" cstate="email"/>
        <a:stretch>
          <a:fillRect/>
        </a:stretch>
      </xdr:blipFill>
      <xdr:spPr>
        <a:xfrm>
          <a:off x="1005840" y="1333500"/>
          <a:ext cx="513080" cy="0"/>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xdr:cNvPicPr>
          <a:picLocks noChangeAspect="1"/>
        </xdr:cNvPicPr>
      </xdr:nvPicPr>
      <xdr:blipFill>
        <a:blip r:embed="rId876" cstate="email"/>
        <a:stretch>
          <a:fillRect/>
        </a:stretch>
      </xdr:blipFill>
      <xdr:spPr>
        <a:xfrm>
          <a:off x="995680" y="1333500"/>
          <a:ext cx="528320" cy="0"/>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xdr:cNvPicPr>
          <a:picLocks noChangeAspect="1"/>
        </xdr:cNvPicPr>
      </xdr:nvPicPr>
      <xdr:blipFill>
        <a:blip r:embed="rId877" cstate="email"/>
        <a:stretch>
          <a:fillRect/>
        </a:stretch>
      </xdr:blipFill>
      <xdr:spPr>
        <a:xfrm>
          <a:off x="985520" y="1333500"/>
          <a:ext cx="487680" cy="0"/>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xdr:cNvPicPr>
          <a:picLocks noChangeAspect="1"/>
        </xdr:cNvPicPr>
      </xdr:nvPicPr>
      <xdr:blipFill>
        <a:blip r:embed="rId878" cstate="email"/>
        <a:stretch>
          <a:fillRect/>
        </a:stretch>
      </xdr:blipFill>
      <xdr:spPr>
        <a:xfrm>
          <a:off x="985520" y="1333500"/>
          <a:ext cx="477520" cy="0"/>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xdr:cNvPicPr>
          <a:picLocks noChangeAspect="1"/>
        </xdr:cNvPicPr>
      </xdr:nvPicPr>
      <xdr:blipFill>
        <a:blip r:embed="rId879" cstate="email"/>
        <a:stretch>
          <a:fillRect/>
        </a:stretch>
      </xdr:blipFill>
      <xdr:spPr>
        <a:xfrm>
          <a:off x="985520" y="1333500"/>
          <a:ext cx="477520" cy="0"/>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xdr:cNvPicPr>
          <a:picLocks noChangeAspect="1"/>
        </xdr:cNvPicPr>
      </xdr:nvPicPr>
      <xdr:blipFill>
        <a:blip r:embed="rId878" cstate="email"/>
        <a:stretch>
          <a:fillRect/>
        </a:stretch>
      </xdr:blipFill>
      <xdr:spPr>
        <a:xfrm>
          <a:off x="985520" y="1333500"/>
          <a:ext cx="477520" cy="0"/>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xdr:cNvPicPr>
          <a:picLocks noChangeAspect="1"/>
        </xdr:cNvPicPr>
      </xdr:nvPicPr>
      <xdr:blipFill>
        <a:blip r:embed="rId880" cstate="email"/>
        <a:stretch>
          <a:fillRect/>
        </a:stretch>
      </xdr:blipFill>
      <xdr:spPr>
        <a:xfrm>
          <a:off x="1005840" y="1333500"/>
          <a:ext cx="487680" cy="0"/>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xdr:cNvPicPr>
          <a:picLocks noChangeAspect="1"/>
        </xdr:cNvPicPr>
      </xdr:nvPicPr>
      <xdr:blipFill>
        <a:blip r:embed="rId880" cstate="email"/>
        <a:stretch>
          <a:fillRect/>
        </a:stretch>
      </xdr:blipFill>
      <xdr:spPr>
        <a:xfrm>
          <a:off x="1005840" y="1333500"/>
          <a:ext cx="487680" cy="0"/>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xdr:cNvPicPr>
          <a:picLocks noChangeAspect="1"/>
        </xdr:cNvPicPr>
      </xdr:nvPicPr>
      <xdr:blipFill>
        <a:blip r:embed="rId881" cstate="email"/>
        <a:stretch>
          <a:fillRect/>
        </a:stretch>
      </xdr:blipFill>
      <xdr:spPr>
        <a:xfrm>
          <a:off x="1026160" y="1333500"/>
          <a:ext cx="487680" cy="0"/>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xdr:cNvPicPr>
          <a:picLocks noChangeAspect="1"/>
        </xdr:cNvPicPr>
      </xdr:nvPicPr>
      <xdr:blipFill>
        <a:blip r:embed="rId882" cstate="email"/>
        <a:stretch>
          <a:fillRect/>
        </a:stretch>
      </xdr:blipFill>
      <xdr:spPr>
        <a:xfrm>
          <a:off x="1008380" y="1333500"/>
          <a:ext cx="494665" cy="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xdr:cNvPicPr>
          <a:picLocks noChangeAspect="1"/>
        </xdr:cNvPicPr>
      </xdr:nvPicPr>
      <xdr:blipFill>
        <a:blip r:embed="rId883" cstate="email"/>
        <a:stretch>
          <a:fillRect/>
        </a:stretch>
      </xdr:blipFill>
      <xdr:spPr>
        <a:xfrm>
          <a:off x="975360" y="1333500"/>
          <a:ext cx="494665" cy="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xdr:cNvPicPr>
          <a:picLocks noChangeAspect="1"/>
        </xdr:cNvPicPr>
      </xdr:nvPicPr>
      <xdr:blipFill>
        <a:blip r:embed="rId882" cstate="email"/>
        <a:stretch>
          <a:fillRect/>
        </a:stretch>
      </xdr:blipFill>
      <xdr:spPr>
        <a:xfrm>
          <a:off x="970280" y="1333500"/>
          <a:ext cx="494665" cy="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xdr:cNvPicPr>
          <a:picLocks noChangeAspect="1"/>
        </xdr:cNvPicPr>
      </xdr:nvPicPr>
      <xdr:blipFill>
        <a:blip r:embed="rId882" cstate="email"/>
        <a:stretch>
          <a:fillRect/>
        </a:stretch>
      </xdr:blipFill>
      <xdr:spPr>
        <a:xfrm>
          <a:off x="975360" y="1333500"/>
          <a:ext cx="494665" cy="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xdr:cNvPicPr>
          <a:picLocks noChangeAspect="1"/>
        </xdr:cNvPicPr>
      </xdr:nvPicPr>
      <xdr:blipFill>
        <a:blip r:embed="rId881" cstate="email"/>
        <a:stretch>
          <a:fillRect/>
        </a:stretch>
      </xdr:blipFill>
      <xdr:spPr>
        <a:xfrm>
          <a:off x="1016000" y="1333500"/>
          <a:ext cx="487680" cy="0"/>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xdr:cNvPicPr>
          <a:picLocks noChangeAspect="1"/>
        </xdr:cNvPicPr>
      </xdr:nvPicPr>
      <xdr:blipFill>
        <a:blip r:embed="rId881" cstate="email"/>
        <a:stretch>
          <a:fillRect/>
        </a:stretch>
      </xdr:blipFill>
      <xdr:spPr>
        <a:xfrm>
          <a:off x="995680" y="1333500"/>
          <a:ext cx="487680" cy="0"/>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xdr:cNvPicPr>
          <a:picLocks noChangeAspect="1"/>
        </xdr:cNvPicPr>
      </xdr:nvPicPr>
      <xdr:blipFill>
        <a:blip r:embed="rId884" cstate="email"/>
        <a:stretch>
          <a:fillRect/>
        </a:stretch>
      </xdr:blipFill>
      <xdr:spPr>
        <a:xfrm>
          <a:off x="944880" y="1333500"/>
          <a:ext cx="487680" cy="0"/>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xdr:cNvPicPr>
          <a:picLocks noChangeAspect="1"/>
        </xdr:cNvPicPr>
      </xdr:nvPicPr>
      <xdr:blipFill>
        <a:blip r:embed="rId884" cstate="email"/>
        <a:stretch>
          <a:fillRect/>
        </a:stretch>
      </xdr:blipFill>
      <xdr:spPr>
        <a:xfrm>
          <a:off x="944880" y="1333500"/>
          <a:ext cx="487680" cy="0"/>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xdr:cNvPicPr>
          <a:picLocks noChangeAspect="1"/>
        </xdr:cNvPicPr>
      </xdr:nvPicPr>
      <xdr:blipFill>
        <a:blip r:embed="rId885" cstate="email"/>
        <a:stretch>
          <a:fillRect/>
        </a:stretch>
      </xdr:blipFill>
      <xdr:spPr>
        <a:xfrm>
          <a:off x="985520" y="1333500"/>
          <a:ext cx="476885" cy="0"/>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xdr:cNvPicPr>
          <a:picLocks noChangeAspect="1"/>
        </xdr:cNvPicPr>
      </xdr:nvPicPr>
      <xdr:blipFill>
        <a:blip r:embed="rId886" cstate="email"/>
        <a:stretch>
          <a:fillRect/>
        </a:stretch>
      </xdr:blipFill>
      <xdr:spPr>
        <a:xfrm>
          <a:off x="965200" y="1333500"/>
          <a:ext cx="629920" cy="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xdr:cNvPicPr>
          <a:picLocks noChangeAspect="1"/>
        </xdr:cNvPicPr>
      </xdr:nvPicPr>
      <xdr:blipFill>
        <a:blip r:embed="rId887" cstate="email"/>
        <a:stretch>
          <a:fillRect/>
        </a:stretch>
      </xdr:blipFill>
      <xdr:spPr>
        <a:xfrm>
          <a:off x="1005840" y="1333500"/>
          <a:ext cx="497205" cy="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xdr:cNvPicPr>
          <a:picLocks noChangeAspect="1"/>
        </xdr:cNvPicPr>
      </xdr:nvPicPr>
      <xdr:blipFill>
        <a:blip r:embed="rId888" cstate="email"/>
        <a:stretch>
          <a:fillRect/>
        </a:stretch>
      </xdr:blipFill>
      <xdr:spPr>
        <a:xfrm>
          <a:off x="985520" y="1333500"/>
          <a:ext cx="497840" cy="0"/>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xdr:cNvPicPr>
          <a:picLocks noChangeAspect="1"/>
        </xdr:cNvPicPr>
      </xdr:nvPicPr>
      <xdr:blipFill>
        <a:blip r:embed="rId887" cstate="email"/>
        <a:stretch>
          <a:fillRect/>
        </a:stretch>
      </xdr:blipFill>
      <xdr:spPr>
        <a:xfrm>
          <a:off x="1016000" y="1333500"/>
          <a:ext cx="497205" cy="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xdr:cNvPicPr>
          <a:picLocks noChangeAspect="1"/>
        </xdr:cNvPicPr>
      </xdr:nvPicPr>
      <xdr:blipFill>
        <a:blip r:embed="rId887" cstate="email"/>
        <a:stretch>
          <a:fillRect/>
        </a:stretch>
      </xdr:blipFill>
      <xdr:spPr>
        <a:xfrm>
          <a:off x="1026160" y="1333500"/>
          <a:ext cx="497205" cy="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xdr:cNvPicPr>
          <a:picLocks noChangeAspect="1"/>
        </xdr:cNvPicPr>
      </xdr:nvPicPr>
      <xdr:blipFill>
        <a:blip r:embed="rId888" cstate="email"/>
        <a:stretch>
          <a:fillRect/>
        </a:stretch>
      </xdr:blipFill>
      <xdr:spPr>
        <a:xfrm>
          <a:off x="1016000" y="1333500"/>
          <a:ext cx="497840" cy="0"/>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xdr:cNvPicPr>
          <a:picLocks noChangeAspect="1"/>
        </xdr:cNvPicPr>
      </xdr:nvPicPr>
      <xdr:blipFill>
        <a:blip r:embed="rId889" cstate="email"/>
        <a:stretch>
          <a:fillRect/>
        </a:stretch>
      </xdr:blipFill>
      <xdr:spPr>
        <a:xfrm>
          <a:off x="1036320" y="1333500"/>
          <a:ext cx="487680" cy="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xdr:cNvPicPr>
          <a:picLocks noChangeAspect="1"/>
        </xdr:cNvPicPr>
      </xdr:nvPicPr>
      <xdr:blipFill>
        <a:blip r:embed="rId890" cstate="email"/>
        <a:stretch>
          <a:fillRect/>
        </a:stretch>
      </xdr:blipFill>
      <xdr:spPr>
        <a:xfrm>
          <a:off x="1017905" y="1333500"/>
          <a:ext cx="485775" cy="0"/>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xdr:cNvPicPr>
          <a:picLocks noChangeAspect="1"/>
        </xdr:cNvPicPr>
      </xdr:nvPicPr>
      <xdr:blipFill>
        <a:blip r:embed="rId891" cstate="email"/>
        <a:stretch>
          <a:fillRect/>
        </a:stretch>
      </xdr:blipFill>
      <xdr:spPr>
        <a:xfrm>
          <a:off x="944880" y="1333500"/>
          <a:ext cx="485140" cy="0"/>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xdr:cNvPicPr>
          <a:picLocks noChangeAspect="1"/>
        </xdr:cNvPicPr>
      </xdr:nvPicPr>
      <xdr:blipFill>
        <a:blip r:embed="rId892" cstate="email"/>
        <a:stretch>
          <a:fillRect/>
        </a:stretch>
      </xdr:blipFill>
      <xdr:spPr>
        <a:xfrm>
          <a:off x="975360" y="1333500"/>
          <a:ext cx="485140" cy="0"/>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xdr:cNvPicPr>
          <a:picLocks noChangeAspect="1"/>
        </xdr:cNvPicPr>
      </xdr:nvPicPr>
      <xdr:blipFill>
        <a:blip r:embed="rId892" cstate="email"/>
        <a:stretch>
          <a:fillRect/>
        </a:stretch>
      </xdr:blipFill>
      <xdr:spPr>
        <a:xfrm>
          <a:off x="965200" y="1333500"/>
          <a:ext cx="485140" cy="0"/>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xdr:cNvPicPr>
          <a:picLocks noChangeAspect="1"/>
        </xdr:cNvPicPr>
      </xdr:nvPicPr>
      <xdr:blipFill>
        <a:blip r:embed="rId893" cstate="email"/>
        <a:stretch>
          <a:fillRect/>
        </a:stretch>
      </xdr:blipFill>
      <xdr:spPr>
        <a:xfrm>
          <a:off x="976630" y="1333500"/>
          <a:ext cx="496570" cy="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xdr:cNvPicPr>
          <a:picLocks noChangeAspect="1"/>
        </xdr:cNvPicPr>
      </xdr:nvPicPr>
      <xdr:blipFill>
        <a:blip r:embed="rId893" cstate="email"/>
        <a:stretch>
          <a:fillRect/>
        </a:stretch>
      </xdr:blipFill>
      <xdr:spPr>
        <a:xfrm>
          <a:off x="975360" y="1333500"/>
          <a:ext cx="495935" cy="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xdr:cNvPicPr>
          <a:picLocks noChangeAspect="1"/>
        </xdr:cNvPicPr>
      </xdr:nvPicPr>
      <xdr:blipFill>
        <a:blip r:embed="rId894" cstate="email"/>
        <a:stretch>
          <a:fillRect/>
        </a:stretch>
      </xdr:blipFill>
      <xdr:spPr>
        <a:xfrm>
          <a:off x="944880" y="1333500"/>
          <a:ext cx="495935" cy="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xdr:cNvPicPr>
          <a:picLocks noChangeAspect="1"/>
        </xdr:cNvPicPr>
      </xdr:nvPicPr>
      <xdr:blipFill>
        <a:blip r:embed="rId895" cstate="email"/>
        <a:stretch>
          <a:fillRect/>
        </a:stretch>
      </xdr:blipFill>
      <xdr:spPr>
        <a:xfrm>
          <a:off x="985520" y="1333500"/>
          <a:ext cx="476250" cy="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xdr:cNvPicPr>
          <a:picLocks noChangeAspect="1"/>
        </xdr:cNvPicPr>
      </xdr:nvPicPr>
      <xdr:blipFill>
        <a:blip r:embed="rId896" cstate="email"/>
        <a:stretch>
          <a:fillRect/>
        </a:stretch>
      </xdr:blipFill>
      <xdr:spPr>
        <a:xfrm>
          <a:off x="985520" y="1333500"/>
          <a:ext cx="561975" cy="0"/>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xdr:cNvPicPr>
          <a:picLocks noChangeAspect="1"/>
        </xdr:cNvPicPr>
      </xdr:nvPicPr>
      <xdr:blipFill>
        <a:blip r:embed="rId896" cstate="email"/>
        <a:stretch>
          <a:fillRect/>
        </a:stretch>
      </xdr:blipFill>
      <xdr:spPr>
        <a:xfrm>
          <a:off x="985520" y="1333500"/>
          <a:ext cx="561975" cy="0"/>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xdr:cNvPicPr>
          <a:picLocks noChangeAspect="1"/>
        </xdr:cNvPicPr>
      </xdr:nvPicPr>
      <xdr:blipFill>
        <a:blip r:embed="rId897" cstate="email"/>
        <a:stretch>
          <a:fillRect/>
        </a:stretch>
      </xdr:blipFill>
      <xdr:spPr>
        <a:xfrm>
          <a:off x="985520" y="1333500"/>
          <a:ext cx="457200" cy="0"/>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xdr:cNvPicPr>
          <a:picLocks noChangeAspect="1"/>
        </xdr:cNvPicPr>
      </xdr:nvPicPr>
      <xdr:blipFill>
        <a:blip r:embed="rId897" cstate="email"/>
        <a:stretch>
          <a:fillRect/>
        </a:stretch>
      </xdr:blipFill>
      <xdr:spPr>
        <a:xfrm>
          <a:off x="985520" y="1333500"/>
          <a:ext cx="457200" cy="0"/>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xdr:cNvPicPr>
          <a:picLocks noChangeAspect="1"/>
        </xdr:cNvPicPr>
      </xdr:nvPicPr>
      <xdr:blipFill>
        <a:blip r:embed="rId898" cstate="email"/>
        <a:stretch>
          <a:fillRect/>
        </a:stretch>
      </xdr:blipFill>
      <xdr:spPr>
        <a:xfrm>
          <a:off x="985520" y="1333500"/>
          <a:ext cx="558800" cy="0"/>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xdr:cNvPicPr>
          <a:picLocks noChangeAspect="1"/>
        </xdr:cNvPicPr>
      </xdr:nvPicPr>
      <xdr:blipFill>
        <a:blip r:embed="rId899" cstate="email"/>
        <a:stretch>
          <a:fillRect/>
        </a:stretch>
      </xdr:blipFill>
      <xdr:spPr>
        <a:xfrm>
          <a:off x="989965" y="1333500"/>
          <a:ext cx="645795" cy="0"/>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xdr:cNvPicPr>
          <a:picLocks noChangeAspect="1"/>
        </xdr:cNvPicPr>
      </xdr:nvPicPr>
      <xdr:blipFill>
        <a:blip r:embed="rId900" cstate="email"/>
        <a:stretch>
          <a:fillRect/>
        </a:stretch>
      </xdr:blipFill>
      <xdr:spPr>
        <a:xfrm>
          <a:off x="950595" y="1333500"/>
          <a:ext cx="489585" cy="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xdr:cNvPicPr>
          <a:picLocks noChangeAspect="1"/>
        </xdr:cNvPicPr>
      </xdr:nvPicPr>
      <xdr:blipFill>
        <a:blip r:embed="rId901" cstate="email"/>
        <a:stretch>
          <a:fillRect/>
        </a:stretch>
      </xdr:blipFill>
      <xdr:spPr>
        <a:xfrm>
          <a:off x="1059180" y="1333500"/>
          <a:ext cx="478790" cy="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xdr:cNvPicPr>
          <a:picLocks noChangeAspect="1"/>
        </xdr:cNvPicPr>
      </xdr:nvPicPr>
      <xdr:blipFill>
        <a:blip r:embed="rId902" cstate="email"/>
        <a:stretch>
          <a:fillRect/>
        </a:stretch>
      </xdr:blipFill>
      <xdr:spPr>
        <a:xfrm>
          <a:off x="1062355" y="1333500"/>
          <a:ext cx="479425" cy="0"/>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xdr:cNvPicPr>
          <a:picLocks noChangeAspect="1"/>
        </xdr:cNvPicPr>
      </xdr:nvPicPr>
      <xdr:blipFill>
        <a:blip r:embed="rId903" cstate="email"/>
        <a:stretch>
          <a:fillRect/>
        </a:stretch>
      </xdr:blipFill>
      <xdr:spPr>
        <a:xfrm>
          <a:off x="1036320" y="1333500"/>
          <a:ext cx="445770" cy="0"/>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xdr:cNvPicPr>
          <a:picLocks noChangeAspect="1"/>
        </xdr:cNvPicPr>
      </xdr:nvPicPr>
      <xdr:blipFill>
        <a:blip r:embed="rId904" cstate="email"/>
        <a:stretch>
          <a:fillRect/>
        </a:stretch>
      </xdr:blipFill>
      <xdr:spPr>
        <a:xfrm>
          <a:off x="990600" y="1333500"/>
          <a:ext cx="467360" cy="0"/>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xdr:cNvPicPr>
          <a:picLocks noChangeAspect="1"/>
        </xdr:cNvPicPr>
      </xdr:nvPicPr>
      <xdr:blipFill>
        <a:blip r:embed="rId905" cstate="email"/>
        <a:stretch>
          <a:fillRect/>
        </a:stretch>
      </xdr:blipFill>
      <xdr:spPr>
        <a:xfrm>
          <a:off x="972185" y="1333500"/>
          <a:ext cx="480695" cy="0"/>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xdr:cNvPicPr>
          <a:picLocks noChangeAspect="1"/>
        </xdr:cNvPicPr>
      </xdr:nvPicPr>
      <xdr:blipFill>
        <a:blip r:embed="rId906" cstate="email"/>
        <a:stretch>
          <a:fillRect/>
        </a:stretch>
      </xdr:blipFill>
      <xdr:spPr>
        <a:xfrm>
          <a:off x="1012825" y="1333500"/>
          <a:ext cx="537845" cy="0"/>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xdr:cNvPicPr>
          <a:picLocks noChangeAspect="1"/>
        </xdr:cNvPicPr>
      </xdr:nvPicPr>
      <xdr:blipFill>
        <a:blip r:embed="rId906" cstate="email"/>
        <a:stretch>
          <a:fillRect/>
        </a:stretch>
      </xdr:blipFill>
      <xdr:spPr>
        <a:xfrm>
          <a:off x="999490" y="1333500"/>
          <a:ext cx="537845" cy="0"/>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xdr:cNvPicPr>
          <a:picLocks noChangeAspect="1"/>
        </xdr:cNvPicPr>
      </xdr:nvPicPr>
      <xdr:blipFill>
        <a:blip r:embed="rId907" cstate="email"/>
        <a:stretch>
          <a:fillRect/>
        </a:stretch>
      </xdr:blipFill>
      <xdr:spPr>
        <a:xfrm>
          <a:off x="987425" y="1333500"/>
          <a:ext cx="480695" cy="0"/>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xdr:cNvPicPr>
          <a:picLocks noChangeAspect="1"/>
        </xdr:cNvPicPr>
      </xdr:nvPicPr>
      <xdr:blipFill>
        <a:blip r:embed="rId905" cstate="email"/>
        <a:stretch>
          <a:fillRect/>
        </a:stretch>
      </xdr:blipFill>
      <xdr:spPr>
        <a:xfrm>
          <a:off x="999490" y="1333500"/>
          <a:ext cx="480695" cy="0"/>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xdr:cNvPicPr>
          <a:picLocks noChangeAspect="1"/>
        </xdr:cNvPicPr>
      </xdr:nvPicPr>
      <xdr:blipFill>
        <a:blip r:embed="rId908" cstate="email"/>
        <a:stretch>
          <a:fillRect/>
        </a:stretch>
      </xdr:blipFill>
      <xdr:spPr>
        <a:xfrm>
          <a:off x="984250" y="1333500"/>
          <a:ext cx="530225" cy="0"/>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xdr:cNvPicPr>
          <a:picLocks noChangeAspect="1"/>
        </xdr:cNvPicPr>
      </xdr:nvPicPr>
      <xdr:blipFill>
        <a:blip r:embed="rId909" cstate="email"/>
        <a:stretch>
          <a:fillRect/>
        </a:stretch>
      </xdr:blipFill>
      <xdr:spPr>
        <a:xfrm>
          <a:off x="1002030" y="1333500"/>
          <a:ext cx="528955" cy="0"/>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xdr:cNvPicPr>
          <a:picLocks noChangeAspect="1"/>
        </xdr:cNvPicPr>
      </xdr:nvPicPr>
      <xdr:blipFill>
        <a:blip r:embed="rId910" cstate="email"/>
        <a:stretch>
          <a:fillRect/>
        </a:stretch>
      </xdr:blipFill>
      <xdr:spPr>
        <a:xfrm>
          <a:off x="1024890" y="1333500"/>
          <a:ext cx="416560" cy="0"/>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xdr:cNvPicPr>
          <a:picLocks noChangeAspect="1"/>
        </xdr:cNvPicPr>
      </xdr:nvPicPr>
      <xdr:blipFill>
        <a:blip r:embed="rId911" cstate="email"/>
        <a:stretch>
          <a:fillRect/>
        </a:stretch>
      </xdr:blipFill>
      <xdr:spPr>
        <a:xfrm>
          <a:off x="964565" y="1333500"/>
          <a:ext cx="533400" cy="0"/>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xdr:cNvPicPr>
          <a:picLocks noChangeAspect="1"/>
        </xdr:cNvPicPr>
      </xdr:nvPicPr>
      <xdr:blipFill>
        <a:blip r:embed="rId911" cstate="email"/>
        <a:stretch>
          <a:fillRect/>
        </a:stretch>
      </xdr:blipFill>
      <xdr:spPr>
        <a:xfrm>
          <a:off x="969010" y="1333500"/>
          <a:ext cx="533400" cy="0"/>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xdr:cNvPicPr>
          <a:picLocks noChangeAspect="1"/>
        </xdr:cNvPicPr>
      </xdr:nvPicPr>
      <xdr:blipFill>
        <a:blip r:embed="rId912" cstate="email"/>
        <a:stretch>
          <a:fillRect/>
        </a:stretch>
      </xdr:blipFill>
      <xdr:spPr>
        <a:xfrm>
          <a:off x="960755" y="1333500"/>
          <a:ext cx="472440" cy="0"/>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xdr:cNvPicPr>
          <a:picLocks noChangeAspect="1"/>
        </xdr:cNvPicPr>
      </xdr:nvPicPr>
      <xdr:blipFill>
        <a:blip r:embed="rId913" cstate="email"/>
        <a:stretch>
          <a:fillRect/>
        </a:stretch>
      </xdr:blipFill>
      <xdr:spPr>
        <a:xfrm>
          <a:off x="1058545" y="1333500"/>
          <a:ext cx="358140" cy="0"/>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xdr:cNvPicPr>
          <a:picLocks noChangeAspect="1"/>
        </xdr:cNvPicPr>
      </xdr:nvPicPr>
      <xdr:blipFill>
        <a:blip r:embed="rId914" cstate="email"/>
        <a:stretch>
          <a:fillRect/>
        </a:stretch>
      </xdr:blipFill>
      <xdr:spPr>
        <a:xfrm>
          <a:off x="1022350" y="1333500"/>
          <a:ext cx="353695" cy="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xdr:cNvPicPr>
          <a:picLocks noChangeAspect="1"/>
        </xdr:cNvPicPr>
      </xdr:nvPicPr>
      <xdr:blipFill>
        <a:blip r:embed="rId915" cstate="email"/>
        <a:stretch>
          <a:fillRect/>
        </a:stretch>
      </xdr:blipFill>
      <xdr:spPr>
        <a:xfrm>
          <a:off x="981710" y="1333500"/>
          <a:ext cx="492125" cy="0"/>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xdr:cNvPicPr>
          <a:picLocks noChangeAspect="1"/>
        </xdr:cNvPicPr>
      </xdr:nvPicPr>
      <xdr:blipFill>
        <a:blip r:embed="rId916" cstate="email"/>
        <a:stretch>
          <a:fillRect/>
        </a:stretch>
      </xdr:blipFill>
      <xdr:spPr>
        <a:xfrm>
          <a:off x="993140" y="1333500"/>
          <a:ext cx="602615" cy="0"/>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xdr:cNvPicPr>
          <a:picLocks noChangeAspect="1"/>
        </xdr:cNvPicPr>
      </xdr:nvPicPr>
      <xdr:blipFill>
        <a:blip r:embed="rId917" cstate="email"/>
        <a:stretch>
          <a:fillRect/>
        </a:stretch>
      </xdr:blipFill>
      <xdr:spPr>
        <a:xfrm>
          <a:off x="980440" y="1333500"/>
          <a:ext cx="602615" cy="0"/>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xdr:cNvPicPr>
          <a:picLocks noChangeAspect="1"/>
        </xdr:cNvPicPr>
      </xdr:nvPicPr>
      <xdr:blipFill>
        <a:blip r:embed="rId918" cstate="email"/>
        <a:stretch>
          <a:fillRect/>
        </a:stretch>
      </xdr:blipFill>
      <xdr:spPr>
        <a:xfrm>
          <a:off x="983615" y="1333500"/>
          <a:ext cx="489585" cy="0"/>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xdr:cNvPicPr>
          <a:picLocks noChangeAspect="1"/>
        </xdr:cNvPicPr>
      </xdr:nvPicPr>
      <xdr:blipFill>
        <a:blip r:embed="rId919" cstate="email"/>
        <a:stretch>
          <a:fillRect/>
        </a:stretch>
      </xdr:blipFill>
      <xdr:spPr>
        <a:xfrm>
          <a:off x="985520" y="1333500"/>
          <a:ext cx="497840" cy="0"/>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xdr:cNvPicPr>
          <a:picLocks noChangeAspect="1"/>
        </xdr:cNvPicPr>
      </xdr:nvPicPr>
      <xdr:blipFill>
        <a:blip r:embed="rId920" cstate="email"/>
        <a:stretch>
          <a:fillRect/>
        </a:stretch>
      </xdr:blipFill>
      <xdr:spPr>
        <a:xfrm>
          <a:off x="1012190" y="1333500"/>
          <a:ext cx="491490" cy="0"/>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xdr:cNvPicPr>
          <a:picLocks noChangeAspect="1"/>
        </xdr:cNvPicPr>
      </xdr:nvPicPr>
      <xdr:blipFill>
        <a:blip r:embed="rId921" cstate="email"/>
        <a:stretch>
          <a:fillRect/>
        </a:stretch>
      </xdr:blipFill>
      <xdr:spPr>
        <a:xfrm>
          <a:off x="968375" y="1333500"/>
          <a:ext cx="455930" cy="0"/>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xdr:cNvPicPr>
          <a:picLocks noChangeAspect="1"/>
        </xdr:cNvPicPr>
      </xdr:nvPicPr>
      <xdr:blipFill>
        <a:blip r:embed="rId922" cstate="email"/>
        <a:stretch>
          <a:fillRect/>
        </a:stretch>
      </xdr:blipFill>
      <xdr:spPr>
        <a:xfrm>
          <a:off x="978535" y="1333500"/>
          <a:ext cx="455295" cy="0"/>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xdr:cNvPicPr>
          <a:picLocks noChangeAspect="1"/>
        </xdr:cNvPicPr>
      </xdr:nvPicPr>
      <xdr:blipFill>
        <a:blip r:embed="rId923" cstate="email"/>
        <a:stretch>
          <a:fillRect/>
        </a:stretch>
      </xdr:blipFill>
      <xdr:spPr>
        <a:xfrm>
          <a:off x="988060" y="1333500"/>
          <a:ext cx="455930" cy="0"/>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xdr:cNvPicPr>
          <a:picLocks noChangeAspect="1"/>
        </xdr:cNvPicPr>
      </xdr:nvPicPr>
      <xdr:blipFill>
        <a:blip r:embed="rId923" cstate="email"/>
        <a:stretch>
          <a:fillRect/>
        </a:stretch>
      </xdr:blipFill>
      <xdr:spPr>
        <a:xfrm>
          <a:off x="1010285" y="1333500"/>
          <a:ext cx="455295" cy="0"/>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xdr:cNvPicPr>
          <a:picLocks noChangeAspect="1"/>
        </xdr:cNvPicPr>
      </xdr:nvPicPr>
      <xdr:blipFill>
        <a:blip r:embed="rId884" cstate="email"/>
        <a:stretch>
          <a:fillRect/>
        </a:stretch>
      </xdr:blipFill>
      <xdr:spPr>
        <a:xfrm>
          <a:off x="944880" y="1333500"/>
          <a:ext cx="487680" cy="0"/>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xdr:cNvPicPr>
          <a:picLocks noChangeAspect="1"/>
        </xdr:cNvPicPr>
      </xdr:nvPicPr>
      <xdr:blipFill>
        <a:blip r:embed="rId845" cstate="email"/>
        <a:stretch>
          <a:fillRect/>
        </a:stretch>
      </xdr:blipFill>
      <xdr:spPr>
        <a:xfrm>
          <a:off x="1090295" y="1333500"/>
          <a:ext cx="387350" cy="0"/>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xdr:cNvPicPr>
          <a:picLocks noChangeAspect="1"/>
        </xdr:cNvPicPr>
      </xdr:nvPicPr>
      <xdr:blipFill>
        <a:blip r:embed="rId845" cstate="email"/>
        <a:stretch>
          <a:fillRect/>
        </a:stretch>
      </xdr:blipFill>
      <xdr:spPr>
        <a:xfrm>
          <a:off x="1090295" y="1333500"/>
          <a:ext cx="387350" cy="0"/>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xdr:cNvPicPr>
          <a:picLocks noChangeAspect="1"/>
        </xdr:cNvPicPr>
      </xdr:nvPicPr>
      <xdr:blipFill>
        <a:blip r:embed="rId845" cstate="email"/>
        <a:stretch>
          <a:fillRect/>
        </a:stretch>
      </xdr:blipFill>
      <xdr:spPr>
        <a:xfrm>
          <a:off x="1090295" y="1333500"/>
          <a:ext cx="387350" cy="0"/>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xdr:cNvPicPr>
          <a:picLocks noChangeAspect="1"/>
        </xdr:cNvPicPr>
      </xdr:nvPicPr>
      <xdr:blipFill>
        <a:blip r:embed="rId884" cstate="email"/>
        <a:stretch>
          <a:fillRect/>
        </a:stretch>
      </xdr:blipFill>
      <xdr:spPr>
        <a:xfrm>
          <a:off x="978535" y="1333500"/>
          <a:ext cx="487680" cy="0"/>
        </a:xfrm>
        <a:prstGeom prst="rect">
          <a:avLst/>
        </a:prstGeom>
      </xdr:spPr>
    </xdr:pic>
    <xdr:clientData/>
  </xdr:twoCellAnchor>
  <xdr:twoCellAnchor>
    <xdr:from>
      <xdr:col>1</xdr:col>
      <xdr:colOff>33867</xdr:colOff>
      <xdr:row>1731</xdr:row>
      <xdr:rowOff>95673</xdr:rowOff>
    </xdr:from>
    <xdr:to>
      <xdr:col>1</xdr:col>
      <xdr:colOff>528740</xdr:colOff>
      <xdr:row>1733</xdr:row>
      <xdr:rowOff>187113</xdr:rowOff>
    </xdr:to>
    <xdr:pic>
      <xdr:nvPicPr>
        <xdr:cNvPr id="1098" name="Picture 1097"/>
        <xdr:cNvPicPr>
          <a:picLocks noChangeAspect="1"/>
        </xdr:cNvPicPr>
      </xdr:nvPicPr>
      <xdr:blipFill>
        <a:blip r:embed="rId924" cstate="email"/>
        <a:stretch>
          <a:fillRect/>
        </a:stretch>
      </xdr:blipFill>
      <xdr:spPr>
        <a:xfrm>
          <a:off x="978535" y="49592230"/>
          <a:ext cx="494665"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xdr:cNvPicPr>
          <a:picLocks noChangeAspect="1"/>
        </xdr:cNvPicPr>
      </xdr:nvPicPr>
      <xdr:blipFill>
        <a:blip r:embed="rId882" cstate="email"/>
        <a:stretch>
          <a:fillRect/>
        </a:stretch>
      </xdr:blipFill>
      <xdr:spPr>
        <a:xfrm>
          <a:off x="1046480" y="1333500"/>
          <a:ext cx="494665" cy="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xdr:cNvPicPr>
          <a:picLocks noChangeAspect="1"/>
        </xdr:cNvPicPr>
      </xdr:nvPicPr>
      <xdr:blipFill>
        <a:blip r:embed="rId882" cstate="email"/>
        <a:stretch>
          <a:fillRect/>
        </a:stretch>
      </xdr:blipFill>
      <xdr:spPr>
        <a:xfrm>
          <a:off x="944880" y="1333500"/>
          <a:ext cx="494665" cy="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xdr:cNvPicPr>
          <a:picLocks noChangeAspect="1"/>
        </xdr:cNvPicPr>
      </xdr:nvPicPr>
      <xdr:blipFill>
        <a:blip r:embed="rId882" cstate="email"/>
        <a:stretch>
          <a:fillRect/>
        </a:stretch>
      </xdr:blipFill>
      <xdr:spPr>
        <a:xfrm>
          <a:off x="944880" y="1333500"/>
          <a:ext cx="494665" cy="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xdr:cNvPicPr>
          <a:picLocks noChangeAspect="1"/>
        </xdr:cNvPicPr>
      </xdr:nvPicPr>
      <xdr:blipFill>
        <a:blip r:embed="rId882" cstate="email"/>
        <a:stretch>
          <a:fillRect/>
        </a:stretch>
      </xdr:blipFill>
      <xdr:spPr>
        <a:xfrm>
          <a:off x="1021080" y="1333500"/>
          <a:ext cx="494665" cy="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xdr:cNvPicPr>
          <a:picLocks noChangeAspect="1"/>
        </xdr:cNvPicPr>
      </xdr:nvPicPr>
      <xdr:blipFill>
        <a:blip r:embed="rId882" cstate="email"/>
        <a:stretch>
          <a:fillRect/>
        </a:stretch>
      </xdr:blipFill>
      <xdr:spPr>
        <a:xfrm>
          <a:off x="944880" y="1333500"/>
          <a:ext cx="494665" cy="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xdr:cNvPicPr>
          <a:picLocks noChangeAspect="1"/>
        </xdr:cNvPicPr>
      </xdr:nvPicPr>
      <xdr:blipFill>
        <a:blip r:embed="rId882" cstate="email"/>
        <a:stretch>
          <a:fillRect/>
        </a:stretch>
      </xdr:blipFill>
      <xdr:spPr>
        <a:xfrm>
          <a:off x="944880" y="1333500"/>
          <a:ext cx="494665" cy="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xdr:cNvPicPr>
          <a:picLocks noChangeAspect="1"/>
        </xdr:cNvPicPr>
      </xdr:nvPicPr>
      <xdr:blipFill>
        <a:blip r:embed="rId882" cstate="email"/>
        <a:stretch>
          <a:fillRect/>
        </a:stretch>
      </xdr:blipFill>
      <xdr:spPr>
        <a:xfrm>
          <a:off x="944880" y="1333500"/>
          <a:ext cx="494665" cy="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xdr:cNvPicPr>
          <a:picLocks noChangeAspect="1"/>
        </xdr:cNvPicPr>
      </xdr:nvPicPr>
      <xdr:blipFill>
        <a:blip r:embed="rId882" cstate="email"/>
        <a:stretch>
          <a:fillRect/>
        </a:stretch>
      </xdr:blipFill>
      <xdr:spPr>
        <a:xfrm>
          <a:off x="944880" y="1333500"/>
          <a:ext cx="494665" cy="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xdr:cNvPicPr>
          <a:picLocks noChangeAspect="1"/>
        </xdr:cNvPicPr>
      </xdr:nvPicPr>
      <xdr:blipFill>
        <a:blip r:embed="rId925" cstate="email"/>
        <a:stretch>
          <a:fillRect/>
        </a:stretch>
      </xdr:blipFill>
      <xdr:spPr>
        <a:xfrm>
          <a:off x="986790" y="698500"/>
          <a:ext cx="584200" cy="0"/>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xdr:cNvPicPr>
          <a:picLocks noChangeAspect="1"/>
        </xdr:cNvPicPr>
      </xdr:nvPicPr>
      <xdr:blipFill>
        <a:blip r:embed="rId926" cstate="email"/>
        <a:stretch>
          <a:fillRect/>
        </a:stretch>
      </xdr:blipFill>
      <xdr:spPr>
        <a:xfrm>
          <a:off x="956310" y="1333500"/>
          <a:ext cx="466090" cy="0"/>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xdr:cNvPicPr>
          <a:picLocks noChangeAspect="1"/>
        </xdr:cNvPicPr>
      </xdr:nvPicPr>
      <xdr:blipFill>
        <a:blip r:embed="rId927" cstate="email"/>
        <a:stretch>
          <a:fillRect/>
        </a:stretch>
      </xdr:blipFill>
      <xdr:spPr>
        <a:xfrm>
          <a:off x="975360" y="1333500"/>
          <a:ext cx="436880" cy="0"/>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xdr:cNvPicPr>
          <a:picLocks noChangeAspect="1"/>
        </xdr:cNvPicPr>
      </xdr:nvPicPr>
      <xdr:blipFill>
        <a:blip r:embed="rId928" cstate="email"/>
        <a:stretch>
          <a:fillRect/>
        </a:stretch>
      </xdr:blipFill>
      <xdr:spPr>
        <a:xfrm>
          <a:off x="985520" y="1333500"/>
          <a:ext cx="497840" cy="0"/>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xdr:cNvPicPr>
          <a:picLocks noChangeAspect="1"/>
        </xdr:cNvPicPr>
      </xdr:nvPicPr>
      <xdr:blipFill>
        <a:blip r:embed="rId929" cstate="email"/>
        <a:stretch>
          <a:fillRect/>
        </a:stretch>
      </xdr:blipFill>
      <xdr:spPr>
        <a:xfrm>
          <a:off x="985520" y="1333500"/>
          <a:ext cx="467360" cy="0"/>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xdr:cNvPicPr>
          <a:picLocks noChangeAspect="1"/>
        </xdr:cNvPicPr>
      </xdr:nvPicPr>
      <xdr:blipFill>
        <a:blip r:embed="rId930" cstate="email"/>
        <a:stretch>
          <a:fillRect/>
        </a:stretch>
      </xdr:blipFill>
      <xdr:spPr>
        <a:xfrm>
          <a:off x="999490" y="698500"/>
          <a:ext cx="469900" cy="0"/>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xdr:cNvPicPr>
          <a:picLocks noChangeAspect="1"/>
        </xdr:cNvPicPr>
      </xdr:nvPicPr>
      <xdr:blipFill>
        <a:blip r:embed="rId931" cstate="email"/>
        <a:stretch>
          <a:fillRect/>
        </a:stretch>
      </xdr:blipFill>
      <xdr:spPr>
        <a:xfrm>
          <a:off x="1013460" y="1333500"/>
          <a:ext cx="372745" cy="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xdr:cNvPicPr>
          <a:picLocks noChangeAspect="1"/>
        </xdr:cNvPicPr>
      </xdr:nvPicPr>
      <xdr:blipFill>
        <a:blip r:embed="rId844" cstate="email"/>
        <a:stretch>
          <a:fillRect/>
        </a:stretch>
      </xdr:blipFill>
      <xdr:spPr>
        <a:xfrm>
          <a:off x="1164590" y="1333500"/>
          <a:ext cx="469265" cy="0"/>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xdr:cNvPicPr>
          <a:picLocks noChangeAspect="1"/>
        </xdr:cNvPicPr>
      </xdr:nvPicPr>
      <xdr:blipFill>
        <a:blip r:embed="rId932" cstate="email"/>
        <a:stretch>
          <a:fillRect/>
        </a:stretch>
      </xdr:blipFill>
      <xdr:spPr>
        <a:xfrm>
          <a:off x="1046480" y="1333500"/>
          <a:ext cx="520700" cy="0"/>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xdr:cNvPicPr>
          <a:picLocks noChangeAspect="1"/>
        </xdr:cNvPicPr>
      </xdr:nvPicPr>
      <xdr:blipFill>
        <a:blip r:embed="rId932" cstate="email"/>
        <a:stretch>
          <a:fillRect/>
        </a:stretch>
      </xdr:blipFill>
      <xdr:spPr>
        <a:xfrm>
          <a:off x="1046480" y="1333500"/>
          <a:ext cx="520700" cy="0"/>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xdr:cNvPicPr>
          <a:picLocks noChangeAspect="1"/>
        </xdr:cNvPicPr>
      </xdr:nvPicPr>
      <xdr:blipFill>
        <a:blip r:embed="rId932" cstate="email"/>
        <a:stretch>
          <a:fillRect/>
        </a:stretch>
      </xdr:blipFill>
      <xdr:spPr>
        <a:xfrm>
          <a:off x="1059180" y="1333500"/>
          <a:ext cx="520700" cy="0"/>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xdr:cNvPicPr>
          <a:picLocks noChangeAspect="1"/>
        </xdr:cNvPicPr>
      </xdr:nvPicPr>
      <xdr:blipFill>
        <a:blip r:embed="rId933" cstate="email"/>
        <a:stretch>
          <a:fillRect/>
        </a:stretch>
      </xdr:blipFill>
      <xdr:spPr>
        <a:xfrm>
          <a:off x="1109980" y="1333500"/>
          <a:ext cx="444500" cy="0"/>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xdr:cNvPicPr>
          <a:picLocks noChangeAspect="1"/>
        </xdr:cNvPicPr>
      </xdr:nvPicPr>
      <xdr:blipFill>
        <a:blip r:embed="rId933" cstate="email"/>
        <a:stretch>
          <a:fillRect/>
        </a:stretch>
      </xdr:blipFill>
      <xdr:spPr>
        <a:xfrm>
          <a:off x="1122680" y="1333500"/>
          <a:ext cx="444500" cy="0"/>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xdr:cNvPicPr>
          <a:picLocks noChangeAspect="1"/>
        </xdr:cNvPicPr>
      </xdr:nvPicPr>
      <xdr:blipFill>
        <a:blip r:embed="rId934" cstate="email"/>
        <a:stretch>
          <a:fillRect/>
        </a:stretch>
      </xdr:blipFill>
      <xdr:spPr>
        <a:xfrm>
          <a:off x="1138555" y="1333500"/>
          <a:ext cx="415925" cy="0"/>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xdr:cNvPicPr>
          <a:picLocks noChangeAspect="1"/>
        </xdr:cNvPicPr>
      </xdr:nvPicPr>
      <xdr:blipFill>
        <a:blip r:embed="rId935" cstate="email"/>
        <a:stretch>
          <a:fillRect/>
        </a:stretch>
      </xdr:blipFill>
      <xdr:spPr>
        <a:xfrm>
          <a:off x="1160780" y="1333500"/>
          <a:ext cx="435610" cy="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xdr:cNvPicPr>
          <a:picLocks noChangeAspect="1"/>
        </xdr:cNvPicPr>
      </xdr:nvPicPr>
      <xdr:blipFill>
        <a:blip r:embed="rId936" cstate="email"/>
        <a:stretch>
          <a:fillRect/>
        </a:stretch>
      </xdr:blipFill>
      <xdr:spPr>
        <a:xfrm>
          <a:off x="1160780" y="1333500"/>
          <a:ext cx="443865" cy="0"/>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xdr:cNvPicPr>
          <a:picLocks noChangeAspect="1"/>
        </xdr:cNvPicPr>
      </xdr:nvPicPr>
      <xdr:blipFill>
        <a:blip r:embed="rId937" cstate="email"/>
        <a:stretch>
          <a:fillRect/>
        </a:stretch>
      </xdr:blipFill>
      <xdr:spPr>
        <a:xfrm>
          <a:off x="1083310" y="1333500"/>
          <a:ext cx="458470" cy="0"/>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xdr:cNvPicPr>
          <a:picLocks noChangeAspect="1"/>
        </xdr:cNvPicPr>
      </xdr:nvPicPr>
      <xdr:blipFill>
        <a:blip r:embed="rId937" cstate="email"/>
        <a:stretch>
          <a:fillRect/>
        </a:stretch>
      </xdr:blipFill>
      <xdr:spPr>
        <a:xfrm>
          <a:off x="1096010" y="1333500"/>
          <a:ext cx="458470" cy="0"/>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xdr:cNvPicPr>
          <a:picLocks noChangeAspect="1"/>
        </xdr:cNvPicPr>
      </xdr:nvPicPr>
      <xdr:blipFill>
        <a:blip r:embed="rId937" cstate="email"/>
        <a:stretch>
          <a:fillRect/>
        </a:stretch>
      </xdr:blipFill>
      <xdr:spPr>
        <a:xfrm>
          <a:off x="1146810" y="1333500"/>
          <a:ext cx="458470" cy="0"/>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xdr:cNvPicPr>
          <a:picLocks noChangeAspect="1"/>
        </xdr:cNvPicPr>
      </xdr:nvPicPr>
      <xdr:blipFill>
        <a:blip r:embed="rId938" cstate="email"/>
        <a:stretch>
          <a:fillRect/>
        </a:stretch>
      </xdr:blipFill>
      <xdr:spPr>
        <a:xfrm>
          <a:off x="1000125" y="1333500"/>
          <a:ext cx="440055" cy="0"/>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xdr:cNvPicPr>
          <a:picLocks noChangeAspect="1"/>
        </xdr:cNvPicPr>
      </xdr:nvPicPr>
      <xdr:blipFill>
        <a:blip r:embed="rId938" cstate="email"/>
        <a:stretch>
          <a:fillRect/>
        </a:stretch>
      </xdr:blipFill>
      <xdr:spPr>
        <a:xfrm>
          <a:off x="1025525" y="1333500"/>
          <a:ext cx="440055" cy="0"/>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xdr:cNvPicPr>
          <a:picLocks noChangeAspect="1"/>
        </xdr:cNvPicPr>
      </xdr:nvPicPr>
      <xdr:blipFill>
        <a:blip r:embed="rId938" cstate="email"/>
        <a:stretch>
          <a:fillRect/>
        </a:stretch>
      </xdr:blipFill>
      <xdr:spPr>
        <a:xfrm>
          <a:off x="1050925" y="1333500"/>
          <a:ext cx="440055" cy="0"/>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xdr:cNvPicPr>
          <a:picLocks noChangeAspect="1"/>
        </xdr:cNvPicPr>
      </xdr:nvPicPr>
      <xdr:blipFill>
        <a:blip r:embed="rId939" cstate="email"/>
        <a:stretch>
          <a:fillRect/>
        </a:stretch>
      </xdr:blipFill>
      <xdr:spPr>
        <a:xfrm>
          <a:off x="1080770" y="1333500"/>
          <a:ext cx="448310" cy="0"/>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xdr:cNvPicPr>
          <a:picLocks noChangeAspect="1"/>
        </xdr:cNvPicPr>
      </xdr:nvPicPr>
      <xdr:blipFill>
        <a:blip r:embed="rId940" cstate="email"/>
        <a:stretch>
          <a:fillRect/>
        </a:stretch>
      </xdr:blipFill>
      <xdr:spPr>
        <a:xfrm>
          <a:off x="1046480" y="1333500"/>
          <a:ext cx="431800" cy="0"/>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xdr:cNvPicPr>
          <a:picLocks noChangeAspect="1"/>
        </xdr:cNvPicPr>
      </xdr:nvPicPr>
      <xdr:blipFill>
        <a:blip r:embed="rId940" cstate="email"/>
        <a:stretch>
          <a:fillRect/>
        </a:stretch>
      </xdr:blipFill>
      <xdr:spPr>
        <a:xfrm>
          <a:off x="995680" y="1333500"/>
          <a:ext cx="431800" cy="0"/>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xdr:cNvPicPr>
          <a:picLocks noChangeAspect="1"/>
        </xdr:cNvPicPr>
      </xdr:nvPicPr>
      <xdr:blipFill>
        <a:blip r:embed="rId940" cstate="email"/>
        <a:stretch>
          <a:fillRect/>
        </a:stretch>
      </xdr:blipFill>
      <xdr:spPr>
        <a:xfrm>
          <a:off x="995680" y="1333500"/>
          <a:ext cx="431800" cy="0"/>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xdr:cNvPicPr>
          <a:picLocks noChangeAspect="1"/>
        </xdr:cNvPicPr>
      </xdr:nvPicPr>
      <xdr:blipFill>
        <a:blip r:embed="rId941" cstate="email"/>
        <a:stretch>
          <a:fillRect/>
        </a:stretch>
      </xdr:blipFill>
      <xdr:spPr>
        <a:xfrm>
          <a:off x="1008380" y="1333500"/>
          <a:ext cx="423545" cy="0"/>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xdr:cNvPicPr>
          <a:picLocks noChangeAspect="1"/>
        </xdr:cNvPicPr>
      </xdr:nvPicPr>
      <xdr:blipFill>
        <a:blip r:embed="rId941" cstate="email"/>
        <a:stretch>
          <a:fillRect/>
        </a:stretch>
      </xdr:blipFill>
      <xdr:spPr>
        <a:xfrm>
          <a:off x="1021080" y="1333500"/>
          <a:ext cx="423545" cy="0"/>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xdr:cNvPicPr>
          <a:picLocks noChangeAspect="1"/>
        </xdr:cNvPicPr>
      </xdr:nvPicPr>
      <xdr:blipFill>
        <a:blip r:embed="rId941" cstate="email"/>
        <a:stretch>
          <a:fillRect/>
        </a:stretch>
      </xdr:blipFill>
      <xdr:spPr>
        <a:xfrm>
          <a:off x="1021080" y="1333500"/>
          <a:ext cx="423545" cy="0"/>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xdr:cNvPicPr>
          <a:picLocks noChangeAspect="1"/>
        </xdr:cNvPicPr>
      </xdr:nvPicPr>
      <xdr:blipFill>
        <a:blip r:embed="rId942" cstate="email"/>
        <a:stretch>
          <a:fillRect/>
        </a:stretch>
      </xdr:blipFill>
      <xdr:spPr>
        <a:xfrm>
          <a:off x="982980" y="1333500"/>
          <a:ext cx="387985" cy="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xdr:cNvPicPr>
          <a:picLocks noChangeAspect="1"/>
        </xdr:cNvPicPr>
      </xdr:nvPicPr>
      <xdr:blipFill>
        <a:blip r:embed="rId942" cstate="email"/>
        <a:stretch>
          <a:fillRect/>
        </a:stretch>
      </xdr:blipFill>
      <xdr:spPr>
        <a:xfrm>
          <a:off x="995680" y="1333500"/>
          <a:ext cx="387985" cy="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xdr:cNvPicPr>
          <a:picLocks noChangeAspect="1"/>
        </xdr:cNvPicPr>
      </xdr:nvPicPr>
      <xdr:blipFill>
        <a:blip r:embed="rId942" cstate="email"/>
        <a:stretch>
          <a:fillRect/>
        </a:stretch>
      </xdr:blipFill>
      <xdr:spPr>
        <a:xfrm>
          <a:off x="995680" y="1333500"/>
          <a:ext cx="387985" cy="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xdr:cNvPicPr>
          <a:picLocks noChangeAspect="1"/>
        </xdr:cNvPicPr>
      </xdr:nvPicPr>
      <xdr:blipFill>
        <a:blip r:embed="rId942" cstate="email"/>
        <a:stretch>
          <a:fillRect/>
        </a:stretch>
      </xdr:blipFill>
      <xdr:spPr>
        <a:xfrm>
          <a:off x="995680" y="1333500"/>
          <a:ext cx="387985" cy="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xdr:cNvPicPr>
          <a:picLocks noChangeAspect="1"/>
        </xdr:cNvPicPr>
      </xdr:nvPicPr>
      <xdr:blipFill>
        <a:blip r:embed="rId943" cstate="email"/>
        <a:stretch>
          <a:fillRect/>
        </a:stretch>
      </xdr:blipFill>
      <xdr:spPr>
        <a:xfrm>
          <a:off x="1021080" y="1333500"/>
          <a:ext cx="431800" cy="0"/>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xdr:cNvPicPr>
          <a:picLocks noChangeAspect="1"/>
        </xdr:cNvPicPr>
      </xdr:nvPicPr>
      <xdr:blipFill>
        <a:blip r:embed="rId943" cstate="email"/>
        <a:stretch>
          <a:fillRect/>
        </a:stretch>
      </xdr:blipFill>
      <xdr:spPr>
        <a:xfrm>
          <a:off x="1008380" y="1333500"/>
          <a:ext cx="431800" cy="0"/>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xdr:cNvPicPr>
          <a:picLocks noChangeAspect="1"/>
        </xdr:cNvPicPr>
      </xdr:nvPicPr>
      <xdr:blipFill>
        <a:blip r:embed="rId943" cstate="email"/>
        <a:stretch>
          <a:fillRect/>
        </a:stretch>
      </xdr:blipFill>
      <xdr:spPr>
        <a:xfrm>
          <a:off x="1008380" y="1333500"/>
          <a:ext cx="431800" cy="0"/>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xdr:cNvPicPr>
          <a:picLocks noChangeAspect="1"/>
        </xdr:cNvPicPr>
      </xdr:nvPicPr>
      <xdr:blipFill>
        <a:blip r:embed="rId944" cstate="email"/>
        <a:stretch>
          <a:fillRect/>
        </a:stretch>
      </xdr:blipFill>
      <xdr:spPr>
        <a:xfrm>
          <a:off x="991235" y="1333500"/>
          <a:ext cx="372745" cy="0"/>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xdr:cNvPicPr>
          <a:picLocks noChangeAspect="1"/>
        </xdr:cNvPicPr>
      </xdr:nvPicPr>
      <xdr:blipFill>
        <a:blip r:embed="rId944" cstate="email"/>
        <a:stretch>
          <a:fillRect/>
        </a:stretch>
      </xdr:blipFill>
      <xdr:spPr>
        <a:xfrm>
          <a:off x="1016635" y="1333500"/>
          <a:ext cx="372745" cy="0"/>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xdr:cNvPicPr>
          <a:picLocks noChangeAspect="1"/>
        </xdr:cNvPicPr>
      </xdr:nvPicPr>
      <xdr:blipFill>
        <a:blip r:embed="rId944" cstate="email"/>
        <a:stretch>
          <a:fillRect/>
        </a:stretch>
      </xdr:blipFill>
      <xdr:spPr>
        <a:xfrm>
          <a:off x="1003935" y="1333500"/>
          <a:ext cx="372745" cy="0"/>
        </a:xfrm>
        <a:prstGeom prst="rect">
          <a:avLst/>
        </a:prstGeom>
      </xdr:spPr>
    </xdr:pic>
    <xdr:clientData/>
  </xdr:twoCellAnchor>
  <xdr:twoCellAnchor>
    <xdr:from>
      <xdr:col>1</xdr:col>
      <xdr:colOff>79027</xdr:colOff>
      <xdr:row>1354</xdr:row>
      <xdr:rowOff>50800</xdr:rowOff>
    </xdr:from>
    <xdr:to>
      <xdr:col>1</xdr:col>
      <xdr:colOff>457200</xdr:colOff>
      <xdr:row>1355</xdr:row>
      <xdr:rowOff>4166</xdr:rowOff>
    </xdr:to>
    <xdr:pic>
      <xdr:nvPicPr>
        <xdr:cNvPr id="21" name="Picture 20"/>
        <xdr:cNvPicPr>
          <a:picLocks noChangeAspect="1"/>
        </xdr:cNvPicPr>
      </xdr:nvPicPr>
      <xdr:blipFill>
        <a:blip r:embed="rId945" cstate="email"/>
        <a:stretch>
          <a:fillRect/>
        </a:stretch>
      </xdr:blipFill>
      <xdr:spPr>
        <a:xfrm>
          <a:off x="1023620" y="1333500"/>
          <a:ext cx="378460" cy="0"/>
        </a:xfrm>
        <a:prstGeom prst="rect">
          <a:avLst/>
        </a:prstGeom>
      </xdr:spPr>
    </xdr:pic>
    <xdr:clientData/>
  </xdr:twoCellAnchor>
  <xdr:twoCellAnchor>
    <xdr:from>
      <xdr:col>1</xdr:col>
      <xdr:colOff>91727</xdr:colOff>
      <xdr:row>1355</xdr:row>
      <xdr:rowOff>12700</xdr:rowOff>
    </xdr:from>
    <xdr:to>
      <xdr:col>1</xdr:col>
      <xdr:colOff>469900</xdr:colOff>
      <xdr:row>1355</xdr:row>
      <xdr:rowOff>601066</xdr:rowOff>
    </xdr:to>
    <xdr:pic>
      <xdr:nvPicPr>
        <xdr:cNvPr id="1145" name="Picture 1144"/>
        <xdr:cNvPicPr>
          <a:picLocks noChangeAspect="1"/>
        </xdr:cNvPicPr>
      </xdr:nvPicPr>
      <xdr:blipFill>
        <a:blip r:embed="rId945" cstate="email"/>
        <a:stretch>
          <a:fillRect/>
        </a:stretch>
      </xdr:blipFill>
      <xdr:spPr>
        <a:xfrm>
          <a:off x="1036320" y="1333500"/>
          <a:ext cx="378460" cy="0"/>
        </a:xfrm>
        <a:prstGeom prst="rect">
          <a:avLst/>
        </a:prstGeom>
      </xdr:spPr>
    </xdr:pic>
    <xdr:clientData/>
  </xdr:twoCellAnchor>
  <xdr:twoCellAnchor>
    <xdr:from>
      <xdr:col>1</xdr:col>
      <xdr:colOff>91727</xdr:colOff>
      <xdr:row>1356</xdr:row>
      <xdr:rowOff>25400</xdr:rowOff>
    </xdr:from>
    <xdr:to>
      <xdr:col>1</xdr:col>
      <xdr:colOff>469900</xdr:colOff>
      <xdr:row>1356</xdr:row>
      <xdr:rowOff>613766</xdr:rowOff>
    </xdr:to>
    <xdr:pic>
      <xdr:nvPicPr>
        <xdr:cNvPr id="1146" name="Picture 1145"/>
        <xdr:cNvPicPr>
          <a:picLocks noChangeAspect="1"/>
        </xdr:cNvPicPr>
      </xdr:nvPicPr>
      <xdr:blipFill>
        <a:blip r:embed="rId945" cstate="email"/>
        <a:stretch>
          <a:fillRect/>
        </a:stretch>
      </xdr:blipFill>
      <xdr:spPr>
        <a:xfrm>
          <a:off x="1036320" y="1333500"/>
          <a:ext cx="378460" cy="0"/>
        </a:xfrm>
        <a:prstGeom prst="rect">
          <a:avLst/>
        </a:prstGeom>
      </xdr:spPr>
    </xdr:pic>
    <xdr:clientData/>
  </xdr:twoCellAnchor>
  <xdr:twoCellAnchor>
    <xdr:from>
      <xdr:col>1</xdr:col>
      <xdr:colOff>91727</xdr:colOff>
      <xdr:row>1357</xdr:row>
      <xdr:rowOff>25400</xdr:rowOff>
    </xdr:from>
    <xdr:to>
      <xdr:col>1</xdr:col>
      <xdr:colOff>469900</xdr:colOff>
      <xdr:row>1357</xdr:row>
      <xdr:rowOff>613766</xdr:rowOff>
    </xdr:to>
    <xdr:pic>
      <xdr:nvPicPr>
        <xdr:cNvPr id="1147" name="Picture 1146"/>
        <xdr:cNvPicPr>
          <a:picLocks noChangeAspect="1"/>
        </xdr:cNvPicPr>
      </xdr:nvPicPr>
      <xdr:blipFill>
        <a:blip r:embed="rId945" cstate="email"/>
        <a:stretch>
          <a:fillRect/>
        </a:stretch>
      </xdr:blipFill>
      <xdr:spPr>
        <a:xfrm>
          <a:off x="1036320" y="1333500"/>
          <a:ext cx="378460" cy="0"/>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xdr:cNvPicPr>
          <a:picLocks noChangeAspect="1"/>
        </xdr:cNvPicPr>
      </xdr:nvPicPr>
      <xdr:blipFill>
        <a:blip r:embed="rId946" cstate="email"/>
        <a:stretch>
          <a:fillRect/>
        </a:stretch>
      </xdr:blipFill>
      <xdr:spPr>
        <a:xfrm>
          <a:off x="1033780" y="1333500"/>
          <a:ext cx="355600" cy="0"/>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xdr:cNvPicPr>
          <a:picLocks noChangeAspect="1"/>
        </xdr:cNvPicPr>
      </xdr:nvPicPr>
      <xdr:blipFill>
        <a:blip r:embed="rId946" cstate="email"/>
        <a:stretch>
          <a:fillRect/>
        </a:stretch>
      </xdr:blipFill>
      <xdr:spPr>
        <a:xfrm>
          <a:off x="1033780" y="1333500"/>
          <a:ext cx="355600" cy="0"/>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xdr:cNvPicPr>
          <a:picLocks noChangeAspect="1"/>
        </xdr:cNvPicPr>
      </xdr:nvPicPr>
      <xdr:blipFill>
        <a:blip r:embed="rId947" cstate="email"/>
        <a:stretch>
          <a:fillRect/>
        </a:stretch>
      </xdr:blipFill>
      <xdr:spPr>
        <a:xfrm>
          <a:off x="1021080" y="1333500"/>
          <a:ext cx="355600" cy="0"/>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xdr:cNvPicPr>
          <a:picLocks noChangeAspect="1"/>
        </xdr:cNvPicPr>
      </xdr:nvPicPr>
      <xdr:blipFill>
        <a:blip r:embed="rId947" cstate="email"/>
        <a:stretch>
          <a:fillRect/>
        </a:stretch>
      </xdr:blipFill>
      <xdr:spPr>
        <a:xfrm>
          <a:off x="1033780" y="1333500"/>
          <a:ext cx="355600" cy="0"/>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xdr:cNvPicPr>
          <a:picLocks noChangeAspect="1"/>
        </xdr:cNvPicPr>
      </xdr:nvPicPr>
      <xdr:blipFill>
        <a:blip r:embed="rId947" cstate="email"/>
        <a:stretch>
          <a:fillRect/>
        </a:stretch>
      </xdr:blipFill>
      <xdr:spPr>
        <a:xfrm>
          <a:off x="1021080" y="1333500"/>
          <a:ext cx="355600" cy="0"/>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xdr:cNvPicPr>
          <a:picLocks noChangeAspect="1"/>
        </xdr:cNvPicPr>
      </xdr:nvPicPr>
      <xdr:blipFill>
        <a:blip r:embed="rId947" cstate="email"/>
        <a:stretch>
          <a:fillRect/>
        </a:stretch>
      </xdr:blipFill>
      <xdr:spPr>
        <a:xfrm>
          <a:off x="1033780" y="1333500"/>
          <a:ext cx="355600" cy="0"/>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xdr:cNvPicPr>
          <a:picLocks noChangeAspect="1"/>
        </xdr:cNvPicPr>
      </xdr:nvPicPr>
      <xdr:blipFill>
        <a:blip r:embed="rId947" cstate="email"/>
        <a:stretch>
          <a:fillRect/>
        </a:stretch>
      </xdr:blipFill>
      <xdr:spPr>
        <a:xfrm>
          <a:off x="1033780" y="1333500"/>
          <a:ext cx="355600" cy="0"/>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xdr:cNvPicPr>
          <a:picLocks noChangeAspect="1"/>
        </xdr:cNvPicPr>
      </xdr:nvPicPr>
      <xdr:blipFill>
        <a:blip r:embed="rId948" cstate="email"/>
        <a:stretch>
          <a:fillRect/>
        </a:stretch>
      </xdr:blipFill>
      <xdr:spPr>
        <a:xfrm>
          <a:off x="1008380" y="1333500"/>
          <a:ext cx="355600" cy="0"/>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xdr:cNvPicPr>
          <a:picLocks noChangeAspect="1"/>
        </xdr:cNvPicPr>
      </xdr:nvPicPr>
      <xdr:blipFill>
        <a:blip r:embed="rId948" cstate="email"/>
        <a:stretch>
          <a:fillRect/>
        </a:stretch>
      </xdr:blipFill>
      <xdr:spPr>
        <a:xfrm>
          <a:off x="1008380" y="1333500"/>
          <a:ext cx="355600" cy="0"/>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xdr:cNvPicPr>
          <a:picLocks noChangeAspect="1"/>
        </xdr:cNvPicPr>
      </xdr:nvPicPr>
      <xdr:blipFill>
        <a:blip r:embed="rId949" cstate="email"/>
        <a:stretch>
          <a:fillRect/>
        </a:stretch>
      </xdr:blipFill>
      <xdr:spPr>
        <a:xfrm>
          <a:off x="982980" y="1333500"/>
          <a:ext cx="368300" cy="0"/>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xdr:cNvPicPr>
          <a:picLocks noChangeAspect="1"/>
        </xdr:cNvPicPr>
      </xdr:nvPicPr>
      <xdr:blipFill>
        <a:blip r:embed="rId949" cstate="email"/>
        <a:stretch>
          <a:fillRect/>
        </a:stretch>
      </xdr:blipFill>
      <xdr:spPr>
        <a:xfrm>
          <a:off x="1021080" y="1333500"/>
          <a:ext cx="368300" cy="0"/>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xdr:cNvPicPr>
          <a:picLocks noChangeAspect="1"/>
        </xdr:cNvPicPr>
      </xdr:nvPicPr>
      <xdr:blipFill>
        <a:blip r:embed="rId949" cstate="email"/>
        <a:stretch>
          <a:fillRect/>
        </a:stretch>
      </xdr:blipFill>
      <xdr:spPr>
        <a:xfrm>
          <a:off x="1008380" y="1333500"/>
          <a:ext cx="368300" cy="0"/>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xdr:cNvPicPr>
          <a:picLocks noChangeAspect="1"/>
        </xdr:cNvPicPr>
      </xdr:nvPicPr>
      <xdr:blipFill>
        <a:blip r:embed="rId949" cstate="email"/>
        <a:stretch>
          <a:fillRect/>
        </a:stretch>
      </xdr:blipFill>
      <xdr:spPr>
        <a:xfrm>
          <a:off x="1008380" y="1333500"/>
          <a:ext cx="368300" cy="0"/>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xdr:cNvPicPr>
          <a:picLocks noChangeAspect="1"/>
        </xdr:cNvPicPr>
      </xdr:nvPicPr>
      <xdr:blipFill>
        <a:blip r:embed="rId949" cstate="email"/>
        <a:stretch>
          <a:fillRect/>
        </a:stretch>
      </xdr:blipFill>
      <xdr:spPr>
        <a:xfrm>
          <a:off x="1071880" y="1333500"/>
          <a:ext cx="368300" cy="0"/>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xdr:cNvPicPr>
          <a:picLocks noChangeAspect="1"/>
        </xdr:cNvPicPr>
      </xdr:nvPicPr>
      <xdr:blipFill>
        <a:blip r:embed="rId949" cstate="email"/>
        <a:stretch>
          <a:fillRect/>
        </a:stretch>
      </xdr:blipFill>
      <xdr:spPr>
        <a:xfrm>
          <a:off x="1059180" y="1333500"/>
          <a:ext cx="368300" cy="0"/>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xdr:cNvPicPr>
          <a:picLocks noChangeAspect="1"/>
        </xdr:cNvPicPr>
      </xdr:nvPicPr>
      <xdr:blipFill>
        <a:blip r:embed="rId950" cstate="email"/>
        <a:stretch>
          <a:fillRect/>
        </a:stretch>
      </xdr:blipFill>
      <xdr:spPr>
        <a:xfrm>
          <a:off x="1046480" y="1333500"/>
          <a:ext cx="495300" cy="0"/>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xdr:cNvPicPr>
          <a:picLocks noChangeAspect="1"/>
        </xdr:cNvPicPr>
      </xdr:nvPicPr>
      <xdr:blipFill>
        <a:blip r:embed="rId950" cstate="email"/>
        <a:stretch>
          <a:fillRect/>
        </a:stretch>
      </xdr:blipFill>
      <xdr:spPr>
        <a:xfrm>
          <a:off x="1059180" y="1333500"/>
          <a:ext cx="495300" cy="0"/>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xdr:cNvPicPr>
          <a:picLocks noChangeAspect="1"/>
        </xdr:cNvPicPr>
      </xdr:nvPicPr>
      <xdr:blipFill>
        <a:blip r:embed="rId950" cstate="email"/>
        <a:stretch>
          <a:fillRect/>
        </a:stretch>
      </xdr:blipFill>
      <xdr:spPr>
        <a:xfrm>
          <a:off x="1122680" y="1333500"/>
          <a:ext cx="495300" cy="0"/>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xdr:cNvPicPr>
          <a:picLocks noChangeAspect="1"/>
        </xdr:cNvPicPr>
      </xdr:nvPicPr>
      <xdr:blipFill>
        <a:blip r:embed="rId951" cstate="email"/>
        <a:stretch>
          <a:fillRect/>
        </a:stretch>
      </xdr:blipFill>
      <xdr:spPr>
        <a:xfrm>
          <a:off x="1078865" y="1333500"/>
          <a:ext cx="462915" cy="0"/>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xdr:cNvPicPr>
          <a:picLocks noChangeAspect="1"/>
        </xdr:cNvPicPr>
      </xdr:nvPicPr>
      <xdr:blipFill>
        <a:blip r:embed="rId952" cstate="email"/>
        <a:stretch>
          <a:fillRect/>
        </a:stretch>
      </xdr:blipFill>
      <xdr:spPr>
        <a:xfrm>
          <a:off x="1074420" y="1333500"/>
          <a:ext cx="454660" cy="0"/>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xdr:cNvPicPr>
          <a:picLocks noChangeAspect="1"/>
        </xdr:cNvPicPr>
      </xdr:nvPicPr>
      <xdr:blipFill>
        <a:blip r:embed="rId953" cstate="email"/>
        <a:stretch>
          <a:fillRect/>
        </a:stretch>
      </xdr:blipFill>
      <xdr:spPr>
        <a:xfrm>
          <a:off x="1084580" y="1333500"/>
          <a:ext cx="469900" cy="0"/>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xdr:cNvPicPr>
          <a:picLocks noChangeAspect="1"/>
        </xdr:cNvPicPr>
      </xdr:nvPicPr>
      <xdr:blipFill>
        <a:blip r:embed="rId954" cstate="email"/>
        <a:stretch>
          <a:fillRect/>
        </a:stretch>
      </xdr:blipFill>
      <xdr:spPr>
        <a:xfrm>
          <a:off x="1046480" y="1333500"/>
          <a:ext cx="495300" cy="0"/>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xdr:cNvPicPr>
          <a:picLocks noChangeAspect="1"/>
        </xdr:cNvPicPr>
      </xdr:nvPicPr>
      <xdr:blipFill>
        <a:blip r:embed="rId955" cstate="email"/>
        <a:stretch>
          <a:fillRect/>
        </a:stretch>
      </xdr:blipFill>
      <xdr:spPr>
        <a:xfrm>
          <a:off x="1043940" y="1333500"/>
          <a:ext cx="396240" cy="0"/>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xdr:cNvPicPr>
          <a:picLocks noChangeAspect="1"/>
        </xdr:cNvPicPr>
      </xdr:nvPicPr>
      <xdr:blipFill>
        <a:blip r:embed="rId956" cstate="email"/>
        <a:stretch>
          <a:fillRect/>
        </a:stretch>
      </xdr:blipFill>
      <xdr:spPr>
        <a:xfrm>
          <a:off x="1046480" y="1333500"/>
          <a:ext cx="431800" cy="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xdr:cNvPicPr>
          <a:picLocks noChangeAspect="1"/>
        </xdr:cNvPicPr>
      </xdr:nvPicPr>
      <xdr:blipFill>
        <a:blip r:embed="rId957" cstate="email"/>
        <a:stretch>
          <a:fillRect/>
        </a:stretch>
      </xdr:blipFill>
      <xdr:spPr>
        <a:xfrm>
          <a:off x="1029335" y="1333500"/>
          <a:ext cx="436245" cy="0"/>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xdr:cNvPicPr>
          <a:picLocks noChangeAspect="1"/>
        </xdr:cNvPicPr>
      </xdr:nvPicPr>
      <xdr:blipFill>
        <a:blip r:embed="rId958" cstate="email"/>
        <a:stretch>
          <a:fillRect/>
        </a:stretch>
      </xdr:blipFill>
      <xdr:spPr>
        <a:xfrm>
          <a:off x="1021080" y="1333500"/>
          <a:ext cx="457200" cy="0"/>
        </a:xfrm>
        <a:prstGeom prst="rect">
          <a:avLst/>
        </a:prstGeom>
      </xdr:spPr>
    </xdr:pic>
    <xdr:clientData/>
  </xdr:twoCellAnchor>
  <xdr:twoCellAnchor>
    <xdr:from>
      <xdr:col>1</xdr:col>
      <xdr:colOff>105004</xdr:colOff>
      <xdr:row>1384</xdr:row>
      <xdr:rowOff>12699</xdr:rowOff>
    </xdr:from>
    <xdr:to>
      <xdr:col>1</xdr:col>
      <xdr:colOff>596899</xdr:colOff>
      <xdr:row>1385</xdr:row>
      <xdr:rowOff>21738</xdr:rowOff>
    </xdr:to>
    <xdr:pic>
      <xdr:nvPicPr>
        <xdr:cNvPr id="35" name="Picture 34"/>
        <xdr:cNvPicPr>
          <a:picLocks noChangeAspect="1"/>
        </xdr:cNvPicPr>
      </xdr:nvPicPr>
      <xdr:blipFill>
        <a:blip r:embed="rId959" cstate="email"/>
        <a:stretch>
          <a:fillRect/>
        </a:stretch>
      </xdr:blipFill>
      <xdr:spPr>
        <a:xfrm>
          <a:off x="1049655" y="1333500"/>
          <a:ext cx="491490" cy="0"/>
        </a:xfrm>
        <a:prstGeom prst="rect">
          <a:avLst/>
        </a:prstGeom>
      </xdr:spPr>
    </xdr:pic>
    <xdr:clientData/>
  </xdr:twoCellAnchor>
  <xdr:twoCellAnchor>
    <xdr:from>
      <xdr:col>1</xdr:col>
      <xdr:colOff>47600</xdr:colOff>
      <xdr:row>1406</xdr:row>
      <xdr:rowOff>46182</xdr:rowOff>
    </xdr:from>
    <xdr:to>
      <xdr:col>1</xdr:col>
      <xdr:colOff>484910</xdr:colOff>
      <xdr:row>1406</xdr:row>
      <xdr:rowOff>625872</xdr:rowOff>
    </xdr:to>
    <xdr:pic>
      <xdr:nvPicPr>
        <xdr:cNvPr id="37" name="Picture 36"/>
        <xdr:cNvPicPr>
          <a:picLocks noChangeAspect="1"/>
        </xdr:cNvPicPr>
      </xdr:nvPicPr>
      <xdr:blipFill>
        <a:blip r:embed="rId960" cstate="email"/>
        <a:stretch>
          <a:fillRect/>
        </a:stretch>
      </xdr:blipFill>
      <xdr:spPr>
        <a:xfrm>
          <a:off x="991870" y="1333500"/>
          <a:ext cx="437515" cy="0"/>
        </a:xfrm>
        <a:prstGeom prst="rect">
          <a:avLst/>
        </a:prstGeom>
      </xdr:spPr>
    </xdr:pic>
    <xdr:clientData/>
  </xdr:twoCellAnchor>
  <xdr:twoCellAnchor>
    <xdr:from>
      <xdr:col>1</xdr:col>
      <xdr:colOff>15273</xdr:colOff>
      <xdr:row>1407</xdr:row>
      <xdr:rowOff>36946</xdr:rowOff>
    </xdr:from>
    <xdr:to>
      <xdr:col>1</xdr:col>
      <xdr:colOff>452583</xdr:colOff>
      <xdr:row>1407</xdr:row>
      <xdr:rowOff>616636</xdr:rowOff>
    </xdr:to>
    <xdr:pic>
      <xdr:nvPicPr>
        <xdr:cNvPr id="1179" name="Picture 1178"/>
        <xdr:cNvPicPr>
          <a:picLocks noChangeAspect="1"/>
        </xdr:cNvPicPr>
      </xdr:nvPicPr>
      <xdr:blipFill>
        <a:blip r:embed="rId960" cstate="email"/>
        <a:stretch>
          <a:fillRect/>
        </a:stretch>
      </xdr:blipFill>
      <xdr:spPr>
        <a:xfrm>
          <a:off x="960120" y="1333500"/>
          <a:ext cx="436880" cy="0"/>
        </a:xfrm>
        <a:prstGeom prst="rect">
          <a:avLst/>
        </a:prstGeom>
      </xdr:spPr>
    </xdr:pic>
    <xdr:clientData/>
  </xdr:twoCellAnchor>
  <xdr:twoCellAnchor>
    <xdr:from>
      <xdr:col>1</xdr:col>
      <xdr:colOff>6036</xdr:colOff>
      <xdr:row>1405</xdr:row>
      <xdr:rowOff>39256</xdr:rowOff>
    </xdr:from>
    <xdr:to>
      <xdr:col>1</xdr:col>
      <xdr:colOff>443346</xdr:colOff>
      <xdr:row>1405</xdr:row>
      <xdr:rowOff>618946</xdr:rowOff>
    </xdr:to>
    <xdr:pic>
      <xdr:nvPicPr>
        <xdr:cNvPr id="1180" name="Picture 1179"/>
        <xdr:cNvPicPr>
          <a:picLocks noChangeAspect="1"/>
        </xdr:cNvPicPr>
      </xdr:nvPicPr>
      <xdr:blipFill>
        <a:blip r:embed="rId960" cstate="email"/>
        <a:stretch>
          <a:fillRect/>
        </a:stretch>
      </xdr:blipFill>
      <xdr:spPr>
        <a:xfrm>
          <a:off x="950595" y="1333500"/>
          <a:ext cx="437515" cy="0"/>
        </a:xfrm>
        <a:prstGeom prst="rect">
          <a:avLst/>
        </a:prstGeom>
      </xdr:spPr>
    </xdr:pic>
    <xdr:clientData/>
  </xdr:twoCellAnchor>
  <xdr:twoCellAnchor>
    <xdr:from>
      <xdr:col>1</xdr:col>
      <xdr:colOff>92365</xdr:colOff>
      <xdr:row>1439</xdr:row>
      <xdr:rowOff>23092</xdr:rowOff>
    </xdr:from>
    <xdr:to>
      <xdr:col>1</xdr:col>
      <xdr:colOff>554183</xdr:colOff>
      <xdr:row>1439</xdr:row>
      <xdr:rowOff>626678</xdr:rowOff>
    </xdr:to>
    <xdr:pic>
      <xdr:nvPicPr>
        <xdr:cNvPr id="38" name="Picture 37"/>
        <xdr:cNvPicPr>
          <a:picLocks noChangeAspect="1"/>
        </xdr:cNvPicPr>
      </xdr:nvPicPr>
      <xdr:blipFill>
        <a:blip r:embed="rId961" cstate="email"/>
        <a:stretch>
          <a:fillRect/>
        </a:stretch>
      </xdr:blipFill>
      <xdr:spPr>
        <a:xfrm>
          <a:off x="1036955" y="1333500"/>
          <a:ext cx="461645" cy="0"/>
        </a:xfrm>
        <a:prstGeom prst="rect">
          <a:avLst/>
        </a:prstGeom>
      </xdr:spPr>
    </xdr:pic>
    <xdr:clientData/>
  </xdr:twoCellAnchor>
  <xdr:twoCellAnchor>
    <xdr:from>
      <xdr:col>1</xdr:col>
      <xdr:colOff>80819</xdr:colOff>
      <xdr:row>1440</xdr:row>
      <xdr:rowOff>34636</xdr:rowOff>
    </xdr:from>
    <xdr:to>
      <xdr:col>1</xdr:col>
      <xdr:colOff>542637</xdr:colOff>
      <xdr:row>1441</xdr:row>
      <xdr:rowOff>3222</xdr:rowOff>
    </xdr:to>
    <xdr:pic>
      <xdr:nvPicPr>
        <xdr:cNvPr id="1182" name="Picture 1181"/>
        <xdr:cNvPicPr>
          <a:picLocks noChangeAspect="1"/>
        </xdr:cNvPicPr>
      </xdr:nvPicPr>
      <xdr:blipFill>
        <a:blip r:embed="rId962" cstate="email"/>
        <a:stretch>
          <a:fillRect/>
        </a:stretch>
      </xdr:blipFill>
      <xdr:spPr>
        <a:xfrm>
          <a:off x="1025525" y="1333500"/>
          <a:ext cx="461645" cy="0"/>
        </a:xfrm>
        <a:prstGeom prst="rect">
          <a:avLst/>
        </a:prstGeom>
      </xdr:spPr>
    </xdr:pic>
    <xdr:clientData/>
  </xdr:twoCellAnchor>
  <xdr:twoCellAnchor>
    <xdr:from>
      <xdr:col>1</xdr:col>
      <xdr:colOff>57727</xdr:colOff>
      <xdr:row>1441</xdr:row>
      <xdr:rowOff>11545</xdr:rowOff>
    </xdr:from>
    <xdr:to>
      <xdr:col>1</xdr:col>
      <xdr:colOff>519545</xdr:colOff>
      <xdr:row>1441</xdr:row>
      <xdr:rowOff>615131</xdr:rowOff>
    </xdr:to>
    <xdr:pic>
      <xdr:nvPicPr>
        <xdr:cNvPr id="1183" name="Picture 1182"/>
        <xdr:cNvPicPr>
          <a:picLocks noChangeAspect="1"/>
        </xdr:cNvPicPr>
      </xdr:nvPicPr>
      <xdr:blipFill>
        <a:blip r:embed="rId961" cstate="email"/>
        <a:stretch>
          <a:fillRect/>
        </a:stretch>
      </xdr:blipFill>
      <xdr:spPr>
        <a:xfrm>
          <a:off x="1002030" y="1333500"/>
          <a:ext cx="462280" cy="0"/>
        </a:xfrm>
        <a:prstGeom prst="rect">
          <a:avLst/>
        </a:prstGeom>
      </xdr:spPr>
    </xdr:pic>
    <xdr:clientData/>
  </xdr:twoCellAnchor>
  <xdr:twoCellAnchor>
    <xdr:from>
      <xdr:col>1</xdr:col>
      <xdr:colOff>46182</xdr:colOff>
      <xdr:row>1445</xdr:row>
      <xdr:rowOff>23089</xdr:rowOff>
    </xdr:from>
    <xdr:to>
      <xdr:col>1</xdr:col>
      <xdr:colOff>496456</xdr:colOff>
      <xdr:row>1445</xdr:row>
      <xdr:rowOff>594832</xdr:rowOff>
    </xdr:to>
    <xdr:pic>
      <xdr:nvPicPr>
        <xdr:cNvPr id="39" name="Picture 38"/>
        <xdr:cNvPicPr>
          <a:picLocks noChangeAspect="1"/>
        </xdr:cNvPicPr>
      </xdr:nvPicPr>
      <xdr:blipFill>
        <a:blip r:embed="rId963" cstate="email"/>
        <a:stretch>
          <a:fillRect/>
        </a:stretch>
      </xdr:blipFill>
      <xdr:spPr>
        <a:xfrm>
          <a:off x="990600" y="1333500"/>
          <a:ext cx="450215" cy="0"/>
        </a:xfrm>
        <a:prstGeom prst="rect">
          <a:avLst/>
        </a:prstGeom>
      </xdr:spPr>
    </xdr:pic>
    <xdr:clientData/>
  </xdr:twoCellAnchor>
  <xdr:twoCellAnchor>
    <xdr:from>
      <xdr:col>1</xdr:col>
      <xdr:colOff>36945</xdr:colOff>
      <xdr:row>1443</xdr:row>
      <xdr:rowOff>36944</xdr:rowOff>
    </xdr:from>
    <xdr:to>
      <xdr:col>1</xdr:col>
      <xdr:colOff>487219</xdr:colOff>
      <xdr:row>1443</xdr:row>
      <xdr:rowOff>608687</xdr:rowOff>
    </xdr:to>
    <xdr:pic>
      <xdr:nvPicPr>
        <xdr:cNvPr id="1185" name="Picture 1184"/>
        <xdr:cNvPicPr>
          <a:picLocks noChangeAspect="1"/>
        </xdr:cNvPicPr>
      </xdr:nvPicPr>
      <xdr:blipFill>
        <a:blip r:embed="rId963" cstate="email"/>
        <a:stretch>
          <a:fillRect/>
        </a:stretch>
      </xdr:blipFill>
      <xdr:spPr>
        <a:xfrm>
          <a:off x="981710" y="1333500"/>
          <a:ext cx="450215" cy="0"/>
        </a:xfrm>
        <a:prstGeom prst="rect">
          <a:avLst/>
        </a:prstGeom>
      </xdr:spPr>
    </xdr:pic>
    <xdr:clientData/>
  </xdr:twoCellAnchor>
  <xdr:twoCellAnchor>
    <xdr:from>
      <xdr:col>1</xdr:col>
      <xdr:colOff>62345</xdr:colOff>
      <xdr:row>1443</xdr:row>
      <xdr:rowOff>628071</xdr:rowOff>
    </xdr:from>
    <xdr:to>
      <xdr:col>1</xdr:col>
      <xdr:colOff>512619</xdr:colOff>
      <xdr:row>1444</xdr:row>
      <xdr:rowOff>564814</xdr:rowOff>
    </xdr:to>
    <xdr:pic>
      <xdr:nvPicPr>
        <xdr:cNvPr id="1186" name="Picture 1185"/>
        <xdr:cNvPicPr>
          <a:picLocks noChangeAspect="1"/>
        </xdr:cNvPicPr>
      </xdr:nvPicPr>
      <xdr:blipFill>
        <a:blip r:embed="rId964" cstate="email"/>
        <a:stretch>
          <a:fillRect/>
        </a:stretch>
      </xdr:blipFill>
      <xdr:spPr>
        <a:xfrm>
          <a:off x="1007110" y="1333500"/>
          <a:ext cx="450215" cy="0"/>
        </a:xfrm>
        <a:prstGeom prst="rect">
          <a:avLst/>
        </a:prstGeom>
      </xdr:spPr>
    </xdr:pic>
    <xdr:clientData/>
  </xdr:twoCellAnchor>
  <xdr:twoCellAnchor>
    <xdr:from>
      <xdr:col>1</xdr:col>
      <xdr:colOff>48491</xdr:colOff>
      <xdr:row>1442</xdr:row>
      <xdr:rowOff>36945</xdr:rowOff>
    </xdr:from>
    <xdr:to>
      <xdr:col>1</xdr:col>
      <xdr:colOff>510309</xdr:colOff>
      <xdr:row>1443</xdr:row>
      <xdr:rowOff>5531</xdr:rowOff>
    </xdr:to>
    <xdr:pic>
      <xdr:nvPicPr>
        <xdr:cNvPr id="1187" name="Picture 1186"/>
        <xdr:cNvPicPr>
          <a:picLocks noChangeAspect="1"/>
        </xdr:cNvPicPr>
      </xdr:nvPicPr>
      <xdr:blipFill>
        <a:blip r:embed="rId962" cstate="email"/>
        <a:stretch>
          <a:fillRect/>
        </a:stretch>
      </xdr:blipFill>
      <xdr:spPr>
        <a:xfrm>
          <a:off x="993140" y="1333500"/>
          <a:ext cx="461645" cy="0"/>
        </a:xfrm>
        <a:prstGeom prst="rect">
          <a:avLst/>
        </a:prstGeom>
      </xdr:spPr>
    </xdr:pic>
    <xdr:clientData/>
  </xdr:twoCellAnchor>
  <xdr:twoCellAnchor>
    <xdr:from>
      <xdr:col>1</xdr:col>
      <xdr:colOff>48491</xdr:colOff>
      <xdr:row>1446</xdr:row>
      <xdr:rowOff>25398</xdr:rowOff>
    </xdr:from>
    <xdr:to>
      <xdr:col>1</xdr:col>
      <xdr:colOff>498765</xdr:colOff>
      <xdr:row>1446</xdr:row>
      <xdr:rowOff>597141</xdr:rowOff>
    </xdr:to>
    <xdr:pic>
      <xdr:nvPicPr>
        <xdr:cNvPr id="1188" name="Picture 1187"/>
        <xdr:cNvPicPr>
          <a:picLocks noChangeAspect="1"/>
        </xdr:cNvPicPr>
      </xdr:nvPicPr>
      <xdr:blipFill>
        <a:blip r:embed="rId963" cstate="email"/>
        <a:stretch>
          <a:fillRect/>
        </a:stretch>
      </xdr:blipFill>
      <xdr:spPr>
        <a:xfrm>
          <a:off x="993140" y="1333500"/>
          <a:ext cx="450215" cy="0"/>
        </a:xfrm>
        <a:prstGeom prst="rect">
          <a:avLst/>
        </a:prstGeom>
      </xdr:spPr>
    </xdr:pic>
    <xdr:clientData/>
  </xdr:twoCellAnchor>
  <xdr:twoCellAnchor>
    <xdr:from>
      <xdr:col>1</xdr:col>
      <xdr:colOff>10400</xdr:colOff>
      <xdr:row>1449</xdr:row>
      <xdr:rowOff>11545</xdr:rowOff>
    </xdr:from>
    <xdr:to>
      <xdr:col>1</xdr:col>
      <xdr:colOff>473363</xdr:colOff>
      <xdr:row>1449</xdr:row>
      <xdr:rowOff>609090</xdr:rowOff>
    </xdr:to>
    <xdr:pic>
      <xdr:nvPicPr>
        <xdr:cNvPr id="40" name="Picture 39"/>
        <xdr:cNvPicPr>
          <a:picLocks noChangeAspect="1"/>
        </xdr:cNvPicPr>
      </xdr:nvPicPr>
      <xdr:blipFill>
        <a:blip r:embed="rId965" cstate="email"/>
        <a:stretch>
          <a:fillRect/>
        </a:stretch>
      </xdr:blipFill>
      <xdr:spPr>
        <a:xfrm>
          <a:off x="955040" y="1333500"/>
          <a:ext cx="462915" cy="0"/>
        </a:xfrm>
        <a:prstGeom prst="rect">
          <a:avLst/>
        </a:prstGeom>
      </xdr:spPr>
    </xdr:pic>
    <xdr:clientData/>
  </xdr:twoCellAnchor>
  <xdr:twoCellAnchor>
    <xdr:from>
      <xdr:col>1</xdr:col>
      <xdr:colOff>12709</xdr:colOff>
      <xdr:row>1450</xdr:row>
      <xdr:rowOff>2309</xdr:rowOff>
    </xdr:from>
    <xdr:to>
      <xdr:col>1</xdr:col>
      <xdr:colOff>475672</xdr:colOff>
      <xdr:row>1450</xdr:row>
      <xdr:rowOff>599854</xdr:rowOff>
    </xdr:to>
    <xdr:pic>
      <xdr:nvPicPr>
        <xdr:cNvPr id="1190" name="Picture 1189"/>
        <xdr:cNvPicPr>
          <a:picLocks noChangeAspect="1"/>
        </xdr:cNvPicPr>
      </xdr:nvPicPr>
      <xdr:blipFill>
        <a:blip r:embed="rId965" cstate="email"/>
        <a:stretch>
          <a:fillRect/>
        </a:stretch>
      </xdr:blipFill>
      <xdr:spPr>
        <a:xfrm>
          <a:off x="957580" y="1333500"/>
          <a:ext cx="462915" cy="0"/>
        </a:xfrm>
        <a:prstGeom prst="rect">
          <a:avLst/>
        </a:prstGeom>
      </xdr:spPr>
    </xdr:pic>
    <xdr:clientData/>
  </xdr:twoCellAnchor>
  <xdr:twoCellAnchor>
    <xdr:from>
      <xdr:col>1</xdr:col>
      <xdr:colOff>11546</xdr:colOff>
      <xdr:row>1402</xdr:row>
      <xdr:rowOff>47899</xdr:rowOff>
    </xdr:from>
    <xdr:to>
      <xdr:col>1</xdr:col>
      <xdr:colOff>427182</xdr:colOff>
      <xdr:row>1402</xdr:row>
      <xdr:rowOff>595959</xdr:rowOff>
    </xdr:to>
    <xdr:pic>
      <xdr:nvPicPr>
        <xdr:cNvPr id="41" name="Picture 40"/>
        <xdr:cNvPicPr>
          <a:picLocks noChangeAspect="1"/>
        </xdr:cNvPicPr>
      </xdr:nvPicPr>
      <xdr:blipFill>
        <a:blip r:embed="rId966" cstate="email"/>
        <a:stretch>
          <a:fillRect/>
        </a:stretch>
      </xdr:blipFill>
      <xdr:spPr>
        <a:xfrm>
          <a:off x="956310" y="1333500"/>
          <a:ext cx="415290" cy="0"/>
        </a:xfrm>
        <a:prstGeom prst="rect">
          <a:avLst/>
        </a:prstGeom>
      </xdr:spPr>
    </xdr:pic>
    <xdr:clientData/>
  </xdr:twoCellAnchor>
  <xdr:twoCellAnchor>
    <xdr:from>
      <xdr:col>1</xdr:col>
      <xdr:colOff>36946</xdr:colOff>
      <xdr:row>1403</xdr:row>
      <xdr:rowOff>50209</xdr:rowOff>
    </xdr:from>
    <xdr:to>
      <xdr:col>1</xdr:col>
      <xdr:colOff>452582</xdr:colOff>
      <xdr:row>1403</xdr:row>
      <xdr:rowOff>598269</xdr:rowOff>
    </xdr:to>
    <xdr:pic>
      <xdr:nvPicPr>
        <xdr:cNvPr id="1192" name="Picture 1191"/>
        <xdr:cNvPicPr>
          <a:picLocks noChangeAspect="1"/>
        </xdr:cNvPicPr>
      </xdr:nvPicPr>
      <xdr:blipFill>
        <a:blip r:embed="rId966" cstate="email"/>
        <a:stretch>
          <a:fillRect/>
        </a:stretch>
      </xdr:blipFill>
      <xdr:spPr>
        <a:xfrm>
          <a:off x="981710" y="1333500"/>
          <a:ext cx="415290" cy="0"/>
        </a:xfrm>
        <a:prstGeom prst="rect">
          <a:avLst/>
        </a:prstGeom>
      </xdr:spPr>
    </xdr:pic>
    <xdr:clientData/>
  </xdr:twoCellAnchor>
  <xdr:twoCellAnchor>
    <xdr:from>
      <xdr:col>1</xdr:col>
      <xdr:colOff>27710</xdr:colOff>
      <xdr:row>1404</xdr:row>
      <xdr:rowOff>40972</xdr:rowOff>
    </xdr:from>
    <xdr:to>
      <xdr:col>1</xdr:col>
      <xdr:colOff>443346</xdr:colOff>
      <xdr:row>1404</xdr:row>
      <xdr:rowOff>589032</xdr:rowOff>
    </xdr:to>
    <xdr:pic>
      <xdr:nvPicPr>
        <xdr:cNvPr id="1193" name="Picture 1192"/>
        <xdr:cNvPicPr>
          <a:picLocks noChangeAspect="1"/>
        </xdr:cNvPicPr>
      </xdr:nvPicPr>
      <xdr:blipFill>
        <a:blip r:embed="rId966" cstate="email"/>
        <a:stretch>
          <a:fillRect/>
        </a:stretch>
      </xdr:blipFill>
      <xdr:spPr>
        <a:xfrm>
          <a:off x="972185" y="1333500"/>
          <a:ext cx="415925" cy="0"/>
        </a:xfrm>
        <a:prstGeom prst="rect">
          <a:avLst/>
        </a:prstGeom>
      </xdr:spPr>
    </xdr:pic>
    <xdr:clientData/>
  </xdr:twoCellAnchor>
  <xdr:twoCellAnchor>
    <xdr:from>
      <xdr:col>1</xdr:col>
      <xdr:colOff>11547</xdr:colOff>
      <xdr:row>1452</xdr:row>
      <xdr:rowOff>43335</xdr:rowOff>
    </xdr:from>
    <xdr:to>
      <xdr:col>1</xdr:col>
      <xdr:colOff>438729</xdr:colOff>
      <xdr:row>1452</xdr:row>
      <xdr:rowOff>601652</xdr:rowOff>
    </xdr:to>
    <xdr:pic>
      <xdr:nvPicPr>
        <xdr:cNvPr id="42" name="Picture 41"/>
        <xdr:cNvPicPr>
          <a:picLocks noChangeAspect="1"/>
        </xdr:cNvPicPr>
      </xdr:nvPicPr>
      <xdr:blipFill>
        <a:blip r:embed="rId967" cstate="email"/>
        <a:stretch>
          <a:fillRect/>
        </a:stretch>
      </xdr:blipFill>
      <xdr:spPr>
        <a:xfrm>
          <a:off x="956310" y="1333500"/>
          <a:ext cx="426720" cy="0"/>
        </a:xfrm>
        <a:prstGeom prst="rect">
          <a:avLst/>
        </a:prstGeom>
      </xdr:spPr>
    </xdr:pic>
    <xdr:clientData/>
  </xdr:twoCellAnchor>
  <xdr:twoCellAnchor>
    <xdr:from>
      <xdr:col>1</xdr:col>
      <xdr:colOff>25401</xdr:colOff>
      <xdr:row>1453</xdr:row>
      <xdr:rowOff>45644</xdr:rowOff>
    </xdr:from>
    <xdr:to>
      <xdr:col>1</xdr:col>
      <xdr:colOff>452583</xdr:colOff>
      <xdr:row>1453</xdr:row>
      <xdr:rowOff>603961</xdr:rowOff>
    </xdr:to>
    <xdr:pic>
      <xdr:nvPicPr>
        <xdr:cNvPr id="1195" name="Picture 1194"/>
        <xdr:cNvPicPr>
          <a:picLocks noChangeAspect="1"/>
        </xdr:cNvPicPr>
      </xdr:nvPicPr>
      <xdr:blipFill>
        <a:blip r:embed="rId967" cstate="email"/>
        <a:stretch>
          <a:fillRect/>
        </a:stretch>
      </xdr:blipFill>
      <xdr:spPr>
        <a:xfrm>
          <a:off x="970280" y="1333500"/>
          <a:ext cx="426720" cy="0"/>
        </a:xfrm>
        <a:prstGeom prst="rect">
          <a:avLst/>
        </a:prstGeom>
      </xdr:spPr>
    </xdr:pic>
    <xdr:clientData/>
  </xdr:twoCellAnchor>
  <xdr:twoCellAnchor>
    <xdr:from>
      <xdr:col>1</xdr:col>
      <xdr:colOff>27710</xdr:colOff>
      <xdr:row>1454</xdr:row>
      <xdr:rowOff>36407</xdr:rowOff>
    </xdr:from>
    <xdr:to>
      <xdr:col>1</xdr:col>
      <xdr:colOff>454892</xdr:colOff>
      <xdr:row>1454</xdr:row>
      <xdr:rowOff>594724</xdr:rowOff>
    </xdr:to>
    <xdr:pic>
      <xdr:nvPicPr>
        <xdr:cNvPr id="1196" name="Picture 1195"/>
        <xdr:cNvPicPr>
          <a:picLocks noChangeAspect="1"/>
        </xdr:cNvPicPr>
      </xdr:nvPicPr>
      <xdr:blipFill>
        <a:blip r:embed="rId967" cstate="email"/>
        <a:stretch>
          <a:fillRect/>
        </a:stretch>
      </xdr:blipFill>
      <xdr:spPr>
        <a:xfrm>
          <a:off x="972185" y="1333500"/>
          <a:ext cx="427355" cy="0"/>
        </a:xfrm>
        <a:prstGeom prst="rect">
          <a:avLst/>
        </a:prstGeom>
      </xdr:spPr>
    </xdr:pic>
    <xdr:clientData/>
  </xdr:twoCellAnchor>
  <xdr:twoCellAnchor>
    <xdr:from>
      <xdr:col>1</xdr:col>
      <xdr:colOff>30020</xdr:colOff>
      <xdr:row>1455</xdr:row>
      <xdr:rowOff>38717</xdr:rowOff>
    </xdr:from>
    <xdr:to>
      <xdr:col>1</xdr:col>
      <xdr:colOff>457202</xdr:colOff>
      <xdr:row>1455</xdr:row>
      <xdr:rowOff>597034</xdr:rowOff>
    </xdr:to>
    <xdr:pic>
      <xdr:nvPicPr>
        <xdr:cNvPr id="1197" name="Picture 1196"/>
        <xdr:cNvPicPr>
          <a:picLocks noChangeAspect="1"/>
        </xdr:cNvPicPr>
      </xdr:nvPicPr>
      <xdr:blipFill>
        <a:blip r:embed="rId967" cstate="email"/>
        <a:stretch>
          <a:fillRect/>
        </a:stretch>
      </xdr:blipFill>
      <xdr:spPr>
        <a:xfrm>
          <a:off x="974725" y="1333500"/>
          <a:ext cx="427355" cy="0"/>
        </a:xfrm>
        <a:prstGeom prst="rect">
          <a:avLst/>
        </a:prstGeom>
      </xdr:spPr>
    </xdr:pic>
    <xdr:clientData/>
  </xdr:twoCellAnchor>
  <xdr:twoCellAnchor>
    <xdr:from>
      <xdr:col>1</xdr:col>
      <xdr:colOff>25401</xdr:colOff>
      <xdr:row>1451</xdr:row>
      <xdr:rowOff>34098</xdr:rowOff>
    </xdr:from>
    <xdr:to>
      <xdr:col>1</xdr:col>
      <xdr:colOff>452583</xdr:colOff>
      <xdr:row>1451</xdr:row>
      <xdr:rowOff>592415</xdr:rowOff>
    </xdr:to>
    <xdr:pic>
      <xdr:nvPicPr>
        <xdr:cNvPr id="1198" name="Picture 1197"/>
        <xdr:cNvPicPr>
          <a:picLocks noChangeAspect="1"/>
        </xdr:cNvPicPr>
      </xdr:nvPicPr>
      <xdr:blipFill>
        <a:blip r:embed="rId967" cstate="email"/>
        <a:stretch>
          <a:fillRect/>
        </a:stretch>
      </xdr:blipFill>
      <xdr:spPr>
        <a:xfrm>
          <a:off x="970280" y="1333500"/>
          <a:ext cx="426720" cy="0"/>
        </a:xfrm>
        <a:prstGeom prst="rect">
          <a:avLst/>
        </a:prstGeom>
      </xdr:spPr>
    </xdr:pic>
    <xdr:clientData/>
  </xdr:twoCellAnchor>
  <xdr:twoCellAnchor>
    <xdr:from>
      <xdr:col>1</xdr:col>
      <xdr:colOff>30480</xdr:colOff>
      <xdr:row>1488</xdr:row>
      <xdr:rowOff>40640</xdr:rowOff>
    </xdr:from>
    <xdr:to>
      <xdr:col>1</xdr:col>
      <xdr:colOff>449580</xdr:colOff>
      <xdr:row>1488</xdr:row>
      <xdr:rowOff>593147</xdr:rowOff>
    </xdr:to>
    <xdr:pic>
      <xdr:nvPicPr>
        <xdr:cNvPr id="1199" name="Picture 1198"/>
        <xdr:cNvPicPr>
          <a:picLocks noChangeAspect="1"/>
        </xdr:cNvPicPr>
      </xdr:nvPicPr>
      <xdr:blipFill>
        <a:blip r:embed="rId968" cstate="email"/>
        <a:stretch>
          <a:fillRect/>
        </a:stretch>
      </xdr:blipFill>
      <xdr:spPr>
        <a:xfrm>
          <a:off x="975360" y="1333500"/>
          <a:ext cx="419100" cy="0"/>
        </a:xfrm>
        <a:prstGeom prst="rect">
          <a:avLst/>
        </a:prstGeom>
      </xdr:spPr>
    </xdr:pic>
    <xdr:clientData/>
  </xdr:twoCellAnchor>
  <xdr:twoCellAnchor>
    <xdr:from>
      <xdr:col>1</xdr:col>
      <xdr:colOff>40640</xdr:colOff>
      <xdr:row>1489</xdr:row>
      <xdr:rowOff>50800</xdr:rowOff>
    </xdr:from>
    <xdr:to>
      <xdr:col>1</xdr:col>
      <xdr:colOff>459740</xdr:colOff>
      <xdr:row>1489</xdr:row>
      <xdr:rowOff>603307</xdr:rowOff>
    </xdr:to>
    <xdr:pic>
      <xdr:nvPicPr>
        <xdr:cNvPr id="1200" name="Picture 1199"/>
        <xdr:cNvPicPr>
          <a:picLocks noChangeAspect="1"/>
        </xdr:cNvPicPr>
      </xdr:nvPicPr>
      <xdr:blipFill>
        <a:blip r:embed="rId968" cstate="email"/>
        <a:stretch>
          <a:fillRect/>
        </a:stretch>
      </xdr:blipFill>
      <xdr:spPr>
        <a:xfrm>
          <a:off x="985520" y="1333500"/>
          <a:ext cx="419100" cy="0"/>
        </a:xfrm>
        <a:prstGeom prst="rect">
          <a:avLst/>
        </a:prstGeom>
      </xdr:spPr>
    </xdr:pic>
    <xdr:clientData/>
  </xdr:twoCellAnchor>
  <xdr:twoCellAnchor editAs="oneCell">
    <xdr:from>
      <xdr:col>0</xdr:col>
      <xdr:colOff>534670</xdr:colOff>
      <xdr:row>1554</xdr:row>
      <xdr:rowOff>422910</xdr:rowOff>
    </xdr:from>
    <xdr:to>
      <xdr:col>0</xdr:col>
      <xdr:colOff>932180</xdr:colOff>
      <xdr:row>1555</xdr:row>
      <xdr:rowOff>382270</xdr:rowOff>
    </xdr:to>
    <xdr:pic>
      <xdr:nvPicPr>
        <xdr:cNvPr id="75" name="Picture 74" descr="YILHM0029_1"/>
        <xdr:cNvPicPr>
          <a:picLocks noChangeAspect="1"/>
        </xdr:cNvPicPr>
      </xdr:nvPicPr>
      <xdr:blipFill>
        <a:blip r:embed="rId969"/>
        <a:stretch>
          <a:fillRect/>
        </a:stretch>
      </xdr:blipFill>
      <xdr:spPr>
        <a:xfrm>
          <a:off x="534670" y="8106410"/>
          <a:ext cx="397510" cy="59436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800100</xdr:colOff>
      <xdr:row>631</xdr:row>
      <xdr:rowOff>215900</xdr:rowOff>
    </xdr:from>
    <xdr:to>
      <xdr:col>2</xdr:col>
      <xdr:colOff>0</xdr:colOff>
      <xdr:row>662</xdr:row>
      <xdr:rowOff>144246</xdr:rowOff>
    </xdr:to>
    <xdr:sp>
      <xdr:nvSpPr>
        <xdr:cNvPr id="2" name="AutoShape 2485"/>
        <xdr:cNvSpPr>
          <a:spLocks noChangeAspect="1" noChangeArrowheads="1"/>
        </xdr:cNvSpPr>
      </xdr:nvSpPr>
      <xdr:spPr>
        <a:xfrm>
          <a:off x="121920" y="440740800"/>
          <a:ext cx="12192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xdr:cNvPicPr>
          <a:picLocks noChangeAspect="1"/>
        </xdr:cNvPicPr>
      </xdr:nvPicPr>
      <xdr:blipFill>
        <a:blip r:embed="rId1" cstate="email"/>
        <a:stretch>
          <a:fillRect/>
        </a:stretch>
      </xdr:blipFill>
      <xdr:spPr>
        <a:xfrm>
          <a:off x="121920" y="597750900"/>
          <a:ext cx="121920" cy="608330"/>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xdr:cNvPicPr>
          <a:picLocks noChangeAspect="1"/>
        </xdr:cNvPicPr>
      </xdr:nvPicPr>
      <xdr:blipFill>
        <a:blip r:embed="rId2" cstate="email"/>
        <a:stretch>
          <a:fillRect/>
        </a:stretch>
      </xdr:blipFill>
      <xdr:spPr>
        <a:xfrm>
          <a:off x="243840" y="1896110"/>
          <a:ext cx="0" cy="682625"/>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xdr:cNvPicPr>
          <a:picLocks noChangeAspect="1"/>
        </xdr:cNvPicPr>
      </xdr:nvPicPr>
      <xdr:blipFill>
        <a:blip r:embed="rId3" cstate="email"/>
        <a:stretch>
          <a:fillRect/>
        </a:stretch>
      </xdr:blipFill>
      <xdr:spPr>
        <a:xfrm>
          <a:off x="243840" y="1183005"/>
          <a:ext cx="0" cy="690245"/>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xdr:cNvPicPr>
          <a:picLocks noChangeAspect="1"/>
        </xdr:cNvPicPr>
      </xdr:nvPicPr>
      <xdr:blipFill>
        <a:blip r:embed="rId4" cstate="email"/>
        <a:stretch>
          <a:fillRect/>
        </a:stretch>
      </xdr:blipFill>
      <xdr:spPr>
        <a:xfrm>
          <a:off x="243840" y="502920"/>
          <a:ext cx="0" cy="671830"/>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xdr:cNvPicPr>
          <a:picLocks noChangeAspect="1"/>
        </xdr:cNvPicPr>
      </xdr:nvPicPr>
      <xdr:blipFill>
        <a:blip r:embed="rId5" cstate="email"/>
        <a:stretch>
          <a:fillRect/>
        </a:stretch>
      </xdr:blipFill>
      <xdr:spPr>
        <a:xfrm>
          <a:off x="243840" y="2592705"/>
          <a:ext cx="0" cy="587375"/>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xdr:cNvPicPr>
          <a:picLocks noChangeAspect="1"/>
        </xdr:cNvPicPr>
      </xdr:nvPicPr>
      <xdr:blipFill>
        <a:blip r:embed="rId5" cstate="email"/>
        <a:stretch>
          <a:fillRect/>
        </a:stretch>
      </xdr:blipFill>
      <xdr:spPr>
        <a:xfrm>
          <a:off x="243840" y="3342005"/>
          <a:ext cx="0" cy="587375"/>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xdr:cNvPicPr>
          <a:picLocks noChangeAspect="1"/>
        </xdr:cNvPicPr>
      </xdr:nvPicPr>
      <xdr:blipFill>
        <a:blip r:embed="rId6" cstate="email"/>
        <a:stretch>
          <a:fillRect/>
        </a:stretch>
      </xdr:blipFill>
      <xdr:spPr>
        <a:xfrm>
          <a:off x="233680" y="5430520"/>
          <a:ext cx="10160" cy="675640"/>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xdr:cNvPicPr>
          <a:picLocks noChangeAspect="1"/>
        </xdr:cNvPicPr>
      </xdr:nvPicPr>
      <xdr:blipFill>
        <a:blip r:embed="rId7" cstate="email"/>
        <a:stretch>
          <a:fillRect/>
        </a:stretch>
      </xdr:blipFill>
      <xdr:spPr>
        <a:xfrm>
          <a:off x="243840" y="6129020"/>
          <a:ext cx="0" cy="675640"/>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xdr:cNvPicPr>
          <a:picLocks noChangeAspect="1"/>
        </xdr:cNvPicPr>
      </xdr:nvPicPr>
      <xdr:blipFill>
        <a:blip r:embed="rId8" cstate="email"/>
        <a:stretch>
          <a:fillRect/>
        </a:stretch>
      </xdr:blipFill>
      <xdr:spPr>
        <a:xfrm>
          <a:off x="238125" y="6832600"/>
          <a:ext cx="5715" cy="594360"/>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xdr:cNvPicPr>
          <a:picLocks noChangeAspect="1"/>
        </xdr:cNvPicPr>
      </xdr:nvPicPr>
      <xdr:blipFill>
        <a:blip r:embed="rId9" cstate="email"/>
        <a:stretch>
          <a:fillRect/>
        </a:stretch>
      </xdr:blipFill>
      <xdr:spPr>
        <a:xfrm>
          <a:off x="243840" y="7491730"/>
          <a:ext cx="0" cy="663575"/>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xdr:cNvPicPr>
          <a:picLocks noChangeAspect="1"/>
        </xdr:cNvPicPr>
      </xdr:nvPicPr>
      <xdr:blipFill>
        <a:blip r:embed="rId10" cstate="email"/>
        <a:stretch>
          <a:fillRect/>
        </a:stretch>
      </xdr:blipFill>
      <xdr:spPr>
        <a:xfrm>
          <a:off x="243840" y="4029075"/>
          <a:ext cx="0" cy="591185"/>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xdr:cNvPicPr>
          <a:picLocks noChangeAspect="1"/>
        </xdr:cNvPicPr>
      </xdr:nvPicPr>
      <xdr:blipFill>
        <a:blip r:embed="rId11" cstate="email"/>
        <a:stretch>
          <a:fillRect/>
        </a:stretch>
      </xdr:blipFill>
      <xdr:spPr>
        <a:xfrm>
          <a:off x="243840" y="4709795"/>
          <a:ext cx="0" cy="702310"/>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xdr:cNvPicPr>
          <a:picLocks noChangeAspect="1"/>
        </xdr:cNvPicPr>
      </xdr:nvPicPr>
      <xdr:blipFill>
        <a:blip r:embed="rId12" cstate="email"/>
        <a:stretch>
          <a:fillRect/>
        </a:stretch>
      </xdr:blipFill>
      <xdr:spPr>
        <a:xfrm>
          <a:off x="243840" y="8188325"/>
          <a:ext cx="0" cy="6642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xdr:cNvPicPr>
          <a:picLocks noChangeAspect="1"/>
        </xdr:cNvPicPr>
      </xdr:nvPicPr>
      <xdr:blipFill>
        <a:blip r:embed="rId13" cstate="email"/>
        <a:stretch>
          <a:fillRect/>
        </a:stretch>
      </xdr:blipFill>
      <xdr:spPr>
        <a:xfrm>
          <a:off x="243840" y="8890000"/>
          <a:ext cx="0" cy="592455"/>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xdr:cNvPicPr>
          <a:picLocks noChangeAspect="1"/>
        </xdr:cNvPicPr>
      </xdr:nvPicPr>
      <xdr:blipFill>
        <a:blip r:embed="rId14" cstate="email"/>
        <a:stretch>
          <a:fillRect/>
        </a:stretch>
      </xdr:blipFill>
      <xdr:spPr>
        <a:xfrm>
          <a:off x="239395" y="9581515"/>
          <a:ext cx="4445" cy="58801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xdr:cNvPicPr>
          <a:picLocks noChangeAspect="1"/>
        </xdr:cNvPicPr>
      </xdr:nvPicPr>
      <xdr:blipFill>
        <a:blip r:embed="rId15" cstate="email"/>
        <a:stretch>
          <a:fillRect/>
        </a:stretch>
      </xdr:blipFill>
      <xdr:spPr>
        <a:xfrm>
          <a:off x="243840" y="10293985"/>
          <a:ext cx="0" cy="654050"/>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xdr:cNvPicPr>
          <a:picLocks noChangeAspect="1"/>
        </xdr:cNvPicPr>
      </xdr:nvPicPr>
      <xdr:blipFill>
        <a:blip r:embed="rId16" cstate="email"/>
        <a:stretch>
          <a:fillRect/>
        </a:stretch>
      </xdr:blipFill>
      <xdr:spPr>
        <a:xfrm>
          <a:off x="243840" y="10993120"/>
          <a:ext cx="0" cy="662305"/>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xdr:cNvPicPr>
          <a:picLocks noChangeAspect="1"/>
        </xdr:cNvPicPr>
      </xdr:nvPicPr>
      <xdr:blipFill>
        <a:blip r:embed="rId17" cstate="email"/>
        <a:stretch>
          <a:fillRect/>
        </a:stretch>
      </xdr:blipFill>
      <xdr:spPr>
        <a:xfrm>
          <a:off x="243840" y="11673205"/>
          <a:ext cx="0" cy="585470"/>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xdr:cNvPicPr>
          <a:picLocks noChangeAspect="1"/>
        </xdr:cNvPicPr>
      </xdr:nvPicPr>
      <xdr:blipFill>
        <a:blip r:embed="rId18" cstate="email"/>
        <a:stretch>
          <a:fillRect/>
        </a:stretch>
      </xdr:blipFill>
      <xdr:spPr>
        <a:xfrm>
          <a:off x="243840" y="12369800"/>
          <a:ext cx="0" cy="676910"/>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xdr:cNvPicPr>
          <a:picLocks noChangeAspect="1"/>
        </xdr:cNvPicPr>
      </xdr:nvPicPr>
      <xdr:blipFill>
        <a:blip r:embed="rId19" cstate="email"/>
        <a:stretch>
          <a:fillRect/>
        </a:stretch>
      </xdr:blipFill>
      <xdr:spPr>
        <a:xfrm>
          <a:off x="243840" y="13097510"/>
          <a:ext cx="0" cy="600710"/>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xdr:cNvPicPr>
          <a:picLocks noChangeAspect="1"/>
        </xdr:cNvPicPr>
      </xdr:nvPicPr>
      <xdr:blipFill>
        <a:blip r:embed="rId20" cstate="email"/>
        <a:stretch>
          <a:fillRect/>
        </a:stretch>
      </xdr:blipFill>
      <xdr:spPr>
        <a:xfrm>
          <a:off x="243840" y="13723620"/>
          <a:ext cx="0" cy="670560"/>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xdr:cNvPicPr>
          <a:picLocks noChangeAspect="1"/>
        </xdr:cNvPicPr>
      </xdr:nvPicPr>
      <xdr:blipFill>
        <a:blip r:embed="rId8" cstate="email"/>
        <a:stretch>
          <a:fillRect/>
        </a:stretch>
      </xdr:blipFill>
      <xdr:spPr>
        <a:xfrm>
          <a:off x="243840" y="14503400"/>
          <a:ext cx="0" cy="594360"/>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xdr:cNvPicPr>
          <a:picLocks noChangeAspect="1"/>
        </xdr:cNvPicPr>
      </xdr:nvPicPr>
      <xdr:blipFill>
        <a:blip r:embed="rId21" cstate="email"/>
        <a:stretch>
          <a:fillRect/>
        </a:stretch>
      </xdr:blipFill>
      <xdr:spPr>
        <a:xfrm>
          <a:off x="243840" y="15189200"/>
          <a:ext cx="0" cy="622300"/>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xdr:cNvPicPr>
          <a:picLocks noChangeAspect="1"/>
        </xdr:cNvPicPr>
      </xdr:nvPicPr>
      <xdr:blipFill>
        <a:blip r:embed="rId22" cstate="email"/>
        <a:stretch>
          <a:fillRect/>
        </a:stretch>
      </xdr:blipFill>
      <xdr:spPr>
        <a:xfrm>
          <a:off x="243840" y="15880715"/>
          <a:ext cx="0" cy="607060"/>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xdr:cNvPicPr>
          <a:picLocks noChangeAspect="1"/>
        </xdr:cNvPicPr>
      </xdr:nvPicPr>
      <xdr:blipFill>
        <a:blip r:embed="rId23" cstate="email"/>
        <a:stretch>
          <a:fillRect/>
        </a:stretch>
      </xdr:blipFill>
      <xdr:spPr>
        <a:xfrm>
          <a:off x="243840" y="16591915"/>
          <a:ext cx="0" cy="592455"/>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xdr:cNvPicPr>
          <a:picLocks noChangeAspect="1"/>
        </xdr:cNvPicPr>
      </xdr:nvPicPr>
      <xdr:blipFill>
        <a:blip r:embed="rId24" cstate="email"/>
        <a:stretch>
          <a:fillRect/>
        </a:stretch>
      </xdr:blipFill>
      <xdr:spPr>
        <a:xfrm>
          <a:off x="243840" y="17296130"/>
          <a:ext cx="0" cy="598170"/>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xdr:cNvPicPr>
          <a:picLocks noChangeAspect="1"/>
        </xdr:cNvPicPr>
      </xdr:nvPicPr>
      <xdr:blipFill>
        <a:blip r:embed="rId25" cstate="email"/>
        <a:stretch>
          <a:fillRect/>
        </a:stretch>
      </xdr:blipFill>
      <xdr:spPr>
        <a:xfrm>
          <a:off x="243840" y="18008600"/>
          <a:ext cx="0" cy="584200"/>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xdr:cNvPicPr>
          <a:picLocks noChangeAspect="1"/>
        </xdr:cNvPicPr>
      </xdr:nvPicPr>
      <xdr:blipFill>
        <a:blip r:embed="rId26" cstate="email"/>
        <a:stretch>
          <a:fillRect/>
        </a:stretch>
      </xdr:blipFill>
      <xdr:spPr>
        <a:xfrm>
          <a:off x="243840" y="18716625"/>
          <a:ext cx="0" cy="614680"/>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xdr:cNvPicPr>
          <a:picLocks noChangeAspect="1"/>
        </xdr:cNvPicPr>
      </xdr:nvPicPr>
      <xdr:blipFill>
        <a:blip r:embed="rId27" cstate="email"/>
        <a:stretch>
          <a:fillRect/>
        </a:stretch>
      </xdr:blipFill>
      <xdr:spPr>
        <a:xfrm>
          <a:off x="243840" y="19373215"/>
          <a:ext cx="0" cy="62928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xdr:cNvPicPr>
          <a:picLocks noChangeAspect="1"/>
        </xdr:cNvPicPr>
      </xdr:nvPicPr>
      <xdr:blipFill>
        <a:blip r:embed="rId28" cstate="email"/>
        <a:stretch>
          <a:fillRect/>
        </a:stretch>
      </xdr:blipFill>
      <xdr:spPr>
        <a:xfrm>
          <a:off x="243840" y="20053300"/>
          <a:ext cx="0"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xdr:cNvPicPr>
          <a:picLocks noChangeAspect="1"/>
        </xdr:cNvPicPr>
      </xdr:nvPicPr>
      <xdr:blipFill>
        <a:blip r:embed="rId29" cstate="email"/>
        <a:stretch>
          <a:fillRect/>
        </a:stretch>
      </xdr:blipFill>
      <xdr:spPr>
        <a:xfrm>
          <a:off x="243840" y="20763230"/>
          <a:ext cx="0" cy="636905"/>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xdr:cNvPicPr>
          <a:picLocks noChangeAspect="1"/>
        </xdr:cNvPicPr>
      </xdr:nvPicPr>
      <xdr:blipFill>
        <a:blip r:embed="rId30" cstate="email"/>
        <a:stretch>
          <a:fillRect/>
        </a:stretch>
      </xdr:blipFill>
      <xdr:spPr>
        <a:xfrm>
          <a:off x="243840" y="21456015"/>
          <a:ext cx="0" cy="654685"/>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xdr:cNvPicPr>
          <a:picLocks noChangeAspect="1"/>
        </xdr:cNvPicPr>
      </xdr:nvPicPr>
      <xdr:blipFill>
        <a:blip r:embed="rId31" cstate="email"/>
        <a:stretch>
          <a:fillRect/>
        </a:stretch>
      </xdr:blipFill>
      <xdr:spPr>
        <a:xfrm>
          <a:off x="243840" y="22157055"/>
          <a:ext cx="0" cy="643890"/>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xdr:cNvPicPr>
          <a:picLocks noChangeAspect="1"/>
        </xdr:cNvPicPr>
      </xdr:nvPicPr>
      <xdr:blipFill>
        <a:blip r:embed="rId32" cstate="email"/>
        <a:stretch>
          <a:fillRect/>
        </a:stretch>
      </xdr:blipFill>
      <xdr:spPr>
        <a:xfrm>
          <a:off x="243840" y="22853650"/>
          <a:ext cx="0" cy="640080"/>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xdr:cNvPicPr>
          <a:picLocks noChangeAspect="1"/>
        </xdr:cNvPicPr>
      </xdr:nvPicPr>
      <xdr:blipFill>
        <a:blip r:embed="rId33" cstate="email"/>
        <a:stretch>
          <a:fillRect/>
        </a:stretch>
      </xdr:blipFill>
      <xdr:spPr>
        <a:xfrm>
          <a:off x="243840" y="23552150"/>
          <a:ext cx="0" cy="645160"/>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xdr:cNvPicPr>
          <a:picLocks noChangeAspect="1"/>
        </xdr:cNvPicPr>
      </xdr:nvPicPr>
      <xdr:blipFill>
        <a:blip r:embed="rId34" cstate="email"/>
        <a:stretch>
          <a:fillRect/>
        </a:stretch>
      </xdr:blipFill>
      <xdr:spPr>
        <a:xfrm>
          <a:off x="243840" y="24297005"/>
          <a:ext cx="0" cy="535305"/>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xdr:cNvPicPr>
          <a:picLocks noChangeAspect="1"/>
        </xdr:cNvPicPr>
      </xdr:nvPicPr>
      <xdr:blipFill>
        <a:blip r:embed="rId35" cstate="email"/>
        <a:stretch>
          <a:fillRect/>
        </a:stretch>
      </xdr:blipFill>
      <xdr:spPr>
        <a:xfrm>
          <a:off x="243840" y="24995505"/>
          <a:ext cx="0" cy="527685"/>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xdr:cNvPicPr>
          <a:picLocks noChangeAspect="1"/>
        </xdr:cNvPicPr>
      </xdr:nvPicPr>
      <xdr:blipFill>
        <a:blip r:embed="rId36" cstate="email"/>
        <a:stretch>
          <a:fillRect/>
        </a:stretch>
      </xdr:blipFill>
      <xdr:spPr>
        <a:xfrm>
          <a:off x="243840" y="25649555"/>
          <a:ext cx="0" cy="647065"/>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xdr:cNvPicPr>
          <a:picLocks noChangeAspect="1"/>
        </xdr:cNvPicPr>
      </xdr:nvPicPr>
      <xdr:blipFill>
        <a:blip r:embed="rId36" cstate="email"/>
        <a:stretch>
          <a:fillRect/>
        </a:stretch>
      </xdr:blipFill>
      <xdr:spPr>
        <a:xfrm>
          <a:off x="243840" y="26348055"/>
          <a:ext cx="0" cy="645160"/>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xdr:cNvPicPr>
          <a:picLocks noChangeAspect="1"/>
        </xdr:cNvPicPr>
      </xdr:nvPicPr>
      <xdr:blipFill>
        <a:blip r:embed="rId37" cstate="email"/>
        <a:stretch>
          <a:fillRect/>
        </a:stretch>
      </xdr:blipFill>
      <xdr:spPr>
        <a:xfrm>
          <a:off x="243840" y="27057350"/>
          <a:ext cx="0" cy="632460"/>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xdr:cNvPicPr>
          <a:picLocks noChangeAspect="1"/>
        </xdr:cNvPicPr>
      </xdr:nvPicPr>
      <xdr:blipFill>
        <a:blip r:embed="rId38" cstate="email"/>
        <a:stretch>
          <a:fillRect/>
        </a:stretch>
      </xdr:blipFill>
      <xdr:spPr>
        <a:xfrm>
          <a:off x="243840" y="27768550"/>
          <a:ext cx="0" cy="628650"/>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xdr:cNvPicPr>
          <a:picLocks noChangeAspect="1"/>
        </xdr:cNvPicPr>
      </xdr:nvPicPr>
      <xdr:blipFill>
        <a:blip r:embed="rId39" cstate="email"/>
        <a:stretch>
          <a:fillRect/>
        </a:stretch>
      </xdr:blipFill>
      <xdr:spPr>
        <a:xfrm>
          <a:off x="234950" y="28455620"/>
          <a:ext cx="8890" cy="583565"/>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xdr:cNvPicPr>
          <a:picLocks noChangeAspect="1"/>
        </xdr:cNvPicPr>
      </xdr:nvPicPr>
      <xdr:blipFill>
        <a:blip r:embed="rId40" cstate="email"/>
        <a:stretch>
          <a:fillRect/>
        </a:stretch>
      </xdr:blipFill>
      <xdr:spPr>
        <a:xfrm>
          <a:off x="243840" y="29189680"/>
          <a:ext cx="0" cy="541655"/>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xdr:cNvPicPr>
          <a:picLocks noChangeAspect="1"/>
        </xdr:cNvPicPr>
      </xdr:nvPicPr>
      <xdr:blipFill>
        <a:blip r:embed="rId41" cstate="email"/>
        <a:stretch>
          <a:fillRect/>
        </a:stretch>
      </xdr:blipFill>
      <xdr:spPr>
        <a:xfrm>
          <a:off x="243840" y="29880560"/>
          <a:ext cx="0" cy="539750"/>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xdr:cNvPicPr>
          <a:picLocks noChangeAspect="1"/>
        </xdr:cNvPicPr>
      </xdr:nvPicPr>
      <xdr:blipFill>
        <a:blip r:embed="rId42" cstate="email"/>
        <a:stretch>
          <a:fillRect/>
        </a:stretch>
      </xdr:blipFill>
      <xdr:spPr>
        <a:xfrm>
          <a:off x="243840" y="30613350"/>
          <a:ext cx="0" cy="50736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xdr:cNvPicPr>
          <a:picLocks noChangeAspect="1"/>
        </xdr:cNvPicPr>
      </xdr:nvPicPr>
      <xdr:blipFill>
        <a:blip r:embed="rId43" cstate="email"/>
        <a:stretch>
          <a:fillRect/>
        </a:stretch>
      </xdr:blipFill>
      <xdr:spPr>
        <a:xfrm>
          <a:off x="243840" y="31322645"/>
          <a:ext cx="0" cy="58356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xdr:cNvPicPr>
          <a:picLocks noChangeAspect="1"/>
        </xdr:cNvPicPr>
      </xdr:nvPicPr>
      <xdr:blipFill>
        <a:blip r:embed="rId44" cstate="email"/>
        <a:stretch>
          <a:fillRect/>
        </a:stretch>
      </xdr:blipFill>
      <xdr:spPr>
        <a:xfrm>
          <a:off x="243840" y="32026860"/>
          <a:ext cx="0" cy="582930"/>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xdr:cNvPicPr>
          <a:picLocks noChangeAspect="1"/>
        </xdr:cNvPicPr>
      </xdr:nvPicPr>
      <xdr:blipFill>
        <a:blip r:embed="rId45" cstate="email"/>
        <a:stretch>
          <a:fillRect/>
        </a:stretch>
      </xdr:blipFill>
      <xdr:spPr>
        <a:xfrm>
          <a:off x="243840" y="32728535"/>
          <a:ext cx="0" cy="580390"/>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xdr:cNvPicPr>
          <a:picLocks noChangeAspect="1"/>
        </xdr:cNvPicPr>
      </xdr:nvPicPr>
      <xdr:blipFill>
        <a:blip r:embed="rId46" cstate="email"/>
        <a:stretch>
          <a:fillRect/>
        </a:stretch>
      </xdr:blipFill>
      <xdr:spPr>
        <a:xfrm>
          <a:off x="243840" y="33392745"/>
          <a:ext cx="0" cy="599440"/>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xdr:cNvPicPr>
          <a:picLocks noChangeAspect="1"/>
        </xdr:cNvPicPr>
      </xdr:nvPicPr>
      <xdr:blipFill>
        <a:blip r:embed="rId47" cstate="email"/>
        <a:stretch>
          <a:fillRect/>
        </a:stretch>
      </xdr:blipFill>
      <xdr:spPr>
        <a:xfrm>
          <a:off x="243840" y="34085530"/>
          <a:ext cx="0" cy="605790"/>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xdr:cNvPicPr>
          <a:picLocks noChangeAspect="1"/>
        </xdr:cNvPicPr>
      </xdr:nvPicPr>
      <xdr:blipFill>
        <a:blip r:embed="rId48" cstate="email"/>
        <a:stretch>
          <a:fillRect/>
        </a:stretch>
      </xdr:blipFill>
      <xdr:spPr>
        <a:xfrm>
          <a:off x="243840" y="34788475"/>
          <a:ext cx="0" cy="607695"/>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xdr:cNvPicPr>
          <a:picLocks noChangeAspect="1"/>
        </xdr:cNvPicPr>
      </xdr:nvPicPr>
      <xdr:blipFill>
        <a:blip r:embed="rId49" cstate="email"/>
        <a:stretch>
          <a:fillRect/>
        </a:stretch>
      </xdr:blipFill>
      <xdr:spPr>
        <a:xfrm>
          <a:off x="243840" y="35490785"/>
          <a:ext cx="0" cy="6057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xdr:cNvPicPr>
          <a:picLocks noChangeAspect="1"/>
        </xdr:cNvPicPr>
      </xdr:nvPicPr>
      <xdr:blipFill>
        <a:blip r:embed="rId50" cstate="email"/>
        <a:stretch>
          <a:fillRect/>
        </a:stretch>
      </xdr:blipFill>
      <xdr:spPr>
        <a:xfrm>
          <a:off x="243840" y="36189285"/>
          <a:ext cx="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xdr:cNvPicPr>
          <a:picLocks noChangeAspect="1"/>
        </xdr:cNvPicPr>
      </xdr:nvPicPr>
      <xdr:blipFill>
        <a:blip r:embed="rId51" cstate="email"/>
        <a:stretch>
          <a:fillRect/>
        </a:stretch>
      </xdr:blipFill>
      <xdr:spPr>
        <a:xfrm>
          <a:off x="243840" y="36891595"/>
          <a:ext cx="0" cy="591185"/>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xdr:cNvPicPr>
          <a:picLocks noChangeAspect="1"/>
        </xdr:cNvPicPr>
      </xdr:nvPicPr>
      <xdr:blipFill>
        <a:blip r:embed="rId52" cstate="email"/>
        <a:stretch>
          <a:fillRect/>
        </a:stretch>
      </xdr:blipFill>
      <xdr:spPr>
        <a:xfrm>
          <a:off x="243840" y="37645975"/>
          <a:ext cx="0" cy="554990"/>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xdr:cNvPicPr>
          <a:picLocks noChangeAspect="1"/>
        </xdr:cNvPicPr>
      </xdr:nvPicPr>
      <xdr:blipFill>
        <a:blip r:embed="rId53" cstate="email"/>
        <a:stretch>
          <a:fillRect/>
        </a:stretch>
      </xdr:blipFill>
      <xdr:spPr>
        <a:xfrm>
          <a:off x="243840" y="38282880"/>
          <a:ext cx="0" cy="598170"/>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xdr:cNvPicPr>
          <a:picLocks noChangeAspect="1"/>
        </xdr:cNvPicPr>
      </xdr:nvPicPr>
      <xdr:blipFill>
        <a:blip r:embed="rId53" cstate="email"/>
        <a:stretch>
          <a:fillRect/>
        </a:stretch>
      </xdr:blipFill>
      <xdr:spPr>
        <a:xfrm>
          <a:off x="243840" y="38981380"/>
          <a:ext cx="0" cy="598170"/>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xdr:cNvPicPr>
          <a:picLocks noChangeAspect="1"/>
        </xdr:cNvPicPr>
      </xdr:nvPicPr>
      <xdr:blipFill>
        <a:blip r:embed="rId54" cstate="email"/>
        <a:stretch>
          <a:fillRect/>
        </a:stretch>
      </xdr:blipFill>
      <xdr:spPr>
        <a:xfrm>
          <a:off x="243840" y="39682420"/>
          <a:ext cx="0" cy="601345"/>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xdr:cNvPicPr>
          <a:picLocks noChangeAspect="1"/>
        </xdr:cNvPicPr>
      </xdr:nvPicPr>
      <xdr:blipFill>
        <a:blip r:embed="rId55" cstate="email"/>
        <a:stretch>
          <a:fillRect/>
        </a:stretch>
      </xdr:blipFill>
      <xdr:spPr>
        <a:xfrm>
          <a:off x="243840" y="40380920"/>
          <a:ext cx="0" cy="59753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xdr:cNvPicPr>
          <a:picLocks noChangeAspect="1"/>
        </xdr:cNvPicPr>
      </xdr:nvPicPr>
      <xdr:blipFill>
        <a:blip r:embed="rId56" cstate="email"/>
        <a:stretch>
          <a:fillRect/>
        </a:stretch>
      </xdr:blipFill>
      <xdr:spPr>
        <a:xfrm>
          <a:off x="243840" y="41022905"/>
          <a:ext cx="0" cy="672465"/>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xdr:cNvPicPr>
          <a:picLocks noChangeAspect="1"/>
        </xdr:cNvPicPr>
      </xdr:nvPicPr>
      <xdr:blipFill>
        <a:blip r:embed="rId57" cstate="email"/>
        <a:stretch>
          <a:fillRect/>
        </a:stretch>
      </xdr:blipFill>
      <xdr:spPr>
        <a:xfrm>
          <a:off x="243840" y="41741725"/>
          <a:ext cx="0" cy="66484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xdr:cNvPicPr>
          <a:picLocks noChangeAspect="1"/>
        </xdr:cNvPicPr>
      </xdr:nvPicPr>
      <xdr:blipFill>
        <a:blip r:embed="rId58" cstate="email"/>
        <a:stretch>
          <a:fillRect/>
        </a:stretch>
      </xdr:blipFill>
      <xdr:spPr>
        <a:xfrm>
          <a:off x="243840" y="42386250"/>
          <a:ext cx="0" cy="676275"/>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xdr:cNvPicPr>
          <a:picLocks noChangeAspect="1"/>
        </xdr:cNvPicPr>
      </xdr:nvPicPr>
      <xdr:blipFill>
        <a:blip r:embed="rId59" cstate="email"/>
        <a:stretch>
          <a:fillRect/>
        </a:stretch>
      </xdr:blipFill>
      <xdr:spPr>
        <a:xfrm>
          <a:off x="243840" y="43079670"/>
          <a:ext cx="0" cy="702310"/>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xdr:cNvPicPr>
          <a:picLocks noChangeAspect="1"/>
        </xdr:cNvPicPr>
      </xdr:nvPicPr>
      <xdr:blipFill>
        <a:blip r:embed="rId60" cstate="email"/>
        <a:stretch>
          <a:fillRect/>
        </a:stretch>
      </xdr:blipFill>
      <xdr:spPr>
        <a:xfrm>
          <a:off x="243840" y="43816905"/>
          <a:ext cx="0" cy="681990"/>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xdr:cNvPicPr>
          <a:picLocks noChangeAspect="1"/>
        </xdr:cNvPicPr>
      </xdr:nvPicPr>
      <xdr:blipFill>
        <a:blip r:embed="rId61" cstate="email"/>
        <a:stretch>
          <a:fillRect/>
        </a:stretch>
      </xdr:blipFill>
      <xdr:spPr>
        <a:xfrm>
          <a:off x="243840" y="44495085"/>
          <a:ext cx="0" cy="701040"/>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xdr:cNvPicPr>
          <a:picLocks noChangeAspect="1"/>
        </xdr:cNvPicPr>
      </xdr:nvPicPr>
      <xdr:blipFill>
        <a:blip r:embed="rId62" cstate="email"/>
        <a:stretch>
          <a:fillRect/>
        </a:stretch>
      </xdr:blipFill>
      <xdr:spPr>
        <a:xfrm>
          <a:off x="243840" y="45202475"/>
          <a:ext cx="0" cy="688975"/>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xdr:cNvPicPr>
          <a:picLocks noChangeAspect="1"/>
        </xdr:cNvPicPr>
      </xdr:nvPicPr>
      <xdr:blipFill>
        <a:blip r:embed="rId63" cstate="email"/>
        <a:stretch>
          <a:fillRect/>
        </a:stretch>
      </xdr:blipFill>
      <xdr:spPr>
        <a:xfrm>
          <a:off x="243840" y="45878115"/>
          <a:ext cx="0" cy="717550"/>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xdr:cNvPicPr>
          <a:picLocks noChangeAspect="1"/>
        </xdr:cNvPicPr>
      </xdr:nvPicPr>
      <xdr:blipFill>
        <a:blip r:embed="rId64" cstate="email"/>
        <a:stretch>
          <a:fillRect/>
        </a:stretch>
      </xdr:blipFill>
      <xdr:spPr>
        <a:xfrm>
          <a:off x="243840" y="46642020"/>
          <a:ext cx="0" cy="542925"/>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xdr:cNvPicPr>
          <a:picLocks noChangeAspect="1"/>
        </xdr:cNvPicPr>
      </xdr:nvPicPr>
      <xdr:blipFill>
        <a:blip r:embed="rId64" cstate="email"/>
        <a:stretch>
          <a:fillRect/>
        </a:stretch>
      </xdr:blipFill>
      <xdr:spPr>
        <a:xfrm>
          <a:off x="243840" y="47340520"/>
          <a:ext cx="0" cy="542925"/>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xdr:cNvPicPr>
          <a:picLocks noChangeAspect="1"/>
        </xdr:cNvPicPr>
      </xdr:nvPicPr>
      <xdr:blipFill>
        <a:blip r:embed="rId65" cstate="email"/>
        <a:stretch>
          <a:fillRect/>
        </a:stretch>
      </xdr:blipFill>
      <xdr:spPr>
        <a:xfrm>
          <a:off x="243840" y="48034575"/>
          <a:ext cx="0" cy="575310"/>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xdr:cNvPicPr>
          <a:picLocks noChangeAspect="1"/>
        </xdr:cNvPicPr>
      </xdr:nvPicPr>
      <xdr:blipFill>
        <a:blip r:embed="rId66" cstate="email"/>
        <a:stretch>
          <a:fillRect/>
        </a:stretch>
      </xdr:blipFill>
      <xdr:spPr>
        <a:xfrm>
          <a:off x="243840" y="48733075"/>
          <a:ext cx="0" cy="573405"/>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xdr:cNvPicPr>
          <a:picLocks noChangeAspect="1"/>
        </xdr:cNvPicPr>
      </xdr:nvPicPr>
      <xdr:blipFill>
        <a:blip r:embed="rId67" cstate="email"/>
        <a:stretch>
          <a:fillRect/>
        </a:stretch>
      </xdr:blipFill>
      <xdr:spPr>
        <a:xfrm>
          <a:off x="243840" y="49399825"/>
          <a:ext cx="0" cy="645795"/>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xdr:cNvPicPr>
          <a:picLocks noChangeAspect="1"/>
        </xdr:cNvPicPr>
      </xdr:nvPicPr>
      <xdr:blipFill>
        <a:blip r:embed="rId68" cstate="email"/>
        <a:stretch>
          <a:fillRect/>
        </a:stretch>
      </xdr:blipFill>
      <xdr:spPr>
        <a:xfrm>
          <a:off x="243840" y="50118645"/>
          <a:ext cx="0" cy="647700"/>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xdr:cNvPicPr>
          <a:picLocks noChangeAspect="1"/>
        </xdr:cNvPicPr>
      </xdr:nvPicPr>
      <xdr:blipFill>
        <a:blip r:embed="rId69" cstate="email"/>
        <a:stretch>
          <a:fillRect/>
        </a:stretch>
      </xdr:blipFill>
      <xdr:spPr>
        <a:xfrm>
          <a:off x="243840" y="50816510"/>
          <a:ext cx="0" cy="646430"/>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xdr:cNvPicPr>
          <a:picLocks noChangeAspect="1"/>
        </xdr:cNvPicPr>
      </xdr:nvPicPr>
      <xdr:blipFill>
        <a:blip r:embed="rId70" cstate="email"/>
        <a:stretch>
          <a:fillRect/>
        </a:stretch>
      </xdr:blipFill>
      <xdr:spPr>
        <a:xfrm>
          <a:off x="243840" y="51517550"/>
          <a:ext cx="0" cy="571500"/>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xdr:cNvPicPr>
          <a:picLocks noChangeAspect="1"/>
        </xdr:cNvPicPr>
      </xdr:nvPicPr>
      <xdr:blipFill>
        <a:blip r:embed="rId70" cstate="email"/>
        <a:stretch>
          <a:fillRect/>
        </a:stretch>
      </xdr:blipFill>
      <xdr:spPr>
        <a:xfrm>
          <a:off x="243840" y="52216050"/>
          <a:ext cx="0" cy="569595"/>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xdr:cNvPicPr>
          <a:picLocks noChangeAspect="1"/>
        </xdr:cNvPicPr>
      </xdr:nvPicPr>
      <xdr:blipFill>
        <a:blip r:embed="rId70" cstate="email"/>
        <a:stretch>
          <a:fillRect/>
        </a:stretch>
      </xdr:blipFill>
      <xdr:spPr>
        <a:xfrm>
          <a:off x="243840" y="52914550"/>
          <a:ext cx="0" cy="569595"/>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xdr:cNvPicPr>
          <a:picLocks noChangeAspect="1"/>
        </xdr:cNvPicPr>
      </xdr:nvPicPr>
      <xdr:blipFill>
        <a:blip r:embed="rId71" cstate="email"/>
        <a:stretch>
          <a:fillRect/>
        </a:stretch>
      </xdr:blipFill>
      <xdr:spPr>
        <a:xfrm>
          <a:off x="243840" y="53609240"/>
          <a:ext cx="0" cy="553085"/>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xdr:cNvPicPr>
          <a:picLocks noChangeAspect="1"/>
        </xdr:cNvPicPr>
      </xdr:nvPicPr>
      <xdr:blipFill>
        <a:blip r:embed="rId71" cstate="email"/>
        <a:stretch>
          <a:fillRect/>
        </a:stretch>
      </xdr:blipFill>
      <xdr:spPr>
        <a:xfrm>
          <a:off x="243840" y="54307740"/>
          <a:ext cx="0" cy="553085"/>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xdr:cNvPicPr>
          <a:picLocks noChangeAspect="1"/>
        </xdr:cNvPicPr>
      </xdr:nvPicPr>
      <xdr:blipFill>
        <a:blip r:embed="rId72" cstate="email"/>
        <a:stretch>
          <a:fillRect/>
        </a:stretch>
      </xdr:blipFill>
      <xdr:spPr>
        <a:xfrm>
          <a:off x="243840" y="54978935"/>
          <a:ext cx="0" cy="588645"/>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xdr:cNvPicPr>
          <a:picLocks noChangeAspect="1"/>
        </xdr:cNvPicPr>
      </xdr:nvPicPr>
      <xdr:blipFill>
        <a:blip r:embed="rId73" cstate="email"/>
        <a:stretch>
          <a:fillRect/>
        </a:stretch>
      </xdr:blipFill>
      <xdr:spPr>
        <a:xfrm>
          <a:off x="243840" y="55679340"/>
          <a:ext cx="0" cy="582295"/>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xdr:cNvPicPr>
          <a:picLocks noChangeAspect="1"/>
        </xdr:cNvPicPr>
      </xdr:nvPicPr>
      <xdr:blipFill>
        <a:blip r:embed="rId73" cstate="email"/>
        <a:stretch>
          <a:fillRect/>
        </a:stretch>
      </xdr:blipFill>
      <xdr:spPr>
        <a:xfrm>
          <a:off x="243840" y="56377840"/>
          <a:ext cx="0" cy="582295"/>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xdr:cNvPicPr>
          <a:picLocks noChangeAspect="1"/>
        </xdr:cNvPicPr>
      </xdr:nvPicPr>
      <xdr:blipFill>
        <a:blip r:embed="rId74" cstate="email"/>
        <a:stretch>
          <a:fillRect/>
        </a:stretch>
      </xdr:blipFill>
      <xdr:spPr>
        <a:xfrm>
          <a:off x="243840" y="57102375"/>
          <a:ext cx="0" cy="55562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xdr:cNvPicPr>
          <a:picLocks noChangeAspect="1"/>
        </xdr:cNvPicPr>
      </xdr:nvPicPr>
      <xdr:blipFill>
        <a:blip r:embed="rId74" cstate="email"/>
        <a:stretch>
          <a:fillRect/>
        </a:stretch>
      </xdr:blipFill>
      <xdr:spPr>
        <a:xfrm>
          <a:off x="243840" y="57800875"/>
          <a:ext cx="0" cy="55562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xdr:cNvPicPr>
          <a:picLocks noChangeAspect="1"/>
        </xdr:cNvPicPr>
      </xdr:nvPicPr>
      <xdr:blipFill>
        <a:blip r:embed="rId74" cstate="email"/>
        <a:stretch>
          <a:fillRect/>
        </a:stretch>
      </xdr:blipFill>
      <xdr:spPr>
        <a:xfrm>
          <a:off x="243840" y="58499375"/>
          <a:ext cx="0" cy="555625"/>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xdr:cNvPicPr>
          <a:picLocks noChangeAspect="1"/>
        </xdr:cNvPicPr>
      </xdr:nvPicPr>
      <xdr:blipFill>
        <a:blip r:embed="rId75" cstate="email"/>
        <a:stretch>
          <a:fillRect/>
        </a:stretch>
      </xdr:blipFill>
      <xdr:spPr>
        <a:xfrm>
          <a:off x="243840" y="59198510"/>
          <a:ext cx="0" cy="557530"/>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xdr:cNvPicPr>
          <a:picLocks noChangeAspect="1"/>
        </xdr:cNvPicPr>
      </xdr:nvPicPr>
      <xdr:blipFill>
        <a:blip r:embed="rId75" cstate="email"/>
        <a:stretch>
          <a:fillRect/>
        </a:stretch>
      </xdr:blipFill>
      <xdr:spPr>
        <a:xfrm>
          <a:off x="243840" y="59897010"/>
          <a:ext cx="0" cy="557530"/>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xdr:cNvPicPr>
          <a:picLocks noChangeAspect="1"/>
        </xdr:cNvPicPr>
      </xdr:nvPicPr>
      <xdr:blipFill>
        <a:blip r:embed="rId76" cstate="email"/>
        <a:stretch>
          <a:fillRect/>
        </a:stretch>
      </xdr:blipFill>
      <xdr:spPr>
        <a:xfrm>
          <a:off x="243840" y="60594875"/>
          <a:ext cx="0" cy="556260"/>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xdr:cNvPicPr>
          <a:picLocks noChangeAspect="1"/>
        </xdr:cNvPicPr>
      </xdr:nvPicPr>
      <xdr:blipFill>
        <a:blip r:embed="rId77" cstate="email"/>
        <a:stretch>
          <a:fillRect/>
        </a:stretch>
      </xdr:blipFill>
      <xdr:spPr>
        <a:xfrm>
          <a:off x="243840" y="61295280"/>
          <a:ext cx="0" cy="557530"/>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xdr:cNvPicPr>
          <a:picLocks noChangeAspect="1"/>
        </xdr:cNvPicPr>
      </xdr:nvPicPr>
      <xdr:blipFill>
        <a:blip r:embed="rId78" cstate="email"/>
        <a:stretch>
          <a:fillRect/>
        </a:stretch>
      </xdr:blipFill>
      <xdr:spPr>
        <a:xfrm>
          <a:off x="243840" y="61960125"/>
          <a:ext cx="0" cy="596265"/>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xdr:cNvPicPr>
          <a:picLocks noChangeAspect="1"/>
        </xdr:cNvPicPr>
      </xdr:nvPicPr>
      <xdr:blipFill>
        <a:blip r:embed="rId79" cstate="email"/>
        <a:stretch>
          <a:fillRect/>
        </a:stretch>
      </xdr:blipFill>
      <xdr:spPr>
        <a:xfrm>
          <a:off x="243840" y="62706885"/>
          <a:ext cx="0" cy="539115"/>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xdr:cNvPicPr>
          <a:picLocks noChangeAspect="1"/>
        </xdr:cNvPicPr>
      </xdr:nvPicPr>
      <xdr:blipFill>
        <a:blip r:embed="rId80" cstate="email"/>
        <a:stretch>
          <a:fillRect/>
        </a:stretch>
      </xdr:blipFill>
      <xdr:spPr>
        <a:xfrm>
          <a:off x="243840" y="63372365"/>
          <a:ext cx="0" cy="574040"/>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xdr:cNvPicPr>
          <a:picLocks noChangeAspect="1"/>
        </xdr:cNvPicPr>
      </xdr:nvPicPr>
      <xdr:blipFill>
        <a:blip r:embed="rId81" cstate="email"/>
        <a:stretch>
          <a:fillRect/>
        </a:stretch>
      </xdr:blipFill>
      <xdr:spPr>
        <a:xfrm>
          <a:off x="243840" y="64079755"/>
          <a:ext cx="0" cy="563245"/>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xdr:cNvPicPr>
          <a:picLocks noChangeAspect="1"/>
        </xdr:cNvPicPr>
      </xdr:nvPicPr>
      <xdr:blipFill>
        <a:blip r:embed="rId82" cstate="email"/>
        <a:stretch>
          <a:fillRect/>
        </a:stretch>
      </xdr:blipFill>
      <xdr:spPr>
        <a:xfrm>
          <a:off x="243840" y="64752220"/>
          <a:ext cx="0" cy="589280"/>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xdr:cNvPicPr>
          <a:picLocks noChangeAspect="1"/>
        </xdr:cNvPicPr>
      </xdr:nvPicPr>
      <xdr:blipFill>
        <a:blip r:embed="rId83" cstate="email"/>
        <a:stretch>
          <a:fillRect/>
        </a:stretch>
      </xdr:blipFill>
      <xdr:spPr>
        <a:xfrm>
          <a:off x="243840" y="65451355"/>
          <a:ext cx="0" cy="590550"/>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xdr:cNvPicPr>
          <a:picLocks noChangeAspect="1"/>
        </xdr:cNvPicPr>
      </xdr:nvPicPr>
      <xdr:blipFill>
        <a:blip r:embed="rId84" cstate="email"/>
        <a:stretch>
          <a:fillRect/>
        </a:stretch>
      </xdr:blipFill>
      <xdr:spPr>
        <a:xfrm>
          <a:off x="243840" y="66200020"/>
          <a:ext cx="0" cy="542925"/>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xdr:cNvPicPr>
          <a:picLocks noChangeAspect="1"/>
        </xdr:cNvPicPr>
      </xdr:nvPicPr>
      <xdr:blipFill>
        <a:blip r:embed="rId84" cstate="email"/>
        <a:stretch>
          <a:fillRect/>
        </a:stretch>
      </xdr:blipFill>
      <xdr:spPr>
        <a:xfrm>
          <a:off x="243840" y="66898520"/>
          <a:ext cx="0" cy="542925"/>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xdr:cNvPicPr>
          <a:picLocks noChangeAspect="1"/>
        </xdr:cNvPicPr>
      </xdr:nvPicPr>
      <xdr:blipFill>
        <a:blip r:embed="rId85" cstate="email"/>
        <a:stretch>
          <a:fillRect/>
        </a:stretch>
      </xdr:blipFill>
      <xdr:spPr>
        <a:xfrm>
          <a:off x="243840" y="67565905"/>
          <a:ext cx="0" cy="586740"/>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xdr:cNvPicPr>
          <a:picLocks noChangeAspect="1"/>
        </xdr:cNvPicPr>
      </xdr:nvPicPr>
      <xdr:blipFill>
        <a:blip r:embed="rId86" cstate="email"/>
        <a:stretch>
          <a:fillRect/>
        </a:stretch>
      </xdr:blipFill>
      <xdr:spPr>
        <a:xfrm>
          <a:off x="243840" y="68261865"/>
          <a:ext cx="0" cy="574040"/>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xdr:cNvPicPr>
          <a:picLocks noChangeAspect="1"/>
        </xdr:cNvPicPr>
      </xdr:nvPicPr>
      <xdr:blipFill>
        <a:blip r:embed="rId87"/>
        <a:stretch>
          <a:fillRect/>
        </a:stretch>
      </xdr:blipFill>
      <xdr:spPr>
        <a:xfrm>
          <a:off x="243840" y="68922900"/>
          <a:ext cx="0" cy="3175"/>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xdr:cNvPicPr>
          <a:picLocks noChangeAspect="1"/>
        </xdr:cNvPicPr>
      </xdr:nvPicPr>
      <xdr:blipFill>
        <a:blip r:embed="rId88"/>
        <a:stretch>
          <a:fillRect/>
        </a:stretch>
      </xdr:blipFill>
      <xdr:spPr>
        <a:xfrm>
          <a:off x="243840" y="68922900"/>
          <a:ext cx="0" cy="12065"/>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xdr:cNvPicPr>
          <a:picLocks noChangeAspect="1"/>
        </xdr:cNvPicPr>
      </xdr:nvPicPr>
      <xdr:blipFill>
        <a:blip r:embed="rId89" cstate="email"/>
        <a:stretch>
          <a:fillRect/>
        </a:stretch>
      </xdr:blipFill>
      <xdr:spPr>
        <a:xfrm>
          <a:off x="243840" y="68961000"/>
          <a:ext cx="0" cy="577850"/>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xdr:cNvPicPr>
          <a:picLocks noChangeAspect="1"/>
        </xdr:cNvPicPr>
      </xdr:nvPicPr>
      <xdr:blipFill>
        <a:blip r:embed="rId90" cstate="email"/>
        <a:stretch>
          <a:fillRect/>
        </a:stretch>
      </xdr:blipFill>
      <xdr:spPr>
        <a:xfrm>
          <a:off x="243840" y="69649975"/>
          <a:ext cx="0" cy="588010"/>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xdr:cNvPicPr>
          <a:picLocks noChangeAspect="1"/>
        </xdr:cNvPicPr>
      </xdr:nvPicPr>
      <xdr:blipFill>
        <a:blip r:embed="rId91" cstate="email"/>
        <a:stretch>
          <a:fillRect/>
        </a:stretch>
      </xdr:blipFill>
      <xdr:spPr>
        <a:xfrm>
          <a:off x="243840" y="70286880"/>
          <a:ext cx="0" cy="650240"/>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xdr:cNvPicPr>
          <a:picLocks noChangeAspect="1"/>
        </xdr:cNvPicPr>
      </xdr:nvPicPr>
      <xdr:blipFill>
        <a:blip r:embed="rId92" cstate="email"/>
        <a:stretch>
          <a:fillRect/>
        </a:stretch>
      </xdr:blipFill>
      <xdr:spPr>
        <a:xfrm>
          <a:off x="243840" y="71089520"/>
          <a:ext cx="0" cy="542925"/>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xdr:cNvPicPr>
          <a:picLocks noChangeAspect="1"/>
        </xdr:cNvPicPr>
      </xdr:nvPicPr>
      <xdr:blipFill>
        <a:blip r:embed="rId93" cstate="email"/>
        <a:stretch>
          <a:fillRect/>
        </a:stretch>
      </xdr:blipFill>
      <xdr:spPr>
        <a:xfrm>
          <a:off x="243840" y="71770240"/>
          <a:ext cx="0" cy="55308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xdr:cNvPicPr>
          <a:picLocks noChangeAspect="1"/>
        </xdr:cNvPicPr>
      </xdr:nvPicPr>
      <xdr:blipFill>
        <a:blip r:embed="rId93" cstate="email"/>
        <a:stretch>
          <a:fillRect/>
        </a:stretch>
      </xdr:blipFill>
      <xdr:spPr>
        <a:xfrm>
          <a:off x="243840" y="72468740"/>
          <a:ext cx="0" cy="55308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xdr:cNvPicPr>
          <a:picLocks noChangeAspect="1"/>
        </xdr:cNvPicPr>
      </xdr:nvPicPr>
      <xdr:blipFill>
        <a:blip r:embed="rId94" cstate="email"/>
        <a:stretch>
          <a:fillRect/>
        </a:stretch>
      </xdr:blipFill>
      <xdr:spPr>
        <a:xfrm>
          <a:off x="243840" y="73157080"/>
          <a:ext cx="0" cy="564515"/>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xdr:cNvPicPr>
          <a:picLocks noChangeAspect="1"/>
        </xdr:cNvPicPr>
      </xdr:nvPicPr>
      <xdr:blipFill>
        <a:blip r:embed="rId95" cstate="email"/>
        <a:stretch>
          <a:fillRect/>
        </a:stretch>
      </xdr:blipFill>
      <xdr:spPr>
        <a:xfrm>
          <a:off x="243840" y="73867645"/>
          <a:ext cx="0" cy="560705"/>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xdr:cNvPicPr>
          <a:picLocks noChangeAspect="1"/>
        </xdr:cNvPicPr>
      </xdr:nvPicPr>
      <xdr:blipFill>
        <a:blip r:embed="rId95" cstate="email"/>
        <a:stretch>
          <a:fillRect/>
        </a:stretch>
      </xdr:blipFill>
      <xdr:spPr>
        <a:xfrm>
          <a:off x="243840" y="74566145"/>
          <a:ext cx="0" cy="560705"/>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xdr:cNvPicPr>
          <a:picLocks noChangeAspect="1"/>
        </xdr:cNvPicPr>
      </xdr:nvPicPr>
      <xdr:blipFill>
        <a:blip r:embed="rId96" cstate="email"/>
        <a:stretch>
          <a:fillRect/>
        </a:stretch>
      </xdr:blipFill>
      <xdr:spPr>
        <a:xfrm>
          <a:off x="243840" y="75279250"/>
          <a:ext cx="0" cy="536575"/>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xdr:cNvPicPr>
          <a:picLocks noChangeAspect="1"/>
        </xdr:cNvPicPr>
      </xdr:nvPicPr>
      <xdr:blipFill>
        <a:blip r:embed="rId97" cstate="email"/>
        <a:stretch>
          <a:fillRect/>
        </a:stretch>
      </xdr:blipFill>
      <xdr:spPr>
        <a:xfrm>
          <a:off x="243840" y="75979655"/>
          <a:ext cx="0" cy="546100"/>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xdr:cNvPicPr>
          <a:picLocks noChangeAspect="1"/>
        </xdr:cNvPicPr>
      </xdr:nvPicPr>
      <xdr:blipFill>
        <a:blip r:embed="rId97" cstate="email"/>
        <a:stretch>
          <a:fillRect/>
        </a:stretch>
      </xdr:blipFill>
      <xdr:spPr>
        <a:xfrm>
          <a:off x="243840" y="76678155"/>
          <a:ext cx="0" cy="544195"/>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xdr:cNvPicPr>
          <a:picLocks noChangeAspect="1"/>
        </xdr:cNvPicPr>
      </xdr:nvPicPr>
      <xdr:blipFill>
        <a:blip r:embed="rId97" cstate="email"/>
        <a:stretch>
          <a:fillRect/>
        </a:stretch>
      </xdr:blipFill>
      <xdr:spPr>
        <a:xfrm>
          <a:off x="243840" y="77376655"/>
          <a:ext cx="0" cy="544195"/>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xdr:cNvPicPr>
          <a:picLocks noChangeAspect="1"/>
        </xdr:cNvPicPr>
      </xdr:nvPicPr>
      <xdr:blipFill>
        <a:blip r:embed="rId98" cstate="email"/>
        <a:stretch>
          <a:fillRect/>
        </a:stretch>
      </xdr:blipFill>
      <xdr:spPr>
        <a:xfrm>
          <a:off x="243840" y="78074520"/>
          <a:ext cx="0" cy="542925"/>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xdr:cNvPicPr>
          <a:picLocks noChangeAspect="1"/>
        </xdr:cNvPicPr>
      </xdr:nvPicPr>
      <xdr:blipFill>
        <a:blip r:embed="rId99" cstate="email"/>
        <a:stretch>
          <a:fillRect/>
        </a:stretch>
      </xdr:blipFill>
      <xdr:spPr>
        <a:xfrm>
          <a:off x="243840" y="78738730"/>
          <a:ext cx="0" cy="572135"/>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xdr:cNvPicPr>
          <a:picLocks noChangeAspect="1"/>
        </xdr:cNvPicPr>
      </xdr:nvPicPr>
      <xdr:blipFill>
        <a:blip r:embed="rId99" cstate="email"/>
        <a:stretch>
          <a:fillRect/>
        </a:stretch>
      </xdr:blipFill>
      <xdr:spPr>
        <a:xfrm>
          <a:off x="243840" y="79437230"/>
          <a:ext cx="0" cy="572135"/>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xdr:cNvPicPr>
          <a:picLocks noChangeAspect="1"/>
        </xdr:cNvPicPr>
      </xdr:nvPicPr>
      <xdr:blipFill>
        <a:blip r:embed="rId100" cstate="email"/>
        <a:stretch>
          <a:fillRect/>
        </a:stretch>
      </xdr:blipFill>
      <xdr:spPr>
        <a:xfrm>
          <a:off x="243840" y="80136365"/>
          <a:ext cx="0" cy="575310"/>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xdr:cNvPicPr>
          <a:picLocks noChangeAspect="1"/>
        </xdr:cNvPicPr>
      </xdr:nvPicPr>
      <xdr:blipFill>
        <a:blip r:embed="rId100" cstate="email"/>
        <a:stretch>
          <a:fillRect/>
        </a:stretch>
      </xdr:blipFill>
      <xdr:spPr>
        <a:xfrm>
          <a:off x="243840" y="80834865"/>
          <a:ext cx="0" cy="575310"/>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xdr:cNvPicPr>
          <a:picLocks noChangeAspect="1"/>
        </xdr:cNvPicPr>
      </xdr:nvPicPr>
      <xdr:blipFill>
        <a:blip r:embed="rId101" cstate="email"/>
        <a:stretch>
          <a:fillRect/>
        </a:stretch>
      </xdr:blipFill>
      <xdr:spPr>
        <a:xfrm>
          <a:off x="243840" y="81549240"/>
          <a:ext cx="0" cy="551180"/>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xdr:cNvPicPr>
          <a:picLocks noChangeAspect="1"/>
        </xdr:cNvPicPr>
      </xdr:nvPicPr>
      <xdr:blipFill>
        <a:blip r:embed="rId102" cstate="email"/>
        <a:stretch>
          <a:fillRect/>
        </a:stretch>
      </xdr:blipFill>
      <xdr:spPr>
        <a:xfrm>
          <a:off x="243840" y="82240755"/>
          <a:ext cx="0" cy="562610"/>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xdr:cNvPicPr>
          <a:picLocks noChangeAspect="1"/>
        </xdr:cNvPicPr>
      </xdr:nvPicPr>
      <xdr:blipFill>
        <a:blip r:embed="rId103" cstate="email"/>
        <a:stretch>
          <a:fillRect/>
        </a:stretch>
      </xdr:blipFill>
      <xdr:spPr>
        <a:xfrm>
          <a:off x="243840" y="82919570"/>
          <a:ext cx="0" cy="603250"/>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xdr:cNvPicPr>
          <a:picLocks noChangeAspect="1"/>
        </xdr:cNvPicPr>
      </xdr:nvPicPr>
      <xdr:blipFill>
        <a:blip r:embed="rId104" cstate="email"/>
        <a:stretch>
          <a:fillRect/>
        </a:stretch>
      </xdr:blipFill>
      <xdr:spPr>
        <a:xfrm>
          <a:off x="243840" y="83628230"/>
          <a:ext cx="0" cy="570230"/>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xdr:cNvPicPr>
          <a:picLocks noChangeAspect="1"/>
        </xdr:cNvPicPr>
      </xdr:nvPicPr>
      <xdr:blipFill>
        <a:blip r:embed="rId105" cstate="email"/>
        <a:stretch>
          <a:fillRect/>
        </a:stretch>
      </xdr:blipFill>
      <xdr:spPr>
        <a:xfrm>
          <a:off x="243840" y="84328000"/>
          <a:ext cx="0" cy="577215"/>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xdr:cNvPicPr>
          <a:picLocks noChangeAspect="1"/>
        </xdr:cNvPicPr>
      </xdr:nvPicPr>
      <xdr:blipFill>
        <a:blip r:embed="rId106" cstate="email"/>
        <a:stretch>
          <a:fillRect/>
        </a:stretch>
      </xdr:blipFill>
      <xdr:spPr>
        <a:xfrm>
          <a:off x="243840" y="85026500"/>
          <a:ext cx="0" cy="574675"/>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xdr:cNvPicPr>
          <a:picLocks noChangeAspect="1"/>
        </xdr:cNvPicPr>
      </xdr:nvPicPr>
      <xdr:blipFill>
        <a:blip r:embed="rId107" cstate="email"/>
        <a:stretch>
          <a:fillRect/>
        </a:stretch>
      </xdr:blipFill>
      <xdr:spPr>
        <a:xfrm>
          <a:off x="243840" y="85741510"/>
          <a:ext cx="0" cy="560070"/>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xdr:cNvPicPr>
          <a:picLocks noChangeAspect="1"/>
        </xdr:cNvPicPr>
      </xdr:nvPicPr>
      <xdr:blipFill>
        <a:blip r:embed="rId107" cstate="email"/>
        <a:stretch>
          <a:fillRect/>
        </a:stretch>
      </xdr:blipFill>
      <xdr:spPr>
        <a:xfrm>
          <a:off x="243840" y="86440010"/>
          <a:ext cx="0" cy="560070"/>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xdr:cNvPicPr>
          <a:picLocks noChangeAspect="1"/>
        </xdr:cNvPicPr>
      </xdr:nvPicPr>
      <xdr:blipFill>
        <a:blip r:embed="rId108" cstate="email"/>
        <a:stretch>
          <a:fillRect/>
        </a:stretch>
      </xdr:blipFill>
      <xdr:spPr>
        <a:xfrm>
          <a:off x="243840" y="87137240"/>
          <a:ext cx="0" cy="553085"/>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xdr:cNvPicPr>
          <a:picLocks noChangeAspect="1"/>
        </xdr:cNvPicPr>
      </xdr:nvPicPr>
      <xdr:blipFill>
        <a:blip r:embed="rId109" cstate="email"/>
        <a:stretch>
          <a:fillRect/>
        </a:stretch>
      </xdr:blipFill>
      <xdr:spPr>
        <a:xfrm>
          <a:off x="243840" y="87837010"/>
          <a:ext cx="0" cy="55880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xdr:cNvPicPr>
          <a:picLocks noChangeAspect="1"/>
        </xdr:cNvPicPr>
      </xdr:nvPicPr>
      <xdr:blipFill>
        <a:blip r:embed="rId110" cstate="email"/>
        <a:stretch>
          <a:fillRect/>
        </a:stretch>
      </xdr:blipFill>
      <xdr:spPr>
        <a:xfrm>
          <a:off x="243840" y="88518365"/>
          <a:ext cx="0" cy="57404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xdr:cNvPicPr>
          <a:picLocks noChangeAspect="1"/>
        </xdr:cNvPicPr>
      </xdr:nvPicPr>
      <xdr:blipFill>
        <a:blip r:embed="rId111" cstate="email"/>
        <a:stretch>
          <a:fillRect/>
        </a:stretch>
      </xdr:blipFill>
      <xdr:spPr>
        <a:xfrm>
          <a:off x="243840" y="89216230"/>
          <a:ext cx="0" cy="571500"/>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xdr:cNvPicPr>
          <a:picLocks noChangeAspect="1"/>
        </xdr:cNvPicPr>
      </xdr:nvPicPr>
      <xdr:blipFill>
        <a:blip r:embed="rId111" cstate="email"/>
        <a:stretch>
          <a:fillRect/>
        </a:stretch>
      </xdr:blipFill>
      <xdr:spPr>
        <a:xfrm>
          <a:off x="243840" y="89914730"/>
          <a:ext cx="0" cy="571500"/>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xdr:cNvPicPr>
          <a:picLocks noChangeAspect="1"/>
        </xdr:cNvPicPr>
      </xdr:nvPicPr>
      <xdr:blipFill>
        <a:blip r:embed="rId111" cstate="email"/>
        <a:stretch>
          <a:fillRect/>
        </a:stretch>
      </xdr:blipFill>
      <xdr:spPr>
        <a:xfrm>
          <a:off x="243840" y="90613230"/>
          <a:ext cx="0" cy="571500"/>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xdr:cNvPicPr>
          <a:picLocks noChangeAspect="1"/>
        </xdr:cNvPicPr>
      </xdr:nvPicPr>
      <xdr:blipFill>
        <a:blip r:embed="rId112" cstate="email"/>
        <a:stretch>
          <a:fillRect/>
        </a:stretch>
      </xdr:blipFill>
      <xdr:spPr>
        <a:xfrm>
          <a:off x="243840" y="91306650"/>
          <a:ext cx="0" cy="582295"/>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xdr:cNvPicPr>
          <a:picLocks noChangeAspect="1"/>
        </xdr:cNvPicPr>
      </xdr:nvPicPr>
      <xdr:blipFill>
        <a:blip r:embed="rId112" cstate="email"/>
        <a:stretch>
          <a:fillRect/>
        </a:stretch>
      </xdr:blipFill>
      <xdr:spPr>
        <a:xfrm>
          <a:off x="243840" y="92005785"/>
          <a:ext cx="0" cy="582295"/>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xdr:cNvPicPr>
          <a:picLocks noChangeAspect="1"/>
        </xdr:cNvPicPr>
      </xdr:nvPicPr>
      <xdr:blipFill>
        <a:blip r:embed="rId113" cstate="email"/>
        <a:stretch>
          <a:fillRect/>
        </a:stretch>
      </xdr:blipFill>
      <xdr:spPr>
        <a:xfrm>
          <a:off x="243840" y="92727780"/>
          <a:ext cx="0" cy="650875"/>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xdr:cNvPicPr>
          <a:picLocks noChangeAspect="1"/>
        </xdr:cNvPicPr>
      </xdr:nvPicPr>
      <xdr:blipFill>
        <a:blip r:embed="rId114" cstate="email"/>
        <a:stretch>
          <a:fillRect/>
        </a:stretch>
      </xdr:blipFill>
      <xdr:spPr>
        <a:xfrm>
          <a:off x="243840" y="93440885"/>
          <a:ext cx="0" cy="540385"/>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xdr:cNvPicPr>
          <a:picLocks noChangeAspect="1"/>
        </xdr:cNvPicPr>
      </xdr:nvPicPr>
      <xdr:blipFill>
        <a:blip r:embed="rId115" cstate="email"/>
        <a:stretch>
          <a:fillRect/>
        </a:stretch>
      </xdr:blipFill>
      <xdr:spPr>
        <a:xfrm>
          <a:off x="243840" y="94138750"/>
          <a:ext cx="0" cy="534035"/>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xdr:cNvPicPr>
          <a:picLocks noChangeAspect="1"/>
        </xdr:cNvPicPr>
      </xdr:nvPicPr>
      <xdr:blipFill>
        <a:blip r:embed="rId116" cstate="email"/>
        <a:stretch>
          <a:fillRect/>
        </a:stretch>
      </xdr:blipFill>
      <xdr:spPr>
        <a:xfrm>
          <a:off x="243840" y="94822645"/>
          <a:ext cx="0" cy="561975"/>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xdr:cNvPicPr>
          <a:picLocks noChangeAspect="1"/>
        </xdr:cNvPicPr>
      </xdr:nvPicPr>
      <xdr:blipFill>
        <a:blip r:embed="rId117" cstate="email"/>
        <a:stretch>
          <a:fillRect/>
        </a:stretch>
      </xdr:blipFill>
      <xdr:spPr>
        <a:xfrm>
          <a:off x="243840" y="95519875"/>
          <a:ext cx="0" cy="554990"/>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xdr:cNvPicPr>
          <a:picLocks noChangeAspect="1"/>
        </xdr:cNvPicPr>
      </xdr:nvPicPr>
      <xdr:blipFill>
        <a:blip r:embed="rId118" cstate="email"/>
        <a:stretch>
          <a:fillRect/>
        </a:stretch>
      </xdr:blipFill>
      <xdr:spPr>
        <a:xfrm>
          <a:off x="243840" y="96218375"/>
          <a:ext cx="0" cy="55689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xdr:cNvPicPr>
          <a:picLocks noChangeAspect="1"/>
        </xdr:cNvPicPr>
      </xdr:nvPicPr>
      <xdr:blipFill>
        <a:blip r:embed="rId119" cstate="email"/>
        <a:stretch>
          <a:fillRect/>
        </a:stretch>
      </xdr:blipFill>
      <xdr:spPr>
        <a:xfrm>
          <a:off x="243840" y="96934020"/>
          <a:ext cx="0" cy="542925"/>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xdr:cNvPicPr>
          <a:picLocks noChangeAspect="1"/>
        </xdr:cNvPicPr>
      </xdr:nvPicPr>
      <xdr:blipFill>
        <a:blip r:embed="rId120" cstate="email"/>
        <a:stretch>
          <a:fillRect/>
        </a:stretch>
      </xdr:blipFill>
      <xdr:spPr>
        <a:xfrm>
          <a:off x="243840" y="97616010"/>
          <a:ext cx="0" cy="557530"/>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xdr:cNvPicPr>
          <a:picLocks noChangeAspect="1"/>
        </xdr:cNvPicPr>
      </xdr:nvPicPr>
      <xdr:blipFill>
        <a:blip r:embed="rId121" cstate="email"/>
        <a:stretch>
          <a:fillRect/>
        </a:stretch>
      </xdr:blipFill>
      <xdr:spPr>
        <a:xfrm>
          <a:off x="243840" y="98296095"/>
          <a:ext cx="0" cy="571500"/>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xdr:cNvPicPr>
          <a:picLocks noChangeAspect="1" noChangeArrowheads="1"/>
        </xdr:cNvPicPr>
      </xdr:nvPicPr>
      <xdr:blipFill>
        <a:blip r:embed="rId122" cstate="print"/>
        <a:srcRect/>
        <a:stretch>
          <a:fillRect/>
        </a:stretch>
      </xdr:blipFill>
      <xdr:spPr>
        <a:xfrm>
          <a:off x="121920" y="13458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xdr:cNvPicPr>
          <a:picLocks noChangeAspect="1" noChangeArrowheads="1"/>
        </xdr:cNvPicPr>
      </xdr:nvPicPr>
      <xdr:blipFill>
        <a:blip r:embed="rId123" cstate="print"/>
        <a:srcRect/>
        <a:stretch>
          <a:fillRect/>
        </a:stretch>
      </xdr:blipFill>
      <xdr:spPr>
        <a:xfrm>
          <a:off x="121920" y="13458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xdr:cNvPicPr>
          <a:picLocks noChangeAspect="1" noChangeArrowheads="1"/>
        </xdr:cNvPicPr>
      </xdr:nvPicPr>
      <xdr:blipFill>
        <a:blip r:embed="rId124" cstate="print"/>
        <a:srcRect/>
        <a:stretch>
          <a:fillRect/>
        </a:stretch>
      </xdr:blipFill>
      <xdr:spPr>
        <a:xfrm>
          <a:off x="121920" y="1356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xdr:cNvPicPr>
          <a:picLocks noChangeAspect="1" noChangeArrowheads="1"/>
        </xdr:cNvPicPr>
      </xdr:nvPicPr>
      <xdr:blipFill>
        <a:blip r:embed="rId125" cstate="print"/>
        <a:srcRect/>
        <a:stretch>
          <a:fillRect/>
        </a:stretch>
      </xdr:blipFill>
      <xdr:spPr>
        <a:xfrm>
          <a:off x="121920" y="1368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xdr:cNvPicPr>
          <a:picLocks noChangeAspect="1" noChangeArrowheads="1"/>
        </xdr:cNvPicPr>
      </xdr:nvPicPr>
      <xdr:blipFill>
        <a:blip r:embed="rId125" cstate="print"/>
        <a:srcRect/>
        <a:stretch>
          <a:fillRect/>
        </a:stretch>
      </xdr:blipFill>
      <xdr:spPr>
        <a:xfrm>
          <a:off x="121920" y="1378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xdr:cNvPicPr>
          <a:picLocks noChangeAspect="1" noChangeArrowheads="1"/>
        </xdr:cNvPicPr>
      </xdr:nvPicPr>
      <xdr:blipFill>
        <a:blip r:embed="rId126" cstate="print"/>
        <a:srcRect/>
        <a:stretch>
          <a:fillRect/>
        </a:stretch>
      </xdr:blipFill>
      <xdr:spPr>
        <a:xfrm>
          <a:off x="121920" y="1390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xdr:cNvPicPr>
          <a:picLocks noChangeAspect="1" noChangeArrowheads="1"/>
        </xdr:cNvPicPr>
      </xdr:nvPicPr>
      <xdr:blipFill>
        <a:blip r:embed="rId126" cstate="print"/>
        <a:srcRect/>
        <a:stretch>
          <a:fillRect/>
        </a:stretch>
      </xdr:blipFill>
      <xdr:spPr>
        <a:xfrm>
          <a:off x="121920" y="13947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xdr:cNvPicPr>
          <a:picLocks noChangeAspect="1" noChangeArrowheads="1"/>
        </xdr:cNvPicPr>
      </xdr:nvPicPr>
      <xdr:blipFill>
        <a:blip r:embed="rId127" cstate="print"/>
        <a:srcRect/>
        <a:stretch>
          <a:fillRect/>
        </a:stretch>
      </xdr:blipFill>
      <xdr:spPr>
        <a:xfrm>
          <a:off x="121920" y="13985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xdr:cNvPicPr>
          <a:picLocks noChangeAspect="1" noChangeArrowheads="1"/>
        </xdr:cNvPicPr>
      </xdr:nvPicPr>
      <xdr:blipFill>
        <a:blip r:embed="rId128" cstate="print"/>
        <a:srcRect/>
        <a:stretch>
          <a:fillRect/>
        </a:stretch>
      </xdr:blipFill>
      <xdr:spPr>
        <a:xfrm>
          <a:off x="121920" y="14029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xdr:cNvPicPr>
          <a:picLocks noChangeAspect="1" noChangeArrowheads="1"/>
        </xdr:cNvPicPr>
      </xdr:nvPicPr>
      <xdr:blipFill>
        <a:blip r:embed="rId128" cstate="print"/>
        <a:srcRect/>
        <a:stretch>
          <a:fillRect/>
        </a:stretch>
      </xdr:blipFill>
      <xdr:spPr>
        <a:xfrm>
          <a:off x="121920" y="14137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xdr:cNvPicPr>
          <a:picLocks noChangeAspect="1" noChangeArrowheads="1"/>
        </xdr:cNvPicPr>
      </xdr:nvPicPr>
      <xdr:blipFill>
        <a:blip r:embed="rId129" cstate="print"/>
        <a:srcRect/>
        <a:stretch>
          <a:fillRect/>
        </a:stretch>
      </xdr:blipFill>
      <xdr:spPr>
        <a:xfrm>
          <a:off x="243840" y="13466635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xdr:cNvPicPr>
          <a:picLocks noChangeAspect="1" noChangeArrowheads="1"/>
        </xdr:cNvPicPr>
      </xdr:nvPicPr>
      <xdr:blipFill>
        <a:blip r:embed="rId130" cstate="print"/>
        <a:srcRect/>
        <a:stretch>
          <a:fillRect/>
        </a:stretch>
      </xdr:blipFill>
      <xdr:spPr>
        <a:xfrm>
          <a:off x="243840" y="13536485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xdr:cNvPicPr>
          <a:picLocks noChangeAspect="1" noChangeArrowheads="1"/>
        </xdr:cNvPicPr>
      </xdr:nvPicPr>
      <xdr:blipFill>
        <a:blip r:embed="rId131" cstate="print"/>
        <a:srcRect/>
        <a:stretch>
          <a:fillRect/>
        </a:stretch>
      </xdr:blipFill>
      <xdr:spPr>
        <a:xfrm>
          <a:off x="243840" y="136086850"/>
          <a:ext cx="0" cy="525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xdr:cNvPicPr>
          <a:picLocks noChangeAspect="1" noChangeArrowheads="1"/>
        </xdr:cNvPicPr>
      </xdr:nvPicPr>
      <xdr:blipFill>
        <a:blip r:embed="rId132" cstate="print"/>
        <a:srcRect/>
        <a:stretch>
          <a:fillRect/>
        </a:stretch>
      </xdr:blipFill>
      <xdr:spPr>
        <a:xfrm>
          <a:off x="243840" y="136762490"/>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xdr:cNvPicPr>
          <a:picLocks noChangeAspect="1" noChangeArrowheads="1"/>
        </xdr:cNvPicPr>
      </xdr:nvPicPr>
      <xdr:blipFill>
        <a:blip r:embed="rId133" cstate="print"/>
        <a:srcRect/>
        <a:stretch>
          <a:fillRect/>
        </a:stretch>
      </xdr:blipFill>
      <xdr:spPr>
        <a:xfrm>
          <a:off x="243840" y="137460990"/>
          <a:ext cx="0" cy="542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xdr:cNvPicPr>
          <a:picLocks noChangeAspect="1" noChangeArrowheads="1"/>
        </xdr:cNvPicPr>
      </xdr:nvPicPr>
      <xdr:blipFill>
        <a:blip r:embed="rId134" cstate="print"/>
        <a:srcRect/>
        <a:stretch>
          <a:fillRect/>
        </a:stretch>
      </xdr:blipFill>
      <xdr:spPr>
        <a:xfrm flipH="1">
          <a:off x="243840" y="138169650"/>
          <a:ext cx="0" cy="464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xdr:cNvPicPr>
          <a:picLocks noChangeAspect="1" noChangeArrowheads="1"/>
        </xdr:cNvPicPr>
      </xdr:nvPicPr>
      <xdr:blipFill>
        <a:blip r:embed="rId135" cstate="print"/>
        <a:srcRect/>
        <a:stretch>
          <a:fillRect/>
        </a:stretch>
      </xdr:blipFill>
      <xdr:spPr>
        <a:xfrm>
          <a:off x="243840" y="138906250"/>
          <a:ext cx="0" cy="43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xdr:cNvPicPr>
          <a:picLocks noChangeAspect="1" noChangeArrowheads="1"/>
        </xdr:cNvPicPr>
      </xdr:nvPicPr>
      <xdr:blipFill>
        <a:blip r:embed="rId136" cstate="print"/>
        <a:srcRect/>
        <a:stretch>
          <a:fillRect/>
        </a:stretch>
      </xdr:blipFill>
      <xdr:spPr>
        <a:xfrm>
          <a:off x="243840" y="13955776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xdr:cNvPicPr>
          <a:picLocks noChangeAspect="1" noChangeArrowheads="1"/>
        </xdr:cNvPicPr>
      </xdr:nvPicPr>
      <xdr:blipFill>
        <a:blip r:embed="rId137" cstate="email"/>
        <a:srcRect/>
        <a:stretch>
          <a:fillRect/>
        </a:stretch>
      </xdr:blipFill>
      <xdr:spPr>
        <a:xfrm>
          <a:off x="243840" y="140277850"/>
          <a:ext cx="0" cy="4565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xdr:cNvPicPr>
          <a:picLocks noChangeAspect="1" noChangeArrowheads="1"/>
        </xdr:cNvPicPr>
      </xdr:nvPicPr>
      <xdr:blipFill>
        <a:blip r:embed="rId138" cstate="email"/>
        <a:srcRect/>
        <a:stretch>
          <a:fillRect/>
        </a:stretch>
      </xdr:blipFill>
      <xdr:spPr>
        <a:xfrm>
          <a:off x="243840" y="140955395"/>
          <a:ext cx="0"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xdr:cNvPicPr>
          <a:picLocks noChangeAspect="1" noChangeArrowheads="1"/>
        </xdr:cNvPicPr>
      </xdr:nvPicPr>
      <xdr:blipFill>
        <a:blip r:embed="rId139" cstate="print"/>
        <a:srcRect/>
        <a:stretch>
          <a:fillRect/>
        </a:stretch>
      </xdr:blipFill>
      <xdr:spPr>
        <a:xfrm>
          <a:off x="243840" y="1416621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xdr:cNvPicPr>
          <a:picLocks noChangeAspect="1" noChangeArrowheads="1"/>
        </xdr:cNvPicPr>
      </xdr:nvPicPr>
      <xdr:blipFill>
        <a:blip r:embed="rId140" cstate="email"/>
        <a:srcRect/>
        <a:stretch>
          <a:fillRect/>
        </a:stretch>
      </xdr:blipFill>
      <xdr:spPr>
        <a:xfrm>
          <a:off x="243840" y="142368905"/>
          <a:ext cx="0" cy="528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xdr:cNvPicPr>
          <a:picLocks noChangeAspect="1" noChangeArrowheads="1"/>
        </xdr:cNvPicPr>
      </xdr:nvPicPr>
      <xdr:blipFill>
        <a:blip r:embed="rId141" cstate="print"/>
        <a:srcRect/>
        <a:stretch>
          <a:fillRect/>
        </a:stretch>
      </xdr:blipFill>
      <xdr:spPr>
        <a:xfrm>
          <a:off x="243840" y="143054705"/>
          <a:ext cx="0"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xdr:cNvPicPr>
          <a:picLocks noChangeAspect="1" noChangeArrowheads="1"/>
        </xdr:cNvPicPr>
      </xdr:nvPicPr>
      <xdr:blipFill>
        <a:blip r:embed="rId142" cstate="print"/>
        <a:srcRect/>
        <a:stretch>
          <a:fillRect/>
        </a:stretch>
      </xdr:blipFill>
      <xdr:spPr>
        <a:xfrm>
          <a:off x="243840" y="143753840"/>
          <a:ext cx="0" cy="537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xdr:cNvPicPr>
          <a:picLocks noChangeAspect="1" noChangeArrowheads="1"/>
        </xdr:cNvPicPr>
      </xdr:nvPicPr>
      <xdr:blipFill>
        <a:blip r:embed="rId143" cstate="email"/>
        <a:srcRect/>
        <a:stretch>
          <a:fillRect/>
        </a:stretch>
      </xdr:blipFill>
      <xdr:spPr>
        <a:xfrm>
          <a:off x="243840" y="144452975"/>
          <a:ext cx="0"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xdr:cNvPicPr>
          <a:picLocks noChangeAspect="1" noChangeArrowheads="1"/>
        </xdr:cNvPicPr>
      </xdr:nvPicPr>
      <xdr:blipFill>
        <a:blip r:embed="rId144" cstate="email"/>
        <a:srcRect/>
        <a:stretch>
          <a:fillRect/>
        </a:stretch>
      </xdr:blipFill>
      <xdr:spPr>
        <a:xfrm>
          <a:off x="243840" y="145153380"/>
          <a:ext cx="0"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xdr:cNvPicPr>
          <a:picLocks noChangeAspect="1" noChangeArrowheads="1"/>
        </xdr:cNvPicPr>
      </xdr:nvPicPr>
      <xdr:blipFill>
        <a:blip r:embed="rId144" cstate="email"/>
        <a:srcRect/>
        <a:stretch>
          <a:fillRect/>
        </a:stretch>
      </xdr:blipFill>
      <xdr:spPr>
        <a:xfrm>
          <a:off x="243840" y="145852515"/>
          <a:ext cx="0" cy="5353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xdr:cNvPicPr>
          <a:picLocks noChangeAspect="1" noChangeArrowheads="1"/>
        </xdr:cNvPicPr>
      </xdr:nvPicPr>
      <xdr:blipFill>
        <a:blip r:embed="rId145" cstate="email"/>
        <a:srcRect/>
        <a:stretch>
          <a:fillRect/>
        </a:stretch>
      </xdr:blipFill>
      <xdr:spPr>
        <a:xfrm>
          <a:off x="243840" y="146551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xdr:cNvPicPr>
          <a:picLocks noChangeAspect="1" noChangeArrowheads="1"/>
        </xdr:cNvPicPr>
      </xdr:nvPicPr>
      <xdr:blipFill>
        <a:blip r:embed="rId146" cstate="email"/>
        <a:srcRect/>
        <a:stretch>
          <a:fillRect/>
        </a:stretch>
      </xdr:blipFill>
      <xdr:spPr>
        <a:xfrm>
          <a:off x="243840" y="147252690"/>
          <a:ext cx="0" cy="5727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xdr:cNvPicPr>
          <a:picLocks noChangeAspect="1" noChangeArrowheads="1"/>
        </xdr:cNvPicPr>
      </xdr:nvPicPr>
      <xdr:blipFill>
        <a:blip r:embed="rId147" cstate="email"/>
        <a:srcRect/>
        <a:stretch>
          <a:fillRect/>
        </a:stretch>
      </xdr:blipFill>
      <xdr:spPr>
        <a:xfrm>
          <a:off x="243840" y="147986750"/>
          <a:ext cx="0"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xdr:cNvPicPr>
          <a:picLocks noChangeAspect="1" noChangeArrowheads="1"/>
        </xdr:cNvPicPr>
      </xdr:nvPicPr>
      <xdr:blipFill>
        <a:blip r:embed="rId148" cstate="email"/>
        <a:srcRect/>
        <a:stretch>
          <a:fillRect/>
        </a:stretch>
      </xdr:blipFill>
      <xdr:spPr>
        <a:xfrm>
          <a:off x="243840" y="148634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xdr:cNvPicPr>
          <a:picLocks noChangeAspect="1" noChangeArrowheads="1"/>
        </xdr:cNvPicPr>
      </xdr:nvPicPr>
      <xdr:blipFill>
        <a:blip r:embed="rId149" cstate="print"/>
        <a:srcRect/>
        <a:stretch>
          <a:fillRect/>
        </a:stretch>
      </xdr:blipFill>
      <xdr:spPr>
        <a:xfrm>
          <a:off x="243840" y="149358350"/>
          <a:ext cx="0" cy="525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xdr:cNvPicPr>
          <a:picLocks noChangeAspect="1" noChangeArrowheads="1"/>
        </xdr:cNvPicPr>
      </xdr:nvPicPr>
      <xdr:blipFill>
        <a:blip r:embed="rId150" cstate="email"/>
        <a:srcRect/>
        <a:stretch>
          <a:fillRect/>
        </a:stretch>
      </xdr:blipFill>
      <xdr:spPr>
        <a:xfrm>
          <a:off x="243840" y="150031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xdr:cNvPicPr>
          <a:picLocks noChangeAspect="1" noChangeArrowheads="1"/>
        </xdr:cNvPicPr>
      </xdr:nvPicPr>
      <xdr:blipFill>
        <a:blip r:embed="rId150" cstate="email"/>
        <a:srcRect/>
        <a:stretch>
          <a:fillRect/>
        </a:stretch>
      </xdr:blipFill>
      <xdr:spPr>
        <a:xfrm>
          <a:off x="243840" y="150729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xdr:cNvPicPr>
          <a:picLocks noChangeAspect="1" noChangeArrowheads="1"/>
        </xdr:cNvPicPr>
      </xdr:nvPicPr>
      <xdr:blipFill>
        <a:blip r:embed="rId151" cstate="email"/>
        <a:srcRect/>
        <a:stretch>
          <a:fillRect/>
        </a:stretch>
      </xdr:blipFill>
      <xdr:spPr>
        <a:xfrm>
          <a:off x="243840" y="151428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xdr:cNvPicPr>
          <a:picLocks noChangeAspect="1" noChangeArrowheads="1"/>
        </xdr:cNvPicPr>
      </xdr:nvPicPr>
      <xdr:blipFill>
        <a:blip r:embed="rId151" cstate="email"/>
        <a:srcRect/>
        <a:stretch>
          <a:fillRect/>
        </a:stretch>
      </xdr:blipFill>
      <xdr:spPr>
        <a:xfrm>
          <a:off x="243840" y="152126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xdr:cNvPicPr>
          <a:picLocks noChangeAspect="1" noChangeArrowheads="1"/>
        </xdr:cNvPicPr>
      </xdr:nvPicPr>
      <xdr:blipFill>
        <a:blip r:embed="rId152" cstate="email"/>
        <a:srcRect/>
        <a:stretch>
          <a:fillRect/>
        </a:stretch>
      </xdr:blipFill>
      <xdr:spPr>
        <a:xfrm>
          <a:off x="243840" y="152825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xdr:cNvPicPr>
          <a:picLocks noChangeAspect="1" noChangeArrowheads="1"/>
        </xdr:cNvPicPr>
      </xdr:nvPicPr>
      <xdr:blipFill>
        <a:blip r:embed="rId153" cstate="email"/>
        <a:srcRect/>
        <a:stretch>
          <a:fillRect/>
        </a:stretch>
      </xdr:blipFill>
      <xdr:spPr>
        <a:xfrm>
          <a:off x="243840" y="153523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xdr:cNvPicPr>
          <a:picLocks noChangeAspect="1" noChangeArrowheads="1"/>
        </xdr:cNvPicPr>
      </xdr:nvPicPr>
      <xdr:blipFill>
        <a:blip r:embed="rId154" cstate="print"/>
        <a:srcRect/>
        <a:stretch>
          <a:fillRect/>
        </a:stretch>
      </xdr:blipFill>
      <xdr:spPr>
        <a:xfrm>
          <a:off x="243840" y="154260550"/>
          <a:ext cx="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xdr:cNvPicPr>
          <a:picLocks noChangeAspect="1" noChangeArrowheads="1"/>
        </xdr:cNvPicPr>
      </xdr:nvPicPr>
      <xdr:blipFill>
        <a:blip r:embed="rId155" cstate="email"/>
        <a:srcRect/>
        <a:stretch>
          <a:fillRect/>
        </a:stretch>
      </xdr:blipFill>
      <xdr:spPr>
        <a:xfrm>
          <a:off x="243840" y="154920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xdr:cNvPicPr>
          <a:picLocks noChangeAspect="1" noChangeArrowheads="1"/>
        </xdr:cNvPicPr>
      </xdr:nvPicPr>
      <xdr:blipFill>
        <a:blip r:embed="rId156" cstate="email"/>
        <a:srcRect/>
        <a:stretch>
          <a:fillRect/>
        </a:stretch>
      </xdr:blipFill>
      <xdr:spPr>
        <a:xfrm>
          <a:off x="243840" y="155619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xdr:cNvPicPr>
          <a:picLocks noChangeAspect="1" noChangeArrowheads="1"/>
        </xdr:cNvPicPr>
      </xdr:nvPicPr>
      <xdr:blipFill>
        <a:blip r:embed="rId156" cstate="email"/>
        <a:srcRect/>
        <a:stretch>
          <a:fillRect/>
        </a:stretch>
      </xdr:blipFill>
      <xdr:spPr>
        <a:xfrm>
          <a:off x="243840" y="156317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xdr:cNvPicPr>
          <a:picLocks noChangeAspect="1" noChangeArrowheads="1"/>
        </xdr:cNvPicPr>
      </xdr:nvPicPr>
      <xdr:blipFill>
        <a:blip r:embed="rId157" cstate="email"/>
        <a:srcRect/>
        <a:stretch>
          <a:fillRect/>
        </a:stretch>
      </xdr:blipFill>
      <xdr:spPr>
        <a:xfrm>
          <a:off x="243840" y="157016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xdr:cNvPicPr>
          <a:picLocks noChangeAspect="1" noChangeArrowheads="1"/>
        </xdr:cNvPicPr>
      </xdr:nvPicPr>
      <xdr:blipFill>
        <a:blip r:embed="rId158" cstate="email"/>
        <a:srcRect/>
        <a:stretch>
          <a:fillRect/>
        </a:stretch>
      </xdr:blipFill>
      <xdr:spPr>
        <a:xfrm>
          <a:off x="243840" y="157714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xdr:cNvPicPr>
          <a:picLocks noChangeAspect="1" noChangeArrowheads="1"/>
        </xdr:cNvPicPr>
      </xdr:nvPicPr>
      <xdr:blipFill>
        <a:blip r:embed="rId159" cstate="email"/>
        <a:srcRect/>
        <a:stretch>
          <a:fillRect/>
        </a:stretch>
      </xdr:blipFill>
      <xdr:spPr>
        <a:xfrm>
          <a:off x="243840" y="158413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xdr:cNvPicPr>
          <a:picLocks noChangeAspect="1" noChangeArrowheads="1"/>
        </xdr:cNvPicPr>
      </xdr:nvPicPr>
      <xdr:blipFill>
        <a:blip r:embed="rId160" cstate="email"/>
        <a:srcRect/>
        <a:stretch>
          <a:fillRect/>
        </a:stretch>
      </xdr:blipFill>
      <xdr:spPr>
        <a:xfrm>
          <a:off x="243840" y="159111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xdr:cNvPicPr>
          <a:picLocks noChangeAspect="1" noChangeArrowheads="1"/>
        </xdr:cNvPicPr>
      </xdr:nvPicPr>
      <xdr:blipFill>
        <a:blip r:embed="rId160" cstate="email"/>
        <a:srcRect/>
        <a:stretch>
          <a:fillRect/>
        </a:stretch>
      </xdr:blipFill>
      <xdr:spPr>
        <a:xfrm>
          <a:off x="243840" y="159810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xdr:cNvPicPr>
          <a:picLocks noChangeAspect="1" noChangeArrowheads="1"/>
        </xdr:cNvPicPr>
      </xdr:nvPicPr>
      <xdr:blipFill>
        <a:blip r:embed="rId156" cstate="email"/>
        <a:srcRect/>
        <a:stretch>
          <a:fillRect/>
        </a:stretch>
      </xdr:blipFill>
      <xdr:spPr>
        <a:xfrm>
          <a:off x="243840" y="160508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xdr:cNvPicPr>
          <a:picLocks noChangeAspect="1" noChangeArrowheads="1"/>
        </xdr:cNvPicPr>
      </xdr:nvPicPr>
      <xdr:blipFill>
        <a:blip r:embed="rId161" cstate="email"/>
        <a:srcRect/>
        <a:stretch>
          <a:fillRect/>
        </a:stretch>
      </xdr:blipFill>
      <xdr:spPr>
        <a:xfrm>
          <a:off x="243840" y="161207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xdr:cNvPicPr>
          <a:picLocks noChangeAspect="1" noChangeArrowheads="1"/>
        </xdr:cNvPicPr>
      </xdr:nvPicPr>
      <xdr:blipFill>
        <a:blip r:embed="rId162" cstate="print"/>
        <a:srcRect/>
        <a:stretch>
          <a:fillRect/>
        </a:stretch>
      </xdr:blipFill>
      <xdr:spPr>
        <a:xfrm>
          <a:off x="243840" y="161905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xdr:cNvPicPr>
          <a:picLocks noChangeAspect="1" noChangeArrowheads="1"/>
        </xdr:cNvPicPr>
      </xdr:nvPicPr>
      <xdr:blipFill>
        <a:blip r:embed="rId163" cstate="print"/>
        <a:srcRect/>
        <a:stretch>
          <a:fillRect/>
        </a:stretch>
      </xdr:blipFill>
      <xdr:spPr>
        <a:xfrm>
          <a:off x="243840" y="16260635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xdr:cNvPicPr>
          <a:picLocks noChangeAspect="1" noChangeArrowheads="1"/>
        </xdr:cNvPicPr>
      </xdr:nvPicPr>
      <xdr:blipFill>
        <a:blip r:embed="rId164" cstate="print">
          <a:extLst>
            <a:ext uri="{28A0092B-C50C-407E-A947-70E740481C1C}">
              <a14:useLocalDpi xmlns:a14="http://schemas.microsoft.com/office/drawing/2010/main" val="0"/>
            </a:ext>
          </a:extLst>
        </a:blip>
        <a:srcRect/>
        <a:stretch>
          <a:fillRect/>
        </a:stretch>
      </xdr:blipFill>
      <xdr:spPr>
        <a:xfrm>
          <a:off x="121920" y="163220400"/>
          <a:ext cx="121920" cy="19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xdr:cNvPicPr>
          <a:picLocks noChangeAspect="1" noChangeArrowheads="1"/>
        </xdr:cNvPicPr>
      </xdr:nvPicPr>
      <xdr:blipFill>
        <a:blip r:embed="rId165" cstate="print"/>
        <a:srcRect/>
        <a:stretch>
          <a:fillRect/>
        </a:stretch>
      </xdr:blipFill>
      <xdr:spPr>
        <a:xfrm>
          <a:off x="243840" y="163307395"/>
          <a:ext cx="0" cy="541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xdr:cNvPicPr>
          <a:picLocks noChangeAspect="1" noChangeArrowheads="1"/>
        </xdr:cNvPicPr>
      </xdr:nvPicPr>
      <xdr:blipFill>
        <a:blip r:embed="rId166" cstate="print"/>
        <a:srcRect/>
        <a:stretch>
          <a:fillRect/>
        </a:stretch>
      </xdr:blipFill>
      <xdr:spPr>
        <a:xfrm>
          <a:off x="243840" y="164009070"/>
          <a:ext cx="0"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xdr:cNvPicPr>
          <a:picLocks noChangeAspect="1" noChangeArrowheads="1"/>
        </xdr:cNvPicPr>
      </xdr:nvPicPr>
      <xdr:blipFill>
        <a:blip r:embed="rId167" cstate="print"/>
        <a:srcRect/>
        <a:stretch>
          <a:fillRect/>
        </a:stretch>
      </xdr:blipFill>
      <xdr:spPr>
        <a:xfrm>
          <a:off x="243840" y="164709475"/>
          <a:ext cx="0" cy="53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xdr:cNvPicPr>
          <a:picLocks noChangeAspect="1" noChangeArrowheads="1"/>
        </xdr:cNvPicPr>
      </xdr:nvPicPr>
      <xdr:blipFill>
        <a:blip r:embed="rId168" cstate="print"/>
        <a:srcRect/>
        <a:stretch>
          <a:fillRect/>
        </a:stretch>
      </xdr:blipFill>
      <xdr:spPr>
        <a:xfrm>
          <a:off x="243840" y="165409880"/>
          <a:ext cx="0" cy="535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xdr:cNvPicPr>
          <a:picLocks noChangeAspect="1" noChangeArrowheads="1"/>
        </xdr:cNvPicPr>
      </xdr:nvPicPr>
      <xdr:blipFill>
        <a:blip r:embed="rId169" cstate="email"/>
        <a:srcRect/>
        <a:stretch>
          <a:fillRect/>
        </a:stretch>
      </xdr:blipFill>
      <xdr:spPr>
        <a:xfrm>
          <a:off x="243840" y="16609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xdr:cNvPicPr>
          <a:picLocks noChangeAspect="1" noChangeArrowheads="1"/>
        </xdr:cNvPicPr>
      </xdr:nvPicPr>
      <xdr:blipFill>
        <a:blip r:embed="rId170" cstate="email"/>
        <a:srcRect/>
        <a:stretch>
          <a:fillRect/>
        </a:stretch>
      </xdr:blipFill>
      <xdr:spPr>
        <a:xfrm>
          <a:off x="243840" y="16679735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xdr:cNvPicPr>
          <a:picLocks noChangeAspect="1" noChangeArrowheads="1"/>
        </xdr:cNvPicPr>
      </xdr:nvPicPr>
      <xdr:blipFill>
        <a:blip r:embed="rId171" cstate="email"/>
        <a:srcRect/>
        <a:stretch>
          <a:fillRect/>
        </a:stretch>
      </xdr:blipFill>
      <xdr:spPr>
        <a:xfrm>
          <a:off x="243840" y="16749839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xdr:cNvPicPr>
          <a:picLocks noChangeAspect="1" noChangeArrowheads="1"/>
        </xdr:cNvPicPr>
      </xdr:nvPicPr>
      <xdr:blipFill>
        <a:blip r:embed="rId172" cstate="email"/>
        <a:srcRect/>
        <a:stretch>
          <a:fillRect/>
        </a:stretch>
      </xdr:blipFill>
      <xdr:spPr>
        <a:xfrm>
          <a:off x="243840" y="16819880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xdr:cNvPicPr>
          <a:picLocks noChangeAspect="1" noChangeArrowheads="1"/>
        </xdr:cNvPicPr>
      </xdr:nvPicPr>
      <xdr:blipFill>
        <a:blip r:embed="rId173" cstate="print"/>
        <a:srcRect/>
        <a:stretch>
          <a:fillRect/>
        </a:stretch>
      </xdr:blipFill>
      <xdr:spPr>
        <a:xfrm>
          <a:off x="243840" y="168899205"/>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xdr:cNvPicPr>
          <a:picLocks noChangeAspect="1" noChangeArrowheads="1"/>
        </xdr:cNvPicPr>
      </xdr:nvPicPr>
      <xdr:blipFill>
        <a:blip r:embed="rId174" cstate="email"/>
        <a:srcRect/>
        <a:stretch>
          <a:fillRect/>
        </a:stretch>
      </xdr:blipFill>
      <xdr:spPr>
        <a:xfrm>
          <a:off x="243840" y="16960024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xdr:cNvPicPr>
          <a:picLocks noChangeAspect="1" noChangeArrowheads="1"/>
        </xdr:cNvPicPr>
      </xdr:nvPicPr>
      <xdr:blipFill>
        <a:blip r:embed="rId175" cstate="email"/>
        <a:srcRect/>
        <a:stretch>
          <a:fillRect/>
        </a:stretch>
      </xdr:blipFill>
      <xdr:spPr>
        <a:xfrm>
          <a:off x="243840" y="170300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xdr:cNvPicPr>
          <a:picLocks noChangeAspect="1" noChangeArrowheads="1"/>
        </xdr:cNvPicPr>
      </xdr:nvPicPr>
      <xdr:blipFill>
        <a:blip r:embed="rId176" cstate="email"/>
        <a:srcRect/>
        <a:stretch>
          <a:fillRect/>
        </a:stretch>
      </xdr:blipFill>
      <xdr:spPr>
        <a:xfrm>
          <a:off x="243840" y="1709864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xdr:cNvPicPr>
          <a:picLocks noChangeAspect="1" noChangeArrowheads="1"/>
        </xdr:cNvPicPr>
      </xdr:nvPicPr>
      <xdr:blipFill>
        <a:blip r:embed="rId177" cstate="print"/>
        <a:srcRect/>
        <a:stretch>
          <a:fillRect/>
        </a:stretch>
      </xdr:blipFill>
      <xdr:spPr>
        <a:xfrm>
          <a:off x="243840" y="171710350"/>
          <a:ext cx="0" cy="521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xdr:cNvPicPr>
          <a:picLocks noChangeAspect="1" noChangeArrowheads="1"/>
        </xdr:cNvPicPr>
      </xdr:nvPicPr>
      <xdr:blipFill>
        <a:blip r:embed="rId178" cstate="email"/>
        <a:srcRect/>
        <a:stretch>
          <a:fillRect/>
        </a:stretch>
      </xdr:blipFill>
      <xdr:spPr>
        <a:xfrm>
          <a:off x="243840" y="1723834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xdr:cNvPicPr>
          <a:picLocks noChangeAspect="1" noChangeArrowheads="1"/>
        </xdr:cNvPicPr>
      </xdr:nvPicPr>
      <xdr:blipFill>
        <a:blip r:embed="rId179" cstate="email"/>
        <a:srcRect/>
        <a:stretch>
          <a:fillRect/>
        </a:stretch>
      </xdr:blipFill>
      <xdr:spPr>
        <a:xfrm>
          <a:off x="243840" y="17308195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xdr:cNvPicPr>
          <a:picLocks noChangeAspect="1" noChangeArrowheads="1"/>
        </xdr:cNvPicPr>
      </xdr:nvPicPr>
      <xdr:blipFill>
        <a:blip r:embed="rId180" cstate="email"/>
        <a:srcRect/>
        <a:stretch>
          <a:fillRect/>
        </a:stretch>
      </xdr:blipFill>
      <xdr:spPr>
        <a:xfrm>
          <a:off x="243840" y="173780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xdr:cNvPicPr>
          <a:picLocks noChangeAspect="1" noChangeArrowheads="1"/>
        </xdr:cNvPicPr>
      </xdr:nvPicPr>
      <xdr:blipFill>
        <a:blip r:embed="rId181" cstate="email"/>
        <a:srcRect/>
        <a:stretch>
          <a:fillRect/>
        </a:stretch>
      </xdr:blipFill>
      <xdr:spPr>
        <a:xfrm>
          <a:off x="243840" y="174478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xdr:cNvPicPr>
          <a:picLocks noChangeAspect="1" noChangeArrowheads="1"/>
        </xdr:cNvPicPr>
      </xdr:nvPicPr>
      <xdr:blipFill>
        <a:blip r:embed="rId182" cstate="email"/>
        <a:srcRect/>
        <a:stretch>
          <a:fillRect/>
        </a:stretch>
      </xdr:blipFill>
      <xdr:spPr>
        <a:xfrm>
          <a:off x="243840" y="175177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xdr:cNvPicPr>
          <a:picLocks noChangeAspect="1" noChangeArrowheads="1"/>
        </xdr:cNvPicPr>
      </xdr:nvPicPr>
      <xdr:blipFill>
        <a:blip r:embed="rId183" cstate="email"/>
        <a:srcRect/>
        <a:stretch>
          <a:fillRect/>
        </a:stretch>
      </xdr:blipFill>
      <xdr:spPr>
        <a:xfrm>
          <a:off x="243840" y="175875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xdr:cNvPicPr>
          <a:picLocks noChangeAspect="1" noChangeArrowheads="1"/>
        </xdr:cNvPicPr>
      </xdr:nvPicPr>
      <xdr:blipFill>
        <a:blip r:embed="rId184" cstate="email"/>
        <a:srcRect/>
        <a:stretch>
          <a:fillRect/>
        </a:stretch>
      </xdr:blipFill>
      <xdr:spPr>
        <a:xfrm>
          <a:off x="243840" y="176574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xdr:cNvPicPr>
          <a:picLocks noChangeAspect="1" noChangeArrowheads="1"/>
        </xdr:cNvPicPr>
      </xdr:nvPicPr>
      <xdr:blipFill>
        <a:blip r:embed="rId185" cstate="email"/>
        <a:srcRect/>
        <a:stretch>
          <a:fillRect/>
        </a:stretch>
      </xdr:blipFill>
      <xdr:spPr>
        <a:xfrm>
          <a:off x="243840" y="177272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xdr:cNvPicPr>
          <a:picLocks noChangeAspect="1" noChangeArrowheads="1"/>
        </xdr:cNvPicPr>
      </xdr:nvPicPr>
      <xdr:blipFill>
        <a:blip r:embed="rId186" cstate="email"/>
        <a:srcRect/>
        <a:stretch>
          <a:fillRect/>
        </a:stretch>
      </xdr:blipFill>
      <xdr:spPr>
        <a:xfrm>
          <a:off x="243840" y="177971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xdr:cNvPicPr>
          <a:picLocks noChangeAspect="1" noChangeArrowheads="1"/>
        </xdr:cNvPicPr>
      </xdr:nvPicPr>
      <xdr:blipFill>
        <a:blip r:embed="rId187" cstate="email"/>
        <a:srcRect/>
        <a:stretch>
          <a:fillRect/>
        </a:stretch>
      </xdr:blipFill>
      <xdr:spPr>
        <a:xfrm>
          <a:off x="243840" y="1786826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xdr:cNvPicPr>
          <a:picLocks noChangeAspect="1" noChangeArrowheads="1"/>
        </xdr:cNvPicPr>
      </xdr:nvPicPr>
      <xdr:blipFill>
        <a:blip r:embed="rId188" cstate="email"/>
        <a:srcRect/>
        <a:stretch>
          <a:fillRect/>
        </a:stretch>
      </xdr:blipFill>
      <xdr:spPr>
        <a:xfrm>
          <a:off x="243840" y="1793684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xdr:cNvPicPr>
          <a:picLocks noChangeAspect="1" noChangeArrowheads="1"/>
        </xdr:cNvPicPr>
      </xdr:nvPicPr>
      <xdr:blipFill>
        <a:blip r:embed="rId189" cstate="email"/>
        <a:srcRect/>
        <a:stretch>
          <a:fillRect/>
        </a:stretch>
      </xdr:blipFill>
      <xdr:spPr>
        <a:xfrm>
          <a:off x="243840" y="180066950"/>
          <a:ext cx="0" cy="544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xdr:cNvPicPr>
          <a:picLocks noChangeAspect="1" noChangeArrowheads="1"/>
        </xdr:cNvPicPr>
      </xdr:nvPicPr>
      <xdr:blipFill>
        <a:blip r:embed="rId190" cstate="print"/>
        <a:srcRect/>
        <a:stretch>
          <a:fillRect/>
        </a:stretch>
      </xdr:blipFill>
      <xdr:spPr>
        <a:xfrm>
          <a:off x="121920" y="10003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xdr:cNvPicPr>
          <a:picLocks noChangeAspect="1" noChangeArrowheads="1"/>
        </xdr:cNvPicPr>
      </xdr:nvPicPr>
      <xdr:blipFill>
        <a:blip r:embed="rId191" cstate="print"/>
        <a:srcRect/>
        <a:stretch>
          <a:fillRect/>
        </a:stretch>
      </xdr:blipFill>
      <xdr:spPr>
        <a:xfrm>
          <a:off x="121920" y="10118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xdr:cNvPicPr>
          <a:picLocks noChangeAspect="1" noChangeArrowheads="1"/>
        </xdr:cNvPicPr>
      </xdr:nvPicPr>
      <xdr:blipFill>
        <a:blip r:embed="rId191" cstate="print"/>
        <a:srcRect/>
        <a:stretch>
          <a:fillRect/>
        </a:stretch>
      </xdr:blipFill>
      <xdr:spPr>
        <a:xfrm>
          <a:off x="121920" y="10226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xdr:cNvPicPr>
          <a:picLocks noChangeAspect="1" noChangeArrowheads="1"/>
        </xdr:cNvPicPr>
      </xdr:nvPicPr>
      <xdr:blipFill>
        <a:blip r:embed="rId192" cstate="print"/>
        <a:srcRect/>
        <a:stretch>
          <a:fillRect/>
        </a:stretch>
      </xdr:blipFill>
      <xdr:spPr>
        <a:xfrm>
          <a:off x="121920" y="10340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xdr:cNvPicPr>
          <a:picLocks noChangeAspect="1" noChangeArrowheads="1"/>
        </xdr:cNvPicPr>
      </xdr:nvPicPr>
      <xdr:blipFill>
        <a:blip r:embed="rId193" cstate="print"/>
        <a:srcRect/>
        <a:stretch>
          <a:fillRect/>
        </a:stretch>
      </xdr:blipFill>
      <xdr:spPr>
        <a:xfrm>
          <a:off x="121920" y="10454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xdr:cNvPicPr>
          <a:picLocks noChangeAspect="1" noChangeArrowheads="1"/>
        </xdr:cNvPicPr>
      </xdr:nvPicPr>
      <xdr:blipFill>
        <a:blip r:embed="rId193" cstate="print"/>
        <a:srcRect/>
        <a:stretch>
          <a:fillRect/>
        </a:stretch>
      </xdr:blipFill>
      <xdr:spPr>
        <a:xfrm>
          <a:off x="121920" y="10562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xdr:cNvPicPr>
          <a:picLocks noChangeAspect="1" noChangeArrowheads="1"/>
        </xdr:cNvPicPr>
      </xdr:nvPicPr>
      <xdr:blipFill>
        <a:blip r:embed="rId194" cstate="print"/>
        <a:srcRect/>
        <a:stretch>
          <a:fillRect/>
        </a:stretch>
      </xdr:blipFill>
      <xdr:spPr>
        <a:xfrm>
          <a:off x="121920" y="10714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xdr:cNvPicPr>
          <a:picLocks noChangeAspect="1" noChangeArrowheads="1"/>
        </xdr:cNvPicPr>
      </xdr:nvPicPr>
      <xdr:blipFill>
        <a:blip r:embed="rId194" cstate="print"/>
        <a:srcRect/>
        <a:stretch>
          <a:fillRect/>
        </a:stretch>
      </xdr:blipFill>
      <xdr:spPr>
        <a:xfrm>
          <a:off x="121920" y="10759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xdr:cNvPicPr>
          <a:picLocks noChangeAspect="1" noChangeArrowheads="1"/>
        </xdr:cNvPicPr>
      </xdr:nvPicPr>
      <xdr:blipFill>
        <a:blip r:embed="rId195" cstate="print"/>
        <a:srcRect/>
        <a:stretch>
          <a:fillRect/>
        </a:stretch>
      </xdr:blipFill>
      <xdr:spPr>
        <a:xfrm>
          <a:off x="121920" y="1087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xdr:cNvPicPr>
          <a:picLocks noChangeAspect="1" noChangeArrowheads="1"/>
        </xdr:cNvPicPr>
      </xdr:nvPicPr>
      <xdr:blipFill>
        <a:blip r:embed="rId195" cstate="print"/>
        <a:srcRect/>
        <a:stretch>
          <a:fillRect/>
        </a:stretch>
      </xdr:blipFill>
      <xdr:spPr>
        <a:xfrm>
          <a:off x="121920" y="1098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xdr:cNvPicPr>
          <a:picLocks noChangeAspect="1" noChangeArrowheads="1"/>
        </xdr:cNvPicPr>
      </xdr:nvPicPr>
      <xdr:blipFill>
        <a:blip r:embed="rId196" cstate="print"/>
        <a:srcRect/>
        <a:stretch>
          <a:fillRect/>
        </a:stretch>
      </xdr:blipFill>
      <xdr:spPr>
        <a:xfrm>
          <a:off x="121920" y="1109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xdr:cNvPicPr>
          <a:picLocks noChangeAspect="1" noChangeArrowheads="1"/>
        </xdr:cNvPicPr>
      </xdr:nvPicPr>
      <xdr:blipFill>
        <a:blip r:embed="rId197" cstate="print"/>
        <a:srcRect/>
        <a:stretch>
          <a:fillRect/>
        </a:stretch>
      </xdr:blipFill>
      <xdr:spPr>
        <a:xfrm>
          <a:off x="121920" y="1120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xdr:cNvPicPr>
          <a:picLocks noChangeAspect="1" noChangeArrowheads="1"/>
        </xdr:cNvPicPr>
      </xdr:nvPicPr>
      <xdr:blipFill>
        <a:blip r:embed="rId198" cstate="print"/>
        <a:srcRect/>
        <a:stretch>
          <a:fillRect/>
        </a:stretch>
      </xdr:blipFill>
      <xdr:spPr>
        <a:xfrm>
          <a:off x="121920" y="1131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xdr:cNvPicPr>
          <a:picLocks noChangeAspect="1" noChangeArrowheads="1"/>
        </xdr:cNvPicPr>
      </xdr:nvPicPr>
      <xdr:blipFill>
        <a:blip r:embed="rId199" cstate="print"/>
        <a:srcRect/>
        <a:stretch>
          <a:fillRect/>
        </a:stretch>
      </xdr:blipFill>
      <xdr:spPr>
        <a:xfrm>
          <a:off x="121920" y="1143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xdr:cNvPicPr>
          <a:picLocks noChangeAspect="1" noChangeArrowheads="1"/>
        </xdr:cNvPicPr>
      </xdr:nvPicPr>
      <xdr:blipFill>
        <a:blip r:embed="rId200" cstate="print"/>
        <a:srcRect/>
        <a:stretch>
          <a:fillRect/>
        </a:stretch>
      </xdr:blipFill>
      <xdr:spPr>
        <a:xfrm>
          <a:off x="121920" y="1154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xdr:cNvPicPr>
          <a:picLocks noChangeAspect="1" noChangeArrowheads="1"/>
        </xdr:cNvPicPr>
      </xdr:nvPicPr>
      <xdr:blipFill>
        <a:blip r:embed="rId201" cstate="print"/>
        <a:srcRect/>
        <a:stretch>
          <a:fillRect/>
        </a:stretch>
      </xdr:blipFill>
      <xdr:spPr>
        <a:xfrm>
          <a:off x="121920" y="1165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xdr:cNvPicPr>
          <a:picLocks noChangeAspect="1" noChangeArrowheads="1"/>
        </xdr:cNvPicPr>
      </xdr:nvPicPr>
      <xdr:blipFill>
        <a:blip r:embed="rId202" cstate="print"/>
        <a:srcRect/>
        <a:stretch>
          <a:fillRect/>
        </a:stretch>
      </xdr:blipFill>
      <xdr:spPr>
        <a:xfrm>
          <a:off x="121920" y="11737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xdr:cNvPicPr>
          <a:picLocks noChangeAspect="1" noChangeArrowheads="1"/>
        </xdr:cNvPicPr>
      </xdr:nvPicPr>
      <xdr:blipFill>
        <a:blip r:embed="rId203" cstate="print"/>
        <a:srcRect/>
        <a:stretch>
          <a:fillRect/>
        </a:stretch>
      </xdr:blipFill>
      <xdr:spPr>
        <a:xfrm>
          <a:off x="121920" y="11851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xdr:cNvPicPr>
          <a:picLocks noChangeAspect="1" noChangeArrowheads="1"/>
        </xdr:cNvPicPr>
      </xdr:nvPicPr>
      <xdr:blipFill>
        <a:blip r:embed="rId203" cstate="print"/>
        <a:srcRect/>
        <a:stretch>
          <a:fillRect/>
        </a:stretch>
      </xdr:blipFill>
      <xdr:spPr>
        <a:xfrm>
          <a:off x="121920" y="11889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xdr:cNvPicPr>
          <a:picLocks noChangeAspect="1" noChangeArrowheads="1"/>
        </xdr:cNvPicPr>
      </xdr:nvPicPr>
      <xdr:blipFill>
        <a:blip r:embed="rId204" cstate="print"/>
        <a:srcRect/>
        <a:stretch>
          <a:fillRect/>
        </a:stretch>
      </xdr:blipFill>
      <xdr:spPr>
        <a:xfrm>
          <a:off x="121920" y="11934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xdr:cNvPicPr>
          <a:picLocks noChangeAspect="1" noChangeArrowheads="1"/>
        </xdr:cNvPicPr>
      </xdr:nvPicPr>
      <xdr:blipFill>
        <a:blip r:embed="rId205" cstate="print"/>
        <a:srcRect/>
        <a:stretch>
          <a:fillRect/>
        </a:stretch>
      </xdr:blipFill>
      <xdr:spPr>
        <a:xfrm>
          <a:off x="121920" y="1206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xdr:cNvPicPr>
          <a:picLocks noChangeAspect="1" noChangeArrowheads="1"/>
        </xdr:cNvPicPr>
      </xdr:nvPicPr>
      <xdr:blipFill>
        <a:blip r:embed="rId206" cstate="print"/>
        <a:srcRect/>
        <a:stretch>
          <a:fillRect/>
        </a:stretch>
      </xdr:blipFill>
      <xdr:spPr>
        <a:xfrm>
          <a:off x="121920" y="12169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xdr:cNvPicPr>
          <a:picLocks noChangeAspect="1" noChangeArrowheads="1"/>
        </xdr:cNvPicPr>
      </xdr:nvPicPr>
      <xdr:blipFill>
        <a:blip r:embed="rId207" cstate="print"/>
        <a:srcRect/>
        <a:stretch>
          <a:fillRect/>
        </a:stretch>
      </xdr:blipFill>
      <xdr:spPr>
        <a:xfrm>
          <a:off x="121920" y="12213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xdr:cNvPicPr>
          <a:picLocks noChangeAspect="1" noChangeArrowheads="1"/>
        </xdr:cNvPicPr>
      </xdr:nvPicPr>
      <xdr:blipFill>
        <a:blip r:embed="rId208" cstate="print"/>
        <a:srcRect/>
        <a:stretch>
          <a:fillRect/>
        </a:stretch>
      </xdr:blipFill>
      <xdr:spPr>
        <a:xfrm>
          <a:off x="121920" y="12321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xdr:cNvPicPr>
          <a:picLocks noChangeAspect="1" noChangeArrowheads="1"/>
        </xdr:cNvPicPr>
      </xdr:nvPicPr>
      <xdr:blipFill>
        <a:blip r:embed="rId209" cstate="print"/>
        <a:srcRect/>
        <a:stretch>
          <a:fillRect/>
        </a:stretch>
      </xdr:blipFill>
      <xdr:spPr>
        <a:xfrm>
          <a:off x="121920" y="12435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xdr:cNvPicPr>
          <a:picLocks noChangeAspect="1" noChangeArrowheads="1"/>
        </xdr:cNvPicPr>
      </xdr:nvPicPr>
      <xdr:blipFill>
        <a:blip r:embed="rId210" cstate="print"/>
        <a:srcRect/>
        <a:stretch>
          <a:fillRect/>
        </a:stretch>
      </xdr:blipFill>
      <xdr:spPr>
        <a:xfrm>
          <a:off x="121920" y="12480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xdr:cNvPicPr>
          <a:picLocks noChangeAspect="1" noChangeArrowheads="1"/>
        </xdr:cNvPicPr>
      </xdr:nvPicPr>
      <xdr:blipFill>
        <a:blip r:embed="rId210" cstate="print"/>
        <a:srcRect/>
        <a:stretch>
          <a:fillRect/>
        </a:stretch>
      </xdr:blipFill>
      <xdr:spPr>
        <a:xfrm>
          <a:off x="121920" y="1258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xdr:cNvPicPr>
          <a:picLocks noChangeAspect="1" noChangeArrowheads="1"/>
        </xdr:cNvPicPr>
      </xdr:nvPicPr>
      <xdr:blipFill>
        <a:blip r:embed="rId211" cstate="print"/>
        <a:srcRect/>
        <a:stretch>
          <a:fillRect/>
        </a:stretch>
      </xdr:blipFill>
      <xdr:spPr>
        <a:xfrm>
          <a:off x="121920" y="12772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xdr:cNvPicPr>
          <a:picLocks noChangeAspect="1" noChangeArrowheads="1"/>
        </xdr:cNvPicPr>
      </xdr:nvPicPr>
      <xdr:blipFill>
        <a:blip r:embed="rId212" cstate="print"/>
        <a:srcRect/>
        <a:stretch>
          <a:fillRect/>
        </a:stretch>
      </xdr:blipFill>
      <xdr:spPr>
        <a:xfrm>
          <a:off x="121920" y="12880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xdr:cNvPicPr>
          <a:picLocks noChangeAspect="1" noChangeArrowheads="1"/>
        </xdr:cNvPicPr>
      </xdr:nvPicPr>
      <xdr:blipFill>
        <a:blip r:embed="rId213" cstate="print"/>
        <a:srcRect/>
        <a:stretch>
          <a:fillRect/>
        </a:stretch>
      </xdr:blipFill>
      <xdr:spPr>
        <a:xfrm>
          <a:off x="121920" y="12994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xdr:cNvPicPr>
          <a:picLocks noChangeAspect="1" noChangeArrowheads="1"/>
        </xdr:cNvPicPr>
      </xdr:nvPicPr>
      <xdr:blipFill>
        <a:blip r:embed="rId123" cstate="print"/>
        <a:srcRect/>
        <a:stretch>
          <a:fillRect/>
        </a:stretch>
      </xdr:blipFill>
      <xdr:spPr>
        <a:xfrm>
          <a:off x="121920" y="13108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xdr:cNvPicPr>
          <a:picLocks noChangeAspect="1" noChangeArrowheads="1"/>
        </xdr:cNvPicPr>
      </xdr:nvPicPr>
      <xdr:blipFill>
        <a:blip r:embed="rId124" cstate="print"/>
        <a:srcRect/>
        <a:stretch>
          <a:fillRect/>
        </a:stretch>
      </xdr:blipFill>
      <xdr:spPr>
        <a:xfrm>
          <a:off x="121920" y="13216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xdr:cNvPicPr>
          <a:picLocks noChangeAspect="1" noChangeArrowheads="1"/>
        </xdr:cNvPicPr>
      </xdr:nvPicPr>
      <xdr:blipFill>
        <a:blip r:embed="rId125" cstate="print"/>
        <a:srcRect/>
        <a:stretch>
          <a:fillRect/>
        </a:stretch>
      </xdr:blipFill>
      <xdr:spPr>
        <a:xfrm>
          <a:off x="121920" y="13401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xdr:cNvPicPr>
          <a:picLocks noChangeAspect="1" noChangeArrowheads="1"/>
        </xdr:cNvPicPr>
      </xdr:nvPicPr>
      <xdr:blipFill>
        <a:blip r:embed="rId214" cstate="email"/>
        <a:srcRect/>
        <a:stretch>
          <a:fillRect/>
        </a:stretch>
      </xdr:blipFill>
      <xdr:spPr>
        <a:xfrm>
          <a:off x="243840" y="98979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xdr:cNvPicPr>
          <a:picLocks noChangeAspect="1" noChangeArrowheads="1"/>
        </xdr:cNvPicPr>
      </xdr:nvPicPr>
      <xdr:blipFill>
        <a:blip r:embed="rId215" cstate="email"/>
        <a:srcRect/>
        <a:stretch>
          <a:fillRect/>
        </a:stretch>
      </xdr:blipFill>
      <xdr:spPr>
        <a:xfrm>
          <a:off x="243840" y="99677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xdr:cNvPicPr>
          <a:picLocks noChangeAspect="1" noChangeArrowheads="1"/>
        </xdr:cNvPicPr>
      </xdr:nvPicPr>
      <xdr:blipFill>
        <a:blip r:embed="rId216" cstate="email"/>
        <a:srcRect/>
        <a:stretch>
          <a:fillRect/>
        </a:stretch>
      </xdr:blipFill>
      <xdr:spPr>
        <a:xfrm>
          <a:off x="243840" y="100376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xdr:cNvPicPr>
          <a:picLocks noChangeAspect="1" noChangeArrowheads="1"/>
        </xdr:cNvPicPr>
      </xdr:nvPicPr>
      <xdr:blipFill>
        <a:blip r:embed="rId216" cstate="email"/>
        <a:srcRect/>
        <a:stretch>
          <a:fillRect/>
        </a:stretch>
      </xdr:blipFill>
      <xdr:spPr>
        <a:xfrm>
          <a:off x="243840" y="101074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xdr:cNvPicPr>
          <a:picLocks noChangeAspect="1" noChangeArrowheads="1"/>
        </xdr:cNvPicPr>
      </xdr:nvPicPr>
      <xdr:blipFill>
        <a:blip r:embed="rId217" cstate="email"/>
        <a:srcRect/>
        <a:stretch>
          <a:fillRect/>
        </a:stretch>
      </xdr:blipFill>
      <xdr:spPr>
        <a:xfrm>
          <a:off x="243840" y="101773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xdr:cNvPicPr>
          <a:picLocks noChangeAspect="1" noChangeArrowheads="1"/>
        </xdr:cNvPicPr>
      </xdr:nvPicPr>
      <xdr:blipFill>
        <a:blip r:embed="rId218" cstate="email"/>
        <a:srcRect/>
        <a:stretch>
          <a:fillRect/>
        </a:stretch>
      </xdr:blipFill>
      <xdr:spPr>
        <a:xfrm>
          <a:off x="243840" y="102471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xdr:cNvPicPr>
          <a:picLocks noChangeAspect="1" noChangeArrowheads="1"/>
        </xdr:cNvPicPr>
      </xdr:nvPicPr>
      <xdr:blipFill>
        <a:blip r:embed="rId218" cstate="email"/>
        <a:srcRect/>
        <a:stretch>
          <a:fillRect/>
        </a:stretch>
      </xdr:blipFill>
      <xdr:spPr>
        <a:xfrm>
          <a:off x="243840" y="103170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xdr:cNvPicPr>
          <a:picLocks noChangeAspect="1" noChangeArrowheads="1"/>
        </xdr:cNvPicPr>
      </xdr:nvPicPr>
      <xdr:blipFill>
        <a:blip r:embed="rId219" cstate="email"/>
        <a:srcRect/>
        <a:stretch>
          <a:fillRect/>
        </a:stretch>
      </xdr:blipFill>
      <xdr:spPr>
        <a:xfrm>
          <a:off x="243840" y="103868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xdr:cNvPicPr>
          <a:picLocks noChangeAspect="1" noChangeArrowheads="1"/>
        </xdr:cNvPicPr>
      </xdr:nvPicPr>
      <xdr:blipFill>
        <a:blip r:embed="rId219" cstate="email"/>
        <a:srcRect/>
        <a:stretch>
          <a:fillRect/>
        </a:stretch>
      </xdr:blipFill>
      <xdr:spPr>
        <a:xfrm>
          <a:off x="243840" y="1046181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xdr:cNvPicPr>
          <a:picLocks noChangeAspect="1" noChangeArrowheads="1"/>
        </xdr:cNvPicPr>
      </xdr:nvPicPr>
      <xdr:blipFill>
        <a:blip r:embed="rId219" cstate="email"/>
        <a:srcRect/>
        <a:stretch>
          <a:fillRect/>
        </a:stretch>
      </xdr:blipFill>
      <xdr:spPr>
        <a:xfrm>
          <a:off x="243840" y="105316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xdr:cNvPicPr>
          <a:picLocks noChangeAspect="1" noChangeArrowheads="1"/>
        </xdr:cNvPicPr>
      </xdr:nvPicPr>
      <xdr:blipFill>
        <a:blip r:embed="rId220" cstate="email"/>
        <a:srcRect/>
        <a:stretch>
          <a:fillRect/>
        </a:stretch>
      </xdr:blipFill>
      <xdr:spPr>
        <a:xfrm>
          <a:off x="243840" y="10598086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xdr:cNvPicPr>
          <a:picLocks noChangeAspect="1" noChangeArrowheads="1"/>
        </xdr:cNvPicPr>
      </xdr:nvPicPr>
      <xdr:blipFill>
        <a:blip r:embed="rId221" cstate="print"/>
        <a:srcRect/>
        <a:stretch>
          <a:fillRect/>
        </a:stretch>
      </xdr:blipFill>
      <xdr:spPr>
        <a:xfrm>
          <a:off x="243840" y="106692700"/>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xdr:cNvPicPr>
          <a:picLocks noChangeAspect="1" noChangeArrowheads="1"/>
        </xdr:cNvPicPr>
      </xdr:nvPicPr>
      <xdr:blipFill>
        <a:blip r:embed="rId222" cstate="email"/>
        <a:srcRect/>
        <a:stretch>
          <a:fillRect/>
        </a:stretch>
      </xdr:blipFill>
      <xdr:spPr>
        <a:xfrm>
          <a:off x="243840" y="107395010"/>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xdr:cNvPicPr>
          <a:picLocks noChangeAspect="1" noChangeArrowheads="1"/>
        </xdr:cNvPicPr>
      </xdr:nvPicPr>
      <xdr:blipFill>
        <a:blip r:embed="rId223" cstate="email"/>
        <a:srcRect/>
        <a:stretch>
          <a:fillRect/>
        </a:stretch>
      </xdr:blipFill>
      <xdr:spPr>
        <a:xfrm>
          <a:off x="243840" y="108059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xdr:cNvPicPr>
          <a:picLocks noChangeAspect="1" noChangeArrowheads="1"/>
        </xdr:cNvPicPr>
      </xdr:nvPicPr>
      <xdr:blipFill>
        <a:blip r:embed="rId224" cstate="email"/>
        <a:srcRect/>
        <a:stretch>
          <a:fillRect/>
        </a:stretch>
      </xdr:blipFill>
      <xdr:spPr>
        <a:xfrm>
          <a:off x="243840" y="108758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xdr:cNvPicPr>
          <a:picLocks noChangeAspect="1" noChangeArrowheads="1"/>
        </xdr:cNvPicPr>
      </xdr:nvPicPr>
      <xdr:blipFill>
        <a:blip r:embed="rId225" cstate="print"/>
        <a:srcRect/>
        <a:stretch>
          <a:fillRect/>
        </a:stretch>
      </xdr:blipFill>
      <xdr:spPr>
        <a:xfrm>
          <a:off x="243840" y="109467015"/>
          <a:ext cx="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xdr:cNvPicPr>
          <a:picLocks noChangeAspect="1" noChangeArrowheads="1"/>
        </xdr:cNvPicPr>
      </xdr:nvPicPr>
      <xdr:blipFill>
        <a:blip r:embed="rId226" cstate="email"/>
        <a:srcRect/>
        <a:stretch>
          <a:fillRect/>
        </a:stretch>
      </xdr:blipFill>
      <xdr:spPr>
        <a:xfrm>
          <a:off x="243840" y="110155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xdr:cNvPicPr>
          <a:picLocks noChangeAspect="1" noChangeArrowheads="1"/>
        </xdr:cNvPicPr>
      </xdr:nvPicPr>
      <xdr:blipFill>
        <a:blip r:embed="rId227" cstate="email"/>
        <a:srcRect/>
        <a:stretch>
          <a:fillRect/>
        </a:stretch>
      </xdr:blipFill>
      <xdr:spPr>
        <a:xfrm>
          <a:off x="243840" y="110853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xdr:cNvPicPr>
          <a:picLocks noChangeAspect="1" noChangeArrowheads="1"/>
        </xdr:cNvPicPr>
      </xdr:nvPicPr>
      <xdr:blipFill>
        <a:blip r:embed="rId228" cstate="email"/>
        <a:srcRect/>
        <a:stretch>
          <a:fillRect/>
        </a:stretch>
      </xdr:blipFill>
      <xdr:spPr>
        <a:xfrm>
          <a:off x="243840" y="11161966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xdr:cNvPicPr>
          <a:picLocks noChangeAspect="1" noChangeArrowheads="1"/>
        </xdr:cNvPicPr>
      </xdr:nvPicPr>
      <xdr:blipFill>
        <a:blip r:embed="rId228" cstate="email"/>
        <a:srcRect/>
        <a:stretch>
          <a:fillRect/>
        </a:stretch>
      </xdr:blipFill>
      <xdr:spPr>
        <a:xfrm>
          <a:off x="243840" y="112301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xdr:cNvPicPr>
          <a:picLocks noChangeAspect="1" noChangeArrowheads="1"/>
        </xdr:cNvPicPr>
      </xdr:nvPicPr>
      <xdr:blipFill>
        <a:blip r:embed="rId229" cstate="email"/>
        <a:srcRect/>
        <a:stretch>
          <a:fillRect/>
        </a:stretch>
      </xdr:blipFill>
      <xdr:spPr>
        <a:xfrm>
          <a:off x="243840" y="112970310"/>
          <a:ext cx="0"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xdr:cNvPicPr>
          <a:picLocks noChangeAspect="1" noChangeArrowheads="1"/>
        </xdr:cNvPicPr>
      </xdr:nvPicPr>
      <xdr:blipFill>
        <a:blip r:embed="rId230" cstate="email"/>
        <a:srcRect/>
        <a:stretch>
          <a:fillRect/>
        </a:stretch>
      </xdr:blipFill>
      <xdr:spPr>
        <a:xfrm>
          <a:off x="243840" y="1136986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xdr:cNvPicPr>
          <a:picLocks noChangeAspect="1" noChangeArrowheads="1"/>
        </xdr:cNvPicPr>
      </xdr:nvPicPr>
      <xdr:blipFill>
        <a:blip r:embed="rId231" cstate="email"/>
        <a:srcRect/>
        <a:stretch>
          <a:fillRect/>
        </a:stretch>
      </xdr:blipFill>
      <xdr:spPr>
        <a:xfrm>
          <a:off x="243840" y="114380010"/>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xdr:cNvPicPr>
          <a:picLocks noChangeAspect="1" noChangeArrowheads="1"/>
        </xdr:cNvPicPr>
      </xdr:nvPicPr>
      <xdr:blipFill>
        <a:blip r:embed="rId232" cstate="email"/>
        <a:srcRect/>
        <a:stretch>
          <a:fillRect/>
        </a:stretch>
      </xdr:blipFill>
      <xdr:spPr>
        <a:xfrm>
          <a:off x="243840" y="115044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xdr:cNvPicPr>
          <a:picLocks noChangeAspect="1" noChangeArrowheads="1"/>
        </xdr:cNvPicPr>
      </xdr:nvPicPr>
      <xdr:blipFill>
        <a:blip r:embed="rId233" cstate="email"/>
        <a:srcRect/>
        <a:stretch>
          <a:fillRect/>
        </a:stretch>
      </xdr:blipFill>
      <xdr:spPr>
        <a:xfrm>
          <a:off x="243840" y="115743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xdr:cNvPicPr>
          <a:picLocks noChangeAspect="1" noChangeArrowheads="1"/>
        </xdr:cNvPicPr>
      </xdr:nvPicPr>
      <xdr:blipFill>
        <a:blip r:embed="rId234" cstate="email"/>
        <a:srcRect/>
        <a:stretch>
          <a:fillRect/>
        </a:stretch>
      </xdr:blipFill>
      <xdr:spPr>
        <a:xfrm>
          <a:off x="243840" y="116441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xdr:cNvPicPr>
          <a:picLocks noChangeAspect="1" noChangeArrowheads="1"/>
        </xdr:cNvPicPr>
      </xdr:nvPicPr>
      <xdr:blipFill>
        <a:blip r:embed="rId235" cstate="print"/>
        <a:srcRect/>
        <a:stretch>
          <a:fillRect/>
        </a:stretch>
      </xdr:blipFill>
      <xdr:spPr>
        <a:xfrm>
          <a:off x="243840" y="117150515"/>
          <a:ext cx="0" cy="579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xdr:cNvPicPr>
          <a:picLocks noChangeAspect="1" noChangeArrowheads="1"/>
        </xdr:cNvPicPr>
      </xdr:nvPicPr>
      <xdr:blipFill>
        <a:blip r:embed="rId236" cstate="email"/>
        <a:srcRect/>
        <a:stretch>
          <a:fillRect/>
        </a:stretch>
      </xdr:blipFill>
      <xdr:spPr>
        <a:xfrm>
          <a:off x="243840" y="117838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xdr:cNvPicPr>
          <a:picLocks noChangeAspect="1" noChangeArrowheads="1"/>
        </xdr:cNvPicPr>
      </xdr:nvPicPr>
      <xdr:blipFill>
        <a:blip r:embed="rId237" cstate="email"/>
        <a:srcRect/>
        <a:stretch>
          <a:fillRect/>
        </a:stretch>
      </xdr:blipFill>
      <xdr:spPr>
        <a:xfrm>
          <a:off x="243840" y="118537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xdr:cNvPicPr>
          <a:picLocks noChangeAspect="1" noChangeArrowheads="1"/>
        </xdr:cNvPicPr>
      </xdr:nvPicPr>
      <xdr:blipFill>
        <a:blip r:embed="rId238" cstate="email"/>
        <a:srcRect/>
        <a:stretch>
          <a:fillRect/>
        </a:stretch>
      </xdr:blipFill>
      <xdr:spPr>
        <a:xfrm>
          <a:off x="243840" y="1192358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xdr:cNvPicPr>
          <a:picLocks noChangeAspect="1" noChangeArrowheads="1"/>
        </xdr:cNvPicPr>
      </xdr:nvPicPr>
      <xdr:blipFill>
        <a:blip r:embed="rId239" cstate="email"/>
        <a:srcRect/>
        <a:stretch>
          <a:fillRect/>
        </a:stretch>
      </xdr:blipFill>
      <xdr:spPr>
        <a:xfrm>
          <a:off x="243840" y="119931180"/>
          <a:ext cx="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xdr:cNvPicPr>
          <a:picLocks noChangeAspect="1" noChangeArrowheads="1"/>
        </xdr:cNvPicPr>
      </xdr:nvPicPr>
      <xdr:blipFill>
        <a:blip r:embed="rId240" cstate="email"/>
        <a:srcRect/>
        <a:stretch>
          <a:fillRect/>
        </a:stretch>
      </xdr:blipFill>
      <xdr:spPr>
        <a:xfrm>
          <a:off x="243840" y="120616980"/>
          <a:ext cx="0" cy="5073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xdr:cNvPicPr>
          <a:picLocks noChangeAspect="1" noChangeArrowheads="1"/>
        </xdr:cNvPicPr>
      </xdr:nvPicPr>
      <xdr:blipFill>
        <a:blip r:embed="rId241" cstate="email"/>
        <a:srcRect/>
        <a:stretch>
          <a:fillRect/>
        </a:stretch>
      </xdr:blipFill>
      <xdr:spPr>
        <a:xfrm>
          <a:off x="243840" y="121331355"/>
          <a:ext cx="0" cy="59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xdr:cNvPicPr>
          <a:picLocks noChangeAspect="1" noChangeArrowheads="1"/>
        </xdr:cNvPicPr>
      </xdr:nvPicPr>
      <xdr:blipFill>
        <a:blip r:embed="rId242" cstate="email"/>
        <a:srcRect/>
        <a:stretch>
          <a:fillRect/>
        </a:stretch>
      </xdr:blipFill>
      <xdr:spPr>
        <a:xfrm>
          <a:off x="243840" y="122094625"/>
          <a:ext cx="0" cy="508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xdr:cNvPicPr>
          <a:picLocks noChangeAspect="1" noChangeArrowheads="1"/>
        </xdr:cNvPicPr>
      </xdr:nvPicPr>
      <xdr:blipFill>
        <a:blip r:embed="rId243" cstate="email"/>
        <a:srcRect/>
        <a:stretch>
          <a:fillRect/>
        </a:stretch>
      </xdr:blipFill>
      <xdr:spPr>
        <a:xfrm>
          <a:off x="243840" y="122748675"/>
          <a:ext cx="0" cy="621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xdr:cNvPicPr>
          <a:picLocks noChangeAspect="1" noChangeArrowheads="1"/>
        </xdr:cNvPicPr>
      </xdr:nvPicPr>
      <xdr:blipFill>
        <a:blip r:embed="rId244" cstate="email"/>
        <a:srcRect/>
        <a:stretch>
          <a:fillRect/>
        </a:stretch>
      </xdr:blipFill>
      <xdr:spPr>
        <a:xfrm>
          <a:off x="243840" y="123526550"/>
          <a:ext cx="0"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xdr:cNvPicPr>
          <a:picLocks noChangeAspect="1" noChangeArrowheads="1"/>
        </xdr:cNvPicPr>
      </xdr:nvPicPr>
      <xdr:blipFill>
        <a:blip r:embed="rId245" cstate="email"/>
        <a:srcRect/>
        <a:stretch>
          <a:fillRect/>
        </a:stretch>
      </xdr:blipFill>
      <xdr:spPr>
        <a:xfrm>
          <a:off x="243840" y="12418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xdr:cNvPicPr>
          <a:picLocks noChangeAspect="1" noChangeArrowheads="1"/>
        </xdr:cNvPicPr>
      </xdr:nvPicPr>
      <xdr:blipFill>
        <a:blip r:embed="rId246" cstate="email"/>
        <a:srcRect/>
        <a:stretch>
          <a:fillRect/>
        </a:stretch>
      </xdr:blipFill>
      <xdr:spPr>
        <a:xfrm>
          <a:off x="243840" y="12488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xdr:cNvPicPr>
          <a:picLocks noChangeAspect="1" noChangeArrowheads="1"/>
        </xdr:cNvPicPr>
      </xdr:nvPicPr>
      <xdr:blipFill>
        <a:blip r:embed="rId247" cstate="email"/>
        <a:srcRect/>
        <a:stretch>
          <a:fillRect/>
        </a:stretch>
      </xdr:blipFill>
      <xdr:spPr>
        <a:xfrm>
          <a:off x="243840" y="12558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xdr:cNvPicPr>
          <a:picLocks noChangeAspect="1"/>
        </xdr:cNvPicPr>
      </xdr:nvPicPr>
      <xdr:blipFill>
        <a:blip r:embed="rId248" cstate="email"/>
        <a:stretch>
          <a:fillRect/>
        </a:stretch>
      </xdr:blipFill>
      <xdr:spPr>
        <a:xfrm>
          <a:off x="243840" y="126213870"/>
          <a:ext cx="0" cy="684530"/>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xdr:cNvPicPr>
          <a:picLocks noChangeAspect="1"/>
        </xdr:cNvPicPr>
      </xdr:nvPicPr>
      <xdr:blipFill>
        <a:blip r:embed="rId249" cstate="email"/>
        <a:stretch>
          <a:fillRect/>
        </a:stretch>
      </xdr:blipFill>
      <xdr:spPr>
        <a:xfrm>
          <a:off x="243840" y="126917450"/>
          <a:ext cx="0" cy="654050"/>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xdr:cNvPicPr>
          <a:picLocks noChangeAspect="1"/>
        </xdr:cNvPicPr>
      </xdr:nvPicPr>
      <xdr:blipFill>
        <a:blip r:embed="rId250" cstate="email"/>
        <a:stretch>
          <a:fillRect/>
        </a:stretch>
      </xdr:blipFill>
      <xdr:spPr>
        <a:xfrm>
          <a:off x="243840" y="127641350"/>
          <a:ext cx="0" cy="618490"/>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xdr:cNvPicPr>
          <a:picLocks noChangeAspect="1"/>
        </xdr:cNvPicPr>
      </xdr:nvPicPr>
      <xdr:blipFill>
        <a:blip r:embed="rId251" cstate="email"/>
        <a:stretch>
          <a:fillRect/>
        </a:stretch>
      </xdr:blipFill>
      <xdr:spPr>
        <a:xfrm>
          <a:off x="243840" y="128339850"/>
          <a:ext cx="0" cy="624840"/>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xdr:cNvPicPr>
          <a:picLocks noChangeAspect="1"/>
        </xdr:cNvPicPr>
      </xdr:nvPicPr>
      <xdr:blipFill>
        <a:blip r:embed="rId252" cstate="email"/>
        <a:stretch>
          <a:fillRect/>
        </a:stretch>
      </xdr:blipFill>
      <xdr:spPr>
        <a:xfrm>
          <a:off x="243840" y="129025650"/>
          <a:ext cx="0" cy="654050"/>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xdr:cNvPicPr>
          <a:picLocks noChangeAspect="1"/>
        </xdr:cNvPicPr>
      </xdr:nvPicPr>
      <xdr:blipFill>
        <a:blip r:embed="rId253" cstate="email"/>
        <a:stretch>
          <a:fillRect/>
        </a:stretch>
      </xdr:blipFill>
      <xdr:spPr>
        <a:xfrm>
          <a:off x="243840" y="129745105"/>
          <a:ext cx="0" cy="60769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xdr:cNvPicPr>
          <a:picLocks noChangeAspect="1"/>
        </xdr:cNvPicPr>
      </xdr:nvPicPr>
      <xdr:blipFill>
        <a:blip r:embed="rId254" cstate="email"/>
        <a:stretch>
          <a:fillRect/>
        </a:stretch>
      </xdr:blipFill>
      <xdr:spPr>
        <a:xfrm>
          <a:off x="243840" y="130473450"/>
          <a:ext cx="0" cy="5346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xdr:cNvPicPr>
          <a:picLocks noChangeAspect="1"/>
        </xdr:cNvPicPr>
      </xdr:nvPicPr>
      <xdr:blipFill>
        <a:blip r:embed="rId254" cstate="email"/>
        <a:stretch>
          <a:fillRect/>
        </a:stretch>
      </xdr:blipFill>
      <xdr:spPr>
        <a:xfrm>
          <a:off x="243840" y="131171950"/>
          <a:ext cx="0" cy="534670"/>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xdr:cNvPicPr>
          <a:picLocks noChangeAspect="1"/>
        </xdr:cNvPicPr>
      </xdr:nvPicPr>
      <xdr:blipFill>
        <a:blip r:embed="rId254" cstate="email"/>
        <a:stretch>
          <a:fillRect/>
        </a:stretch>
      </xdr:blipFill>
      <xdr:spPr>
        <a:xfrm>
          <a:off x="243840" y="131870450"/>
          <a:ext cx="0" cy="5346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xdr:cNvPicPr>
          <a:picLocks noChangeAspect="1"/>
        </xdr:cNvPicPr>
      </xdr:nvPicPr>
      <xdr:blipFill>
        <a:blip r:embed="rId255" cstate="email"/>
        <a:stretch>
          <a:fillRect/>
        </a:stretch>
      </xdr:blipFill>
      <xdr:spPr>
        <a:xfrm>
          <a:off x="243840" y="132506720"/>
          <a:ext cx="0" cy="669290"/>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xdr:cNvPicPr>
          <a:picLocks noChangeAspect="1"/>
        </xdr:cNvPicPr>
      </xdr:nvPicPr>
      <xdr:blipFill>
        <a:blip r:embed="rId256" cstate="email"/>
        <a:stretch>
          <a:fillRect/>
        </a:stretch>
      </xdr:blipFill>
      <xdr:spPr>
        <a:xfrm>
          <a:off x="243840" y="133210935"/>
          <a:ext cx="0" cy="653415"/>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xdr:cNvPicPr>
          <a:picLocks noChangeAspect="1"/>
        </xdr:cNvPicPr>
      </xdr:nvPicPr>
      <xdr:blipFill>
        <a:blip r:embed="rId255" cstate="email"/>
        <a:stretch>
          <a:fillRect/>
        </a:stretch>
      </xdr:blipFill>
      <xdr:spPr>
        <a:xfrm>
          <a:off x="243840" y="133903720"/>
          <a:ext cx="0" cy="669290"/>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xdr:cNvPicPr>
          <a:picLocks noChangeAspect="1" noChangeArrowheads="1"/>
        </xdr:cNvPicPr>
      </xdr:nvPicPr>
      <xdr:blipFill>
        <a:blip r:embed="rId257" cstate="email"/>
        <a:srcRect/>
        <a:stretch>
          <a:fillRect/>
        </a:stretch>
      </xdr:blipFill>
      <xdr:spPr>
        <a:xfrm>
          <a:off x="243840" y="18076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xdr:cNvPicPr>
          <a:picLocks noChangeAspect="1" noChangeArrowheads="1"/>
        </xdr:cNvPicPr>
      </xdr:nvPicPr>
      <xdr:blipFill>
        <a:blip r:embed="rId257" cstate="email"/>
        <a:srcRect/>
        <a:stretch>
          <a:fillRect/>
        </a:stretch>
      </xdr:blipFill>
      <xdr:spPr>
        <a:xfrm>
          <a:off x="243840" y="18146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xdr:cNvPicPr>
          <a:picLocks noChangeAspect="1" noChangeArrowheads="1"/>
        </xdr:cNvPicPr>
      </xdr:nvPicPr>
      <xdr:blipFill>
        <a:blip r:embed="rId258" cstate="email"/>
        <a:srcRect/>
        <a:stretch>
          <a:fillRect/>
        </a:stretch>
      </xdr:blipFill>
      <xdr:spPr>
        <a:xfrm>
          <a:off x="243840" y="18216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xdr:cNvPicPr>
          <a:picLocks noChangeAspect="1" noChangeArrowheads="1"/>
        </xdr:cNvPicPr>
      </xdr:nvPicPr>
      <xdr:blipFill>
        <a:blip r:embed="rId258" cstate="email"/>
        <a:srcRect/>
        <a:stretch>
          <a:fillRect/>
        </a:stretch>
      </xdr:blipFill>
      <xdr:spPr>
        <a:xfrm>
          <a:off x="243840" y="18286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xdr:cNvPicPr>
          <a:picLocks noChangeAspect="1" noChangeArrowheads="1"/>
        </xdr:cNvPicPr>
      </xdr:nvPicPr>
      <xdr:blipFill>
        <a:blip r:embed="rId258" cstate="email"/>
        <a:srcRect/>
        <a:stretch>
          <a:fillRect/>
        </a:stretch>
      </xdr:blipFill>
      <xdr:spPr>
        <a:xfrm>
          <a:off x="243840" y="18355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xdr:cNvPicPr>
          <a:picLocks noChangeAspect="1" noChangeArrowheads="1"/>
        </xdr:cNvPicPr>
      </xdr:nvPicPr>
      <xdr:blipFill>
        <a:blip r:embed="rId258" cstate="email"/>
        <a:srcRect/>
        <a:stretch>
          <a:fillRect/>
        </a:stretch>
      </xdr:blipFill>
      <xdr:spPr>
        <a:xfrm>
          <a:off x="243840" y="18425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xdr:cNvPicPr>
          <a:picLocks noChangeAspect="1" noChangeArrowheads="1"/>
        </xdr:cNvPicPr>
      </xdr:nvPicPr>
      <xdr:blipFill>
        <a:blip r:embed="rId259" cstate="print"/>
        <a:srcRect/>
        <a:stretch>
          <a:fillRect/>
        </a:stretch>
      </xdr:blipFill>
      <xdr:spPr>
        <a:xfrm>
          <a:off x="243840" y="18495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xdr:cNvPicPr>
          <a:picLocks noChangeAspect="1" noChangeArrowheads="1"/>
        </xdr:cNvPicPr>
      </xdr:nvPicPr>
      <xdr:blipFill>
        <a:blip r:embed="rId260" cstate="print"/>
        <a:srcRect/>
        <a:stretch>
          <a:fillRect/>
        </a:stretch>
      </xdr:blipFill>
      <xdr:spPr>
        <a:xfrm>
          <a:off x="243840" y="18565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xdr:cNvPicPr>
          <a:picLocks noChangeAspect="1" noChangeArrowheads="1"/>
        </xdr:cNvPicPr>
      </xdr:nvPicPr>
      <xdr:blipFill>
        <a:blip r:embed="rId260" cstate="print"/>
        <a:srcRect/>
        <a:stretch>
          <a:fillRect/>
        </a:stretch>
      </xdr:blipFill>
      <xdr:spPr>
        <a:xfrm>
          <a:off x="243840" y="18635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xdr:cNvPicPr>
          <a:picLocks noChangeAspect="1" noChangeArrowheads="1"/>
        </xdr:cNvPicPr>
      </xdr:nvPicPr>
      <xdr:blipFill>
        <a:blip r:embed="rId260" cstate="print"/>
        <a:srcRect/>
        <a:stretch>
          <a:fillRect/>
        </a:stretch>
      </xdr:blipFill>
      <xdr:spPr>
        <a:xfrm>
          <a:off x="243840" y="18705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xdr:cNvPicPr>
          <a:picLocks noChangeAspect="1" noChangeArrowheads="1"/>
        </xdr:cNvPicPr>
      </xdr:nvPicPr>
      <xdr:blipFill>
        <a:blip r:embed="rId261" cstate="print"/>
        <a:srcRect/>
        <a:stretch>
          <a:fillRect/>
        </a:stretch>
      </xdr:blipFill>
      <xdr:spPr>
        <a:xfrm>
          <a:off x="243840" y="18775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xdr:cNvPicPr>
          <a:picLocks noChangeAspect="1" noChangeArrowheads="1"/>
        </xdr:cNvPicPr>
      </xdr:nvPicPr>
      <xdr:blipFill>
        <a:blip r:embed="rId261" cstate="print"/>
        <a:srcRect/>
        <a:stretch>
          <a:fillRect/>
        </a:stretch>
      </xdr:blipFill>
      <xdr:spPr>
        <a:xfrm>
          <a:off x="243840" y="188448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xdr:cNvPicPr>
          <a:picLocks noChangeAspect="1" noChangeArrowheads="1"/>
        </xdr:cNvPicPr>
      </xdr:nvPicPr>
      <xdr:blipFill>
        <a:blip r:embed="rId262" cstate="print"/>
        <a:srcRect/>
        <a:stretch>
          <a:fillRect/>
        </a:stretch>
      </xdr:blipFill>
      <xdr:spPr>
        <a:xfrm>
          <a:off x="243840" y="18914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xdr:cNvPicPr>
          <a:picLocks noChangeAspect="1" noChangeArrowheads="1"/>
        </xdr:cNvPicPr>
      </xdr:nvPicPr>
      <xdr:blipFill>
        <a:blip r:embed="rId262" cstate="print"/>
        <a:srcRect/>
        <a:stretch>
          <a:fillRect/>
        </a:stretch>
      </xdr:blipFill>
      <xdr:spPr>
        <a:xfrm>
          <a:off x="243840" y="18984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xdr:cNvPicPr>
          <a:picLocks noChangeAspect="1" noChangeArrowheads="1"/>
        </xdr:cNvPicPr>
      </xdr:nvPicPr>
      <xdr:blipFill>
        <a:blip r:embed="rId262" cstate="print"/>
        <a:srcRect/>
        <a:stretch>
          <a:fillRect/>
        </a:stretch>
      </xdr:blipFill>
      <xdr:spPr>
        <a:xfrm>
          <a:off x="243840" y="19054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xdr:cNvPicPr>
          <a:picLocks noChangeAspect="1" noChangeArrowheads="1"/>
        </xdr:cNvPicPr>
      </xdr:nvPicPr>
      <xdr:blipFill>
        <a:blip r:embed="rId263" cstate="print"/>
        <a:srcRect/>
        <a:stretch>
          <a:fillRect/>
        </a:stretch>
      </xdr:blipFill>
      <xdr:spPr>
        <a:xfrm>
          <a:off x="243840" y="19124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xdr:cNvPicPr>
          <a:picLocks noChangeAspect="1" noChangeArrowheads="1"/>
        </xdr:cNvPicPr>
      </xdr:nvPicPr>
      <xdr:blipFill>
        <a:blip r:embed="rId263" cstate="print"/>
        <a:srcRect/>
        <a:stretch>
          <a:fillRect/>
        </a:stretch>
      </xdr:blipFill>
      <xdr:spPr>
        <a:xfrm>
          <a:off x="243840" y="19194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xdr:cNvPicPr>
          <a:picLocks noChangeAspect="1" noChangeArrowheads="1"/>
        </xdr:cNvPicPr>
      </xdr:nvPicPr>
      <xdr:blipFill>
        <a:blip r:embed="rId263" cstate="print"/>
        <a:srcRect/>
        <a:stretch>
          <a:fillRect/>
        </a:stretch>
      </xdr:blipFill>
      <xdr:spPr>
        <a:xfrm>
          <a:off x="243840" y="19263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xdr:cNvPicPr>
          <a:picLocks noChangeAspect="1" noChangeArrowheads="1"/>
        </xdr:cNvPicPr>
      </xdr:nvPicPr>
      <xdr:blipFill>
        <a:blip r:embed="rId264" cstate="print"/>
        <a:srcRect/>
        <a:stretch>
          <a:fillRect/>
        </a:stretch>
      </xdr:blipFill>
      <xdr:spPr>
        <a:xfrm>
          <a:off x="243840" y="19333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xdr:cNvPicPr>
          <a:picLocks noChangeAspect="1" noChangeArrowheads="1"/>
        </xdr:cNvPicPr>
      </xdr:nvPicPr>
      <xdr:blipFill>
        <a:blip r:embed="rId264" cstate="print"/>
        <a:srcRect/>
        <a:stretch>
          <a:fillRect/>
        </a:stretch>
      </xdr:blipFill>
      <xdr:spPr>
        <a:xfrm>
          <a:off x="243840" y="19403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xdr:cNvPicPr>
          <a:picLocks noChangeAspect="1" noChangeArrowheads="1"/>
        </xdr:cNvPicPr>
      </xdr:nvPicPr>
      <xdr:blipFill>
        <a:blip r:embed="rId264" cstate="print"/>
        <a:srcRect/>
        <a:stretch>
          <a:fillRect/>
        </a:stretch>
      </xdr:blipFill>
      <xdr:spPr>
        <a:xfrm>
          <a:off x="243840" y="19473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xdr:cNvPicPr>
          <a:picLocks noChangeAspect="1" noChangeArrowheads="1"/>
        </xdr:cNvPicPr>
      </xdr:nvPicPr>
      <xdr:blipFill>
        <a:blip r:embed="rId265" cstate="email"/>
        <a:srcRect/>
        <a:stretch>
          <a:fillRect/>
        </a:stretch>
      </xdr:blipFill>
      <xdr:spPr>
        <a:xfrm>
          <a:off x="243840" y="19613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xdr:cNvPicPr>
          <a:picLocks noChangeAspect="1" noChangeArrowheads="1"/>
        </xdr:cNvPicPr>
      </xdr:nvPicPr>
      <xdr:blipFill>
        <a:blip r:embed="rId265" cstate="email"/>
        <a:srcRect/>
        <a:stretch>
          <a:fillRect/>
        </a:stretch>
      </xdr:blipFill>
      <xdr:spPr>
        <a:xfrm>
          <a:off x="243840" y="19683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xdr:cNvPicPr>
          <a:picLocks noChangeAspect="1" noChangeArrowheads="1"/>
        </xdr:cNvPicPr>
      </xdr:nvPicPr>
      <xdr:blipFill>
        <a:blip r:embed="rId265" cstate="email"/>
        <a:srcRect/>
        <a:stretch>
          <a:fillRect/>
        </a:stretch>
      </xdr:blipFill>
      <xdr:spPr>
        <a:xfrm>
          <a:off x="243840" y="19752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xdr:cNvPicPr>
          <a:picLocks noChangeAspect="1" noChangeArrowheads="1"/>
        </xdr:cNvPicPr>
      </xdr:nvPicPr>
      <xdr:blipFill>
        <a:blip r:embed="rId266" cstate="print"/>
        <a:srcRect/>
        <a:stretch>
          <a:fillRect/>
        </a:stretch>
      </xdr:blipFill>
      <xdr:spPr>
        <a:xfrm>
          <a:off x="243840" y="19822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xdr:cNvPicPr>
          <a:picLocks noChangeAspect="1" noChangeArrowheads="1"/>
        </xdr:cNvPicPr>
      </xdr:nvPicPr>
      <xdr:blipFill>
        <a:blip r:embed="rId267" cstate="print"/>
        <a:srcRect/>
        <a:stretch>
          <a:fillRect/>
        </a:stretch>
      </xdr:blipFill>
      <xdr:spPr>
        <a:xfrm>
          <a:off x="243840" y="199650350"/>
          <a:ext cx="0" cy="452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xdr:cNvPicPr>
          <a:picLocks noChangeAspect="1" noChangeArrowheads="1"/>
        </xdr:cNvPicPr>
      </xdr:nvPicPr>
      <xdr:blipFill>
        <a:blip r:embed="rId268" cstate="email"/>
        <a:srcRect/>
        <a:stretch>
          <a:fillRect/>
        </a:stretch>
      </xdr:blipFill>
      <xdr:spPr>
        <a:xfrm>
          <a:off x="243840" y="20032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xdr:cNvPicPr>
          <a:picLocks noChangeAspect="1" noChangeArrowheads="1"/>
        </xdr:cNvPicPr>
      </xdr:nvPicPr>
      <xdr:blipFill>
        <a:blip r:embed="rId268" cstate="email"/>
        <a:srcRect/>
        <a:stretch>
          <a:fillRect/>
        </a:stretch>
      </xdr:blipFill>
      <xdr:spPr>
        <a:xfrm>
          <a:off x="243840" y="20102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xdr:cNvPicPr>
          <a:picLocks noChangeAspect="1" noChangeArrowheads="1"/>
        </xdr:cNvPicPr>
      </xdr:nvPicPr>
      <xdr:blipFill>
        <a:blip r:embed="rId269" cstate="email"/>
        <a:srcRect/>
        <a:stretch>
          <a:fillRect/>
        </a:stretch>
      </xdr:blipFill>
      <xdr:spPr>
        <a:xfrm>
          <a:off x="243840" y="20172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xdr:cNvPicPr>
          <a:picLocks noChangeAspect="1" noChangeArrowheads="1"/>
        </xdr:cNvPicPr>
      </xdr:nvPicPr>
      <xdr:blipFill>
        <a:blip r:embed="rId270" cstate="email"/>
        <a:srcRect/>
        <a:stretch>
          <a:fillRect/>
        </a:stretch>
      </xdr:blipFill>
      <xdr:spPr>
        <a:xfrm>
          <a:off x="243840" y="202457050"/>
          <a:ext cx="0" cy="51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xdr:cNvPicPr>
          <a:picLocks noChangeAspect="1" noChangeArrowheads="1"/>
        </xdr:cNvPicPr>
      </xdr:nvPicPr>
      <xdr:blipFill>
        <a:blip r:embed="rId271" cstate="email"/>
        <a:srcRect/>
        <a:stretch>
          <a:fillRect/>
        </a:stretch>
      </xdr:blipFill>
      <xdr:spPr>
        <a:xfrm>
          <a:off x="243840" y="20311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xdr:cNvPicPr>
          <a:picLocks noChangeAspect="1" noChangeArrowheads="1"/>
        </xdr:cNvPicPr>
      </xdr:nvPicPr>
      <xdr:blipFill>
        <a:blip r:embed="rId271" cstate="email"/>
        <a:srcRect/>
        <a:stretch>
          <a:fillRect/>
        </a:stretch>
      </xdr:blipFill>
      <xdr:spPr>
        <a:xfrm>
          <a:off x="243840" y="20381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xdr:cNvPicPr>
          <a:picLocks noChangeAspect="1" noChangeArrowheads="1"/>
        </xdr:cNvPicPr>
      </xdr:nvPicPr>
      <xdr:blipFill>
        <a:blip r:embed="rId271" cstate="email"/>
        <a:srcRect/>
        <a:stretch>
          <a:fillRect/>
        </a:stretch>
      </xdr:blipFill>
      <xdr:spPr>
        <a:xfrm>
          <a:off x="243840" y="20451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xdr:cNvPicPr>
          <a:picLocks noChangeAspect="1" noChangeArrowheads="1"/>
        </xdr:cNvPicPr>
      </xdr:nvPicPr>
      <xdr:blipFill>
        <a:blip r:embed="rId272" cstate="email"/>
        <a:srcRect/>
        <a:stretch>
          <a:fillRect/>
        </a:stretch>
      </xdr:blipFill>
      <xdr:spPr>
        <a:xfrm>
          <a:off x="243840" y="20521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xdr:cNvPicPr>
          <a:picLocks noChangeAspect="1" noChangeArrowheads="1"/>
        </xdr:cNvPicPr>
      </xdr:nvPicPr>
      <xdr:blipFill>
        <a:blip r:embed="rId273" cstate="email"/>
        <a:srcRect/>
        <a:stretch>
          <a:fillRect/>
        </a:stretch>
      </xdr:blipFill>
      <xdr:spPr>
        <a:xfrm>
          <a:off x="243840" y="20591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xdr:cNvPicPr>
          <a:picLocks noChangeAspect="1" noChangeArrowheads="1"/>
        </xdr:cNvPicPr>
      </xdr:nvPicPr>
      <xdr:blipFill>
        <a:blip r:embed="rId274" cstate="email"/>
        <a:srcRect/>
        <a:stretch>
          <a:fillRect/>
        </a:stretch>
      </xdr:blipFill>
      <xdr:spPr>
        <a:xfrm>
          <a:off x="243840" y="20660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xdr:cNvPicPr>
          <a:picLocks noChangeAspect="1" noChangeArrowheads="1"/>
        </xdr:cNvPicPr>
      </xdr:nvPicPr>
      <xdr:blipFill>
        <a:blip r:embed="rId274" cstate="email"/>
        <a:srcRect/>
        <a:stretch>
          <a:fillRect/>
        </a:stretch>
      </xdr:blipFill>
      <xdr:spPr>
        <a:xfrm>
          <a:off x="243840" y="20730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xdr:cNvPicPr>
          <a:picLocks noChangeAspect="1" noChangeArrowheads="1"/>
        </xdr:cNvPicPr>
      </xdr:nvPicPr>
      <xdr:blipFill>
        <a:blip r:embed="rId274" cstate="email"/>
        <a:srcRect/>
        <a:stretch>
          <a:fillRect/>
        </a:stretch>
      </xdr:blipFill>
      <xdr:spPr>
        <a:xfrm>
          <a:off x="243840" y="20800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xdr:cNvPicPr>
          <a:picLocks noChangeAspect="1" noChangeArrowheads="1"/>
        </xdr:cNvPicPr>
      </xdr:nvPicPr>
      <xdr:blipFill>
        <a:blip r:embed="rId275" cstate="email"/>
        <a:srcRect/>
        <a:stretch>
          <a:fillRect/>
        </a:stretch>
      </xdr:blipFill>
      <xdr:spPr>
        <a:xfrm>
          <a:off x="243840" y="20870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xdr:cNvPicPr>
          <a:picLocks noChangeAspect="1" noChangeArrowheads="1"/>
        </xdr:cNvPicPr>
      </xdr:nvPicPr>
      <xdr:blipFill>
        <a:blip r:embed="rId275" cstate="email"/>
        <a:srcRect/>
        <a:stretch>
          <a:fillRect/>
        </a:stretch>
      </xdr:blipFill>
      <xdr:spPr>
        <a:xfrm>
          <a:off x="243840" y="20940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xdr:cNvPicPr>
          <a:picLocks noChangeAspect="1" noChangeArrowheads="1"/>
        </xdr:cNvPicPr>
      </xdr:nvPicPr>
      <xdr:blipFill>
        <a:blip r:embed="rId276" cstate="email"/>
        <a:srcRect/>
        <a:stretch>
          <a:fillRect/>
        </a:stretch>
      </xdr:blipFill>
      <xdr:spPr>
        <a:xfrm>
          <a:off x="243840" y="21010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xdr:cNvPicPr>
          <a:picLocks noChangeAspect="1" noChangeArrowheads="1"/>
        </xdr:cNvPicPr>
      </xdr:nvPicPr>
      <xdr:blipFill>
        <a:blip r:embed="rId276" cstate="email"/>
        <a:srcRect/>
        <a:stretch>
          <a:fillRect/>
        </a:stretch>
      </xdr:blipFill>
      <xdr:spPr>
        <a:xfrm>
          <a:off x="243840" y="21080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xdr:cNvPicPr>
          <a:picLocks noChangeAspect="1" noChangeArrowheads="1"/>
        </xdr:cNvPicPr>
      </xdr:nvPicPr>
      <xdr:blipFill>
        <a:blip r:embed="rId276" cstate="email"/>
        <a:srcRect/>
        <a:stretch>
          <a:fillRect/>
        </a:stretch>
      </xdr:blipFill>
      <xdr:spPr>
        <a:xfrm>
          <a:off x="243840" y="21149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xdr:cNvPicPr>
          <a:picLocks noChangeAspect="1" noChangeArrowheads="1"/>
        </xdr:cNvPicPr>
      </xdr:nvPicPr>
      <xdr:blipFill>
        <a:blip r:embed="rId277" cstate="email"/>
        <a:srcRect/>
        <a:stretch>
          <a:fillRect/>
        </a:stretch>
      </xdr:blipFill>
      <xdr:spPr>
        <a:xfrm>
          <a:off x="243840" y="21219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xdr:cNvPicPr>
          <a:picLocks noChangeAspect="1" noChangeArrowheads="1"/>
        </xdr:cNvPicPr>
      </xdr:nvPicPr>
      <xdr:blipFill>
        <a:blip r:embed="rId278" cstate="email"/>
        <a:srcRect/>
        <a:stretch>
          <a:fillRect/>
        </a:stretch>
      </xdr:blipFill>
      <xdr:spPr>
        <a:xfrm>
          <a:off x="243840" y="21289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xdr:cNvPicPr>
          <a:picLocks noChangeAspect="1" noChangeArrowheads="1"/>
        </xdr:cNvPicPr>
      </xdr:nvPicPr>
      <xdr:blipFill>
        <a:blip r:embed="rId278" cstate="email"/>
        <a:srcRect/>
        <a:stretch>
          <a:fillRect/>
        </a:stretch>
      </xdr:blipFill>
      <xdr:spPr>
        <a:xfrm>
          <a:off x="243840" y="21359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xdr:cNvPicPr>
          <a:picLocks noChangeAspect="1" noChangeArrowheads="1"/>
        </xdr:cNvPicPr>
      </xdr:nvPicPr>
      <xdr:blipFill>
        <a:blip r:embed="rId278" cstate="email"/>
        <a:srcRect/>
        <a:stretch>
          <a:fillRect/>
        </a:stretch>
      </xdr:blipFill>
      <xdr:spPr>
        <a:xfrm>
          <a:off x="243840" y="214293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xdr:cNvPicPr>
          <a:picLocks noChangeAspect="1" noChangeArrowheads="1"/>
        </xdr:cNvPicPr>
      </xdr:nvPicPr>
      <xdr:blipFill>
        <a:blip r:embed="rId279" cstate="email"/>
        <a:srcRect/>
        <a:stretch>
          <a:fillRect/>
        </a:stretch>
      </xdr:blipFill>
      <xdr:spPr>
        <a:xfrm>
          <a:off x="243840" y="214991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xdr:cNvPicPr>
          <a:picLocks noChangeAspect="1" noChangeArrowheads="1"/>
        </xdr:cNvPicPr>
      </xdr:nvPicPr>
      <xdr:blipFill>
        <a:blip r:embed="rId279" cstate="email"/>
        <a:srcRect/>
        <a:stretch>
          <a:fillRect/>
        </a:stretch>
      </xdr:blipFill>
      <xdr:spPr>
        <a:xfrm>
          <a:off x="243840" y="215690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xdr:cNvPicPr>
          <a:picLocks noChangeAspect="1" noChangeArrowheads="1"/>
        </xdr:cNvPicPr>
      </xdr:nvPicPr>
      <xdr:blipFill>
        <a:blip r:embed="rId279" cstate="email"/>
        <a:srcRect/>
        <a:stretch>
          <a:fillRect/>
        </a:stretch>
      </xdr:blipFill>
      <xdr:spPr>
        <a:xfrm>
          <a:off x="243840" y="216388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xdr:cNvPicPr>
          <a:picLocks noChangeAspect="1" noChangeArrowheads="1"/>
        </xdr:cNvPicPr>
      </xdr:nvPicPr>
      <xdr:blipFill>
        <a:blip r:embed="rId279" cstate="email"/>
        <a:srcRect/>
        <a:stretch>
          <a:fillRect/>
        </a:stretch>
      </xdr:blipFill>
      <xdr:spPr>
        <a:xfrm>
          <a:off x="243840" y="217087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xdr:cNvPicPr>
          <a:picLocks noChangeAspect="1" noChangeArrowheads="1"/>
        </xdr:cNvPicPr>
      </xdr:nvPicPr>
      <xdr:blipFill>
        <a:blip r:embed="rId280" cstate="email"/>
        <a:srcRect/>
        <a:stretch>
          <a:fillRect/>
        </a:stretch>
      </xdr:blipFill>
      <xdr:spPr>
        <a:xfrm>
          <a:off x="243840" y="217785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xdr:cNvPicPr>
          <a:picLocks noChangeAspect="1" noChangeArrowheads="1"/>
        </xdr:cNvPicPr>
      </xdr:nvPicPr>
      <xdr:blipFill>
        <a:blip r:embed="rId280" cstate="email"/>
        <a:srcRect/>
        <a:stretch>
          <a:fillRect/>
        </a:stretch>
      </xdr:blipFill>
      <xdr:spPr>
        <a:xfrm>
          <a:off x="243840" y="218484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xdr:cNvPicPr>
          <a:picLocks noChangeAspect="1" noChangeArrowheads="1"/>
        </xdr:cNvPicPr>
      </xdr:nvPicPr>
      <xdr:blipFill>
        <a:blip r:embed="rId281" cstate="print"/>
        <a:srcRect/>
        <a:stretch>
          <a:fillRect/>
        </a:stretch>
      </xdr:blipFill>
      <xdr:spPr>
        <a:xfrm>
          <a:off x="243840" y="219182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xdr:cNvPicPr>
          <a:picLocks noChangeAspect="1" noChangeArrowheads="1"/>
        </xdr:cNvPicPr>
      </xdr:nvPicPr>
      <xdr:blipFill>
        <a:blip r:embed="rId281" cstate="print"/>
        <a:srcRect/>
        <a:stretch>
          <a:fillRect/>
        </a:stretch>
      </xdr:blipFill>
      <xdr:spPr>
        <a:xfrm>
          <a:off x="243840" y="219881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xdr:cNvPicPr>
          <a:picLocks noChangeAspect="1" noChangeArrowheads="1"/>
        </xdr:cNvPicPr>
      </xdr:nvPicPr>
      <xdr:blipFill>
        <a:blip r:embed="rId281" cstate="print"/>
        <a:srcRect/>
        <a:stretch>
          <a:fillRect/>
        </a:stretch>
      </xdr:blipFill>
      <xdr:spPr>
        <a:xfrm>
          <a:off x="243840" y="220579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xdr:cNvPicPr>
          <a:picLocks noChangeAspect="1" noChangeArrowheads="1"/>
        </xdr:cNvPicPr>
      </xdr:nvPicPr>
      <xdr:blipFill>
        <a:blip r:embed="rId282" cstate="print"/>
        <a:srcRect/>
        <a:stretch>
          <a:fillRect/>
        </a:stretch>
      </xdr:blipFill>
      <xdr:spPr>
        <a:xfrm>
          <a:off x="243840" y="221278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xdr:cNvPicPr>
          <a:picLocks noChangeAspect="1" noChangeArrowheads="1"/>
        </xdr:cNvPicPr>
      </xdr:nvPicPr>
      <xdr:blipFill>
        <a:blip r:embed="rId282" cstate="print"/>
        <a:srcRect/>
        <a:stretch>
          <a:fillRect/>
        </a:stretch>
      </xdr:blipFill>
      <xdr:spPr>
        <a:xfrm>
          <a:off x="243840" y="221976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xdr:cNvPicPr>
          <a:picLocks noChangeAspect="1" noChangeArrowheads="1"/>
        </xdr:cNvPicPr>
      </xdr:nvPicPr>
      <xdr:blipFill>
        <a:blip r:embed="rId282" cstate="print"/>
        <a:srcRect/>
        <a:stretch>
          <a:fillRect/>
        </a:stretch>
      </xdr:blipFill>
      <xdr:spPr>
        <a:xfrm>
          <a:off x="243840" y="222675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xdr:cNvPicPr>
          <a:picLocks noChangeAspect="1" noChangeArrowheads="1"/>
        </xdr:cNvPicPr>
      </xdr:nvPicPr>
      <xdr:blipFill>
        <a:blip r:embed="rId283" cstate="print"/>
        <a:srcRect/>
        <a:stretch>
          <a:fillRect/>
        </a:stretch>
      </xdr:blipFill>
      <xdr:spPr>
        <a:xfrm>
          <a:off x="243840" y="22337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xdr:cNvPicPr>
          <a:picLocks noChangeAspect="1" noChangeArrowheads="1"/>
        </xdr:cNvPicPr>
      </xdr:nvPicPr>
      <xdr:blipFill>
        <a:blip r:embed="rId283" cstate="print"/>
        <a:srcRect/>
        <a:stretch>
          <a:fillRect/>
        </a:stretch>
      </xdr:blipFill>
      <xdr:spPr>
        <a:xfrm>
          <a:off x="243840" y="224072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xdr:cNvPicPr>
          <a:picLocks noChangeAspect="1" noChangeArrowheads="1"/>
        </xdr:cNvPicPr>
      </xdr:nvPicPr>
      <xdr:blipFill>
        <a:blip r:embed="rId284" cstate="email"/>
        <a:srcRect/>
        <a:stretch>
          <a:fillRect/>
        </a:stretch>
      </xdr:blipFill>
      <xdr:spPr>
        <a:xfrm>
          <a:off x="243840" y="224770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xdr:cNvPicPr>
          <a:picLocks noChangeAspect="1" noChangeArrowheads="1"/>
        </xdr:cNvPicPr>
      </xdr:nvPicPr>
      <xdr:blipFill>
        <a:blip r:embed="rId285" cstate="email"/>
        <a:srcRect/>
        <a:stretch>
          <a:fillRect/>
        </a:stretch>
      </xdr:blipFill>
      <xdr:spPr>
        <a:xfrm>
          <a:off x="243840" y="225469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xdr:cNvPicPr>
          <a:picLocks noChangeAspect="1" noChangeArrowheads="1"/>
        </xdr:cNvPicPr>
      </xdr:nvPicPr>
      <xdr:blipFill>
        <a:blip r:embed="rId285" cstate="email"/>
        <a:srcRect/>
        <a:stretch>
          <a:fillRect/>
        </a:stretch>
      </xdr:blipFill>
      <xdr:spPr>
        <a:xfrm>
          <a:off x="243840" y="226167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xdr:cNvPicPr>
          <a:picLocks noChangeAspect="1" noChangeArrowheads="1"/>
        </xdr:cNvPicPr>
      </xdr:nvPicPr>
      <xdr:blipFill>
        <a:blip r:embed="rId257" cstate="email"/>
        <a:srcRect/>
        <a:stretch>
          <a:fillRect/>
        </a:stretch>
      </xdr:blipFill>
      <xdr:spPr>
        <a:xfrm>
          <a:off x="243840" y="227564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xdr:cNvPicPr>
          <a:picLocks noChangeAspect="1" noChangeArrowheads="1"/>
        </xdr:cNvPicPr>
      </xdr:nvPicPr>
      <xdr:blipFill>
        <a:blip r:embed="rId286" cstate="print"/>
        <a:srcRect/>
        <a:stretch>
          <a:fillRect/>
        </a:stretch>
      </xdr:blipFill>
      <xdr:spPr>
        <a:xfrm>
          <a:off x="243840" y="1954339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xdr:cNvPicPr>
          <a:picLocks noChangeAspect="1" noChangeArrowheads="1"/>
        </xdr:cNvPicPr>
      </xdr:nvPicPr>
      <xdr:blipFill>
        <a:blip r:embed="rId287" cstate="email"/>
        <a:srcRect/>
        <a:stretch>
          <a:fillRect/>
        </a:stretch>
      </xdr:blipFill>
      <xdr:spPr>
        <a:xfrm>
          <a:off x="243840" y="1989391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xdr:cNvPicPr>
          <a:picLocks noChangeAspect="1" noChangeArrowheads="1"/>
        </xdr:cNvPicPr>
      </xdr:nvPicPr>
      <xdr:blipFill>
        <a:blip r:embed="rId288" cstate="print"/>
        <a:srcRect/>
        <a:stretch>
          <a:fillRect/>
        </a:stretch>
      </xdr:blipFill>
      <xdr:spPr>
        <a:xfrm>
          <a:off x="243840" y="226866450"/>
          <a:ext cx="0" cy="54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xdr:cNvPicPr>
          <a:picLocks noChangeAspect="1" noChangeArrowheads="1"/>
        </xdr:cNvPicPr>
      </xdr:nvPicPr>
      <xdr:blipFill>
        <a:blip r:embed="rId289" cstate="email"/>
        <a:srcRect/>
        <a:stretch>
          <a:fillRect/>
        </a:stretch>
      </xdr:blipFill>
      <xdr:spPr>
        <a:xfrm>
          <a:off x="243840" y="228276150"/>
          <a:ext cx="0" cy="534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xdr:cNvPicPr>
          <a:picLocks noChangeAspect="1"/>
        </xdr:cNvPicPr>
      </xdr:nvPicPr>
      <xdr:blipFill>
        <a:blip r:embed="rId290" cstate="email"/>
        <a:stretch>
          <a:fillRect/>
        </a:stretch>
      </xdr:blipFill>
      <xdr:spPr>
        <a:xfrm>
          <a:off x="243840" y="229000050"/>
          <a:ext cx="0" cy="514985"/>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xdr:cNvPicPr>
          <a:picLocks noChangeAspect="1"/>
        </xdr:cNvPicPr>
      </xdr:nvPicPr>
      <xdr:blipFill>
        <a:blip r:embed="rId291" cstate="email"/>
        <a:stretch>
          <a:fillRect/>
        </a:stretch>
      </xdr:blipFill>
      <xdr:spPr>
        <a:xfrm>
          <a:off x="243840" y="229723950"/>
          <a:ext cx="0" cy="495300"/>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xdr:cNvPicPr>
          <a:picLocks noChangeAspect="1"/>
        </xdr:cNvPicPr>
      </xdr:nvPicPr>
      <xdr:blipFill>
        <a:blip r:embed="rId292" cstate="email"/>
        <a:stretch>
          <a:fillRect/>
        </a:stretch>
      </xdr:blipFill>
      <xdr:spPr>
        <a:xfrm>
          <a:off x="243840" y="230396415"/>
          <a:ext cx="0" cy="518795"/>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xdr:cNvPicPr>
          <a:picLocks noChangeAspect="1"/>
        </xdr:cNvPicPr>
      </xdr:nvPicPr>
      <xdr:blipFill>
        <a:blip r:embed="rId293" cstate="email"/>
        <a:stretch>
          <a:fillRect/>
        </a:stretch>
      </xdr:blipFill>
      <xdr:spPr>
        <a:xfrm>
          <a:off x="243840" y="231082850"/>
          <a:ext cx="0" cy="525780"/>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xdr:cNvPicPr>
          <a:picLocks noChangeAspect="1"/>
        </xdr:cNvPicPr>
      </xdr:nvPicPr>
      <xdr:blipFill>
        <a:blip r:embed="rId294" cstate="email"/>
        <a:stretch>
          <a:fillRect/>
        </a:stretch>
      </xdr:blipFill>
      <xdr:spPr>
        <a:xfrm>
          <a:off x="243840" y="231782620"/>
          <a:ext cx="0" cy="525780"/>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xdr:cNvPicPr>
          <a:picLocks noChangeAspect="1"/>
        </xdr:cNvPicPr>
      </xdr:nvPicPr>
      <xdr:blipFill>
        <a:blip r:embed="rId295" cstate="email"/>
        <a:stretch>
          <a:fillRect/>
        </a:stretch>
      </xdr:blipFill>
      <xdr:spPr>
        <a:xfrm>
          <a:off x="243840" y="232473500"/>
          <a:ext cx="0" cy="537210"/>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xdr:cNvPicPr>
          <a:picLocks noChangeAspect="1"/>
        </xdr:cNvPicPr>
      </xdr:nvPicPr>
      <xdr:blipFill>
        <a:blip r:embed="rId296" cstate="email"/>
        <a:stretch>
          <a:fillRect/>
        </a:stretch>
      </xdr:blipFill>
      <xdr:spPr>
        <a:xfrm>
          <a:off x="243840" y="233185970"/>
          <a:ext cx="0" cy="521335"/>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xdr:cNvPicPr>
          <a:picLocks noChangeAspect="1"/>
        </xdr:cNvPicPr>
      </xdr:nvPicPr>
      <xdr:blipFill>
        <a:blip r:embed="rId297" cstate="email"/>
        <a:stretch>
          <a:fillRect/>
        </a:stretch>
      </xdr:blipFill>
      <xdr:spPr>
        <a:xfrm>
          <a:off x="243840" y="233888915"/>
          <a:ext cx="0" cy="518795"/>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xdr:cNvPicPr>
          <a:picLocks noChangeAspect="1"/>
        </xdr:cNvPicPr>
      </xdr:nvPicPr>
      <xdr:blipFill>
        <a:blip r:embed="rId298" cstate="email"/>
        <a:stretch>
          <a:fillRect/>
        </a:stretch>
      </xdr:blipFill>
      <xdr:spPr>
        <a:xfrm>
          <a:off x="243840" y="234587415"/>
          <a:ext cx="0" cy="520065"/>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xdr:cNvPicPr>
          <a:picLocks noChangeAspect="1"/>
        </xdr:cNvPicPr>
      </xdr:nvPicPr>
      <xdr:blipFill>
        <a:blip r:embed="rId299" cstate="email"/>
        <a:stretch>
          <a:fillRect/>
        </a:stretch>
      </xdr:blipFill>
      <xdr:spPr>
        <a:xfrm>
          <a:off x="243840" y="235279565"/>
          <a:ext cx="0" cy="509905"/>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xdr:cNvPicPr>
          <a:picLocks noChangeAspect="1"/>
        </xdr:cNvPicPr>
      </xdr:nvPicPr>
      <xdr:blipFill>
        <a:blip r:embed="rId300" cstate="email"/>
        <a:stretch>
          <a:fillRect/>
        </a:stretch>
      </xdr:blipFill>
      <xdr:spPr>
        <a:xfrm>
          <a:off x="243840" y="235971080"/>
          <a:ext cx="0" cy="530860"/>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xdr:cNvPicPr>
          <a:picLocks noChangeAspect="1"/>
        </xdr:cNvPicPr>
      </xdr:nvPicPr>
      <xdr:blipFill>
        <a:blip r:embed="rId301" cstate="email"/>
        <a:stretch>
          <a:fillRect/>
        </a:stretch>
      </xdr:blipFill>
      <xdr:spPr>
        <a:xfrm>
          <a:off x="243840" y="236645450"/>
          <a:ext cx="0" cy="474980"/>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xdr:cNvPicPr>
          <a:picLocks noChangeAspect="1"/>
        </xdr:cNvPicPr>
      </xdr:nvPicPr>
      <xdr:blipFill>
        <a:blip r:embed="rId302" cstate="email"/>
        <a:stretch>
          <a:fillRect/>
        </a:stretch>
      </xdr:blipFill>
      <xdr:spPr>
        <a:xfrm>
          <a:off x="243840" y="237369350"/>
          <a:ext cx="0" cy="520065"/>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xdr:cNvPicPr>
          <a:picLocks noChangeAspect="1"/>
        </xdr:cNvPicPr>
      </xdr:nvPicPr>
      <xdr:blipFill>
        <a:blip r:embed="rId303" cstate="email"/>
        <a:stretch>
          <a:fillRect/>
        </a:stretch>
      </xdr:blipFill>
      <xdr:spPr>
        <a:xfrm>
          <a:off x="243840" y="238060865"/>
          <a:ext cx="0" cy="531495"/>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xdr:cNvPicPr>
          <a:picLocks noChangeAspect="1"/>
        </xdr:cNvPicPr>
      </xdr:nvPicPr>
      <xdr:blipFill>
        <a:blip r:embed="rId304" cstate="email"/>
        <a:stretch>
          <a:fillRect/>
        </a:stretch>
      </xdr:blipFill>
      <xdr:spPr>
        <a:xfrm>
          <a:off x="243840" y="238766350"/>
          <a:ext cx="0" cy="527685"/>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xdr:cNvPicPr>
          <a:picLocks noChangeAspect="1"/>
        </xdr:cNvPicPr>
      </xdr:nvPicPr>
      <xdr:blipFill>
        <a:blip r:embed="rId304" cstate="email"/>
        <a:stretch>
          <a:fillRect/>
        </a:stretch>
      </xdr:blipFill>
      <xdr:spPr>
        <a:xfrm>
          <a:off x="243840" y="239466120"/>
          <a:ext cx="0" cy="527685"/>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xdr:cNvPicPr>
          <a:picLocks noChangeAspect="1"/>
        </xdr:cNvPicPr>
      </xdr:nvPicPr>
      <xdr:blipFill>
        <a:blip r:embed="rId305" cstate="email"/>
        <a:stretch>
          <a:fillRect/>
        </a:stretch>
      </xdr:blipFill>
      <xdr:spPr>
        <a:xfrm>
          <a:off x="243840" y="240163350"/>
          <a:ext cx="0" cy="523875"/>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xdr:cNvPicPr>
          <a:picLocks noChangeAspect="1"/>
        </xdr:cNvPicPr>
      </xdr:nvPicPr>
      <xdr:blipFill>
        <a:blip r:embed="rId305" cstate="email"/>
        <a:stretch>
          <a:fillRect/>
        </a:stretch>
      </xdr:blipFill>
      <xdr:spPr>
        <a:xfrm>
          <a:off x="243840" y="241560350"/>
          <a:ext cx="0" cy="523875"/>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xdr:cNvPicPr>
          <a:picLocks noChangeAspect="1"/>
        </xdr:cNvPicPr>
      </xdr:nvPicPr>
      <xdr:blipFill>
        <a:blip r:embed="rId306" cstate="email"/>
        <a:stretch>
          <a:fillRect/>
        </a:stretch>
      </xdr:blipFill>
      <xdr:spPr>
        <a:xfrm>
          <a:off x="243840" y="242246150"/>
          <a:ext cx="0" cy="45466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xdr:cNvPicPr>
          <a:picLocks noChangeAspect="1"/>
        </xdr:cNvPicPr>
      </xdr:nvPicPr>
      <xdr:blipFill>
        <a:blip r:embed="rId307" cstate="email"/>
        <a:stretch>
          <a:fillRect/>
        </a:stretch>
      </xdr:blipFill>
      <xdr:spPr>
        <a:xfrm>
          <a:off x="243840" y="242954175"/>
          <a:ext cx="0" cy="53213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xdr:cNvPicPr>
          <a:picLocks noChangeAspect="1"/>
        </xdr:cNvPicPr>
      </xdr:nvPicPr>
      <xdr:blipFill>
        <a:blip r:embed="rId308" cstate="email"/>
        <a:stretch>
          <a:fillRect/>
        </a:stretch>
      </xdr:blipFill>
      <xdr:spPr>
        <a:xfrm>
          <a:off x="243840" y="243651405"/>
          <a:ext cx="0" cy="53276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xdr:cNvPicPr>
          <a:picLocks noChangeAspect="1"/>
        </xdr:cNvPicPr>
      </xdr:nvPicPr>
      <xdr:blipFill>
        <a:blip r:embed="rId309" cstate="email"/>
        <a:stretch>
          <a:fillRect/>
        </a:stretch>
      </xdr:blipFill>
      <xdr:spPr>
        <a:xfrm>
          <a:off x="243840" y="244376575"/>
          <a:ext cx="0" cy="502920"/>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xdr:cNvPicPr>
          <a:picLocks noChangeAspect="1"/>
        </xdr:cNvPicPr>
      </xdr:nvPicPr>
      <xdr:blipFill>
        <a:blip r:embed="rId310" cstate="email"/>
        <a:stretch>
          <a:fillRect/>
        </a:stretch>
      </xdr:blipFill>
      <xdr:spPr>
        <a:xfrm>
          <a:off x="203835" y="245068090"/>
          <a:ext cx="40005" cy="440055"/>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xdr:cNvPicPr>
          <a:picLocks noChangeAspect="1"/>
        </xdr:cNvPicPr>
      </xdr:nvPicPr>
      <xdr:blipFill>
        <a:blip r:embed="rId311" cstate="email"/>
        <a:stretch>
          <a:fillRect/>
        </a:stretch>
      </xdr:blipFill>
      <xdr:spPr>
        <a:xfrm>
          <a:off x="243840" y="245776750"/>
          <a:ext cx="0" cy="422275"/>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xdr:cNvPicPr>
          <a:picLocks noChangeAspect="1"/>
        </xdr:cNvPicPr>
      </xdr:nvPicPr>
      <xdr:blipFill>
        <a:blip r:embed="rId312" cstate="email"/>
        <a:stretch>
          <a:fillRect/>
        </a:stretch>
      </xdr:blipFill>
      <xdr:spPr>
        <a:xfrm>
          <a:off x="243840" y="246461915"/>
          <a:ext cx="0" cy="511175"/>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xdr:cNvPicPr>
          <a:picLocks noChangeAspect="1"/>
        </xdr:cNvPicPr>
      </xdr:nvPicPr>
      <xdr:blipFill>
        <a:blip r:embed="rId313" cstate="email"/>
        <a:stretch>
          <a:fillRect/>
        </a:stretch>
      </xdr:blipFill>
      <xdr:spPr>
        <a:xfrm>
          <a:off x="243840" y="247160415"/>
          <a:ext cx="0" cy="519430"/>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xdr:cNvPicPr>
          <a:picLocks noChangeAspect="1"/>
        </xdr:cNvPicPr>
      </xdr:nvPicPr>
      <xdr:blipFill>
        <a:blip r:embed="rId314" cstate="email"/>
        <a:stretch>
          <a:fillRect/>
        </a:stretch>
      </xdr:blipFill>
      <xdr:spPr>
        <a:xfrm>
          <a:off x="243840" y="247855740"/>
          <a:ext cx="0" cy="514985"/>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xdr:cNvPicPr>
          <a:picLocks noChangeAspect="1"/>
        </xdr:cNvPicPr>
      </xdr:nvPicPr>
      <xdr:blipFill>
        <a:blip r:embed="rId315" cstate="email"/>
        <a:stretch>
          <a:fillRect/>
        </a:stretch>
      </xdr:blipFill>
      <xdr:spPr>
        <a:xfrm>
          <a:off x="243840" y="248542810"/>
          <a:ext cx="0" cy="530225"/>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xdr:cNvPicPr>
          <a:picLocks noChangeAspect="1"/>
        </xdr:cNvPicPr>
      </xdr:nvPicPr>
      <xdr:blipFill>
        <a:blip r:embed="rId316" cstate="email"/>
        <a:stretch>
          <a:fillRect/>
        </a:stretch>
      </xdr:blipFill>
      <xdr:spPr>
        <a:xfrm>
          <a:off x="243840" y="249243850"/>
          <a:ext cx="0" cy="528320"/>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xdr:cNvPicPr>
          <a:picLocks noChangeAspect="1"/>
        </xdr:cNvPicPr>
      </xdr:nvPicPr>
      <xdr:blipFill>
        <a:blip r:embed="rId317" cstate="email"/>
        <a:stretch>
          <a:fillRect/>
        </a:stretch>
      </xdr:blipFill>
      <xdr:spPr>
        <a:xfrm>
          <a:off x="243840" y="249951240"/>
          <a:ext cx="0" cy="449580"/>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xdr:cNvPicPr>
          <a:picLocks noChangeAspect="1"/>
        </xdr:cNvPicPr>
      </xdr:nvPicPr>
      <xdr:blipFill>
        <a:blip r:embed="rId318" cstate="email"/>
        <a:stretch>
          <a:fillRect/>
        </a:stretch>
      </xdr:blipFill>
      <xdr:spPr>
        <a:xfrm>
          <a:off x="243840" y="250628785"/>
          <a:ext cx="0" cy="529590"/>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xdr:cNvPicPr>
          <a:picLocks noChangeAspect="1"/>
        </xdr:cNvPicPr>
      </xdr:nvPicPr>
      <xdr:blipFill>
        <a:blip r:embed="rId319" cstate="email"/>
        <a:stretch>
          <a:fillRect/>
        </a:stretch>
      </xdr:blipFill>
      <xdr:spPr>
        <a:xfrm>
          <a:off x="243840" y="251339350"/>
          <a:ext cx="0" cy="525780"/>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xdr:cNvPicPr>
          <a:picLocks noChangeAspect="1"/>
        </xdr:cNvPicPr>
      </xdr:nvPicPr>
      <xdr:blipFill>
        <a:blip r:embed="rId320" cstate="email"/>
        <a:stretch>
          <a:fillRect/>
        </a:stretch>
      </xdr:blipFill>
      <xdr:spPr>
        <a:xfrm>
          <a:off x="243840" y="252036580"/>
          <a:ext cx="0" cy="516890"/>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xdr:cNvPicPr>
          <a:picLocks noChangeAspect="1"/>
        </xdr:cNvPicPr>
      </xdr:nvPicPr>
      <xdr:blipFill>
        <a:blip r:embed="rId321" cstate="email"/>
        <a:stretch>
          <a:fillRect/>
        </a:stretch>
      </xdr:blipFill>
      <xdr:spPr>
        <a:xfrm>
          <a:off x="243840" y="252738890"/>
          <a:ext cx="0" cy="526415"/>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xdr:cNvPicPr>
          <a:picLocks noChangeAspect="1"/>
        </xdr:cNvPicPr>
      </xdr:nvPicPr>
      <xdr:blipFill>
        <a:blip r:embed="rId322" cstate="email"/>
        <a:stretch>
          <a:fillRect/>
        </a:stretch>
      </xdr:blipFill>
      <xdr:spPr>
        <a:xfrm>
          <a:off x="243840" y="253446915"/>
          <a:ext cx="0" cy="517525"/>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xdr:cNvPicPr>
          <a:picLocks noChangeAspect="1"/>
        </xdr:cNvPicPr>
      </xdr:nvPicPr>
      <xdr:blipFill>
        <a:blip r:embed="rId323" cstate="email"/>
        <a:stretch>
          <a:fillRect/>
        </a:stretch>
      </xdr:blipFill>
      <xdr:spPr>
        <a:xfrm>
          <a:off x="243840" y="254133350"/>
          <a:ext cx="0" cy="528955"/>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xdr:cNvPicPr>
          <a:picLocks noChangeAspect="1"/>
        </xdr:cNvPicPr>
      </xdr:nvPicPr>
      <xdr:blipFill>
        <a:blip r:embed="rId324" cstate="email"/>
        <a:stretch>
          <a:fillRect/>
        </a:stretch>
      </xdr:blipFill>
      <xdr:spPr>
        <a:xfrm>
          <a:off x="243840" y="254819150"/>
          <a:ext cx="0" cy="539115"/>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xdr:cNvPicPr>
          <a:picLocks noChangeAspect="1"/>
        </xdr:cNvPicPr>
      </xdr:nvPicPr>
      <xdr:blipFill>
        <a:blip r:embed="rId325" cstate="email"/>
        <a:stretch>
          <a:fillRect/>
        </a:stretch>
      </xdr:blipFill>
      <xdr:spPr>
        <a:xfrm>
          <a:off x="243840" y="255532890"/>
          <a:ext cx="0" cy="526415"/>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xdr:cNvPicPr>
          <a:picLocks noChangeAspect="1"/>
        </xdr:cNvPicPr>
      </xdr:nvPicPr>
      <xdr:blipFill>
        <a:blip r:embed="rId326" cstate="email"/>
        <a:stretch>
          <a:fillRect/>
        </a:stretch>
      </xdr:blipFill>
      <xdr:spPr>
        <a:xfrm>
          <a:off x="243840" y="256227580"/>
          <a:ext cx="0" cy="52895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xdr:cNvPicPr>
          <a:picLocks noChangeAspect="1"/>
        </xdr:cNvPicPr>
      </xdr:nvPicPr>
      <xdr:blipFill>
        <a:blip r:embed="rId327" cstate="email"/>
        <a:stretch>
          <a:fillRect/>
        </a:stretch>
      </xdr:blipFill>
      <xdr:spPr>
        <a:xfrm>
          <a:off x="243840" y="256919730"/>
          <a:ext cx="0" cy="522605"/>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xdr:cNvPicPr>
          <a:picLocks noChangeAspect="1"/>
        </xdr:cNvPicPr>
      </xdr:nvPicPr>
      <xdr:blipFill>
        <a:blip r:embed="rId328" cstate="email"/>
        <a:stretch>
          <a:fillRect/>
        </a:stretch>
      </xdr:blipFill>
      <xdr:spPr>
        <a:xfrm>
          <a:off x="243840" y="257629025"/>
          <a:ext cx="0" cy="522605"/>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xdr:cNvPicPr>
          <a:picLocks noChangeAspect="1"/>
        </xdr:cNvPicPr>
      </xdr:nvPicPr>
      <xdr:blipFill>
        <a:blip r:embed="rId329" cstate="email"/>
        <a:stretch>
          <a:fillRect/>
        </a:stretch>
      </xdr:blipFill>
      <xdr:spPr>
        <a:xfrm>
          <a:off x="243840" y="258337050"/>
          <a:ext cx="0" cy="445770"/>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xdr:cNvPicPr>
          <a:picLocks noChangeAspect="1"/>
        </xdr:cNvPicPr>
      </xdr:nvPicPr>
      <xdr:blipFill>
        <a:blip r:embed="rId330" cstate="email"/>
        <a:stretch>
          <a:fillRect/>
        </a:stretch>
      </xdr:blipFill>
      <xdr:spPr>
        <a:xfrm>
          <a:off x="243840" y="258933315"/>
          <a:ext cx="0" cy="630555"/>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xdr:cNvPicPr>
          <a:picLocks noChangeAspect="1"/>
        </xdr:cNvPicPr>
      </xdr:nvPicPr>
      <xdr:blipFill>
        <a:blip r:embed="rId331" cstate="email"/>
        <a:stretch>
          <a:fillRect/>
        </a:stretch>
      </xdr:blipFill>
      <xdr:spPr>
        <a:xfrm>
          <a:off x="243840" y="259678805"/>
          <a:ext cx="0" cy="593090"/>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xdr:cNvPicPr>
          <a:picLocks noChangeAspect="1"/>
        </xdr:cNvPicPr>
      </xdr:nvPicPr>
      <xdr:blipFill>
        <a:blip r:embed="rId332" cstate="email"/>
        <a:stretch>
          <a:fillRect/>
        </a:stretch>
      </xdr:blipFill>
      <xdr:spPr>
        <a:xfrm>
          <a:off x="220980" y="260332220"/>
          <a:ext cx="22860" cy="624840"/>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xdr:cNvPicPr>
          <a:picLocks noChangeAspect="1"/>
        </xdr:cNvPicPr>
      </xdr:nvPicPr>
      <xdr:blipFill>
        <a:blip r:embed="rId333" cstate="email"/>
        <a:stretch>
          <a:fillRect/>
        </a:stretch>
      </xdr:blipFill>
      <xdr:spPr>
        <a:xfrm>
          <a:off x="243840" y="261066915"/>
          <a:ext cx="0" cy="606425"/>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xdr:cNvPicPr>
          <a:picLocks noChangeAspect="1"/>
        </xdr:cNvPicPr>
      </xdr:nvPicPr>
      <xdr:blipFill>
        <a:blip r:embed="rId334" cstate="email"/>
        <a:stretch>
          <a:fillRect/>
        </a:stretch>
      </xdr:blipFill>
      <xdr:spPr>
        <a:xfrm>
          <a:off x="177800" y="261765415"/>
          <a:ext cx="66040" cy="605790"/>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xdr:cNvPicPr>
          <a:picLocks noChangeAspect="1"/>
        </xdr:cNvPicPr>
      </xdr:nvPicPr>
      <xdr:blipFill>
        <a:blip r:embed="rId335" cstate="email"/>
        <a:stretch>
          <a:fillRect/>
        </a:stretch>
      </xdr:blipFill>
      <xdr:spPr>
        <a:xfrm>
          <a:off x="179705" y="262449945"/>
          <a:ext cx="64135" cy="631190"/>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xdr:cNvPicPr>
          <a:picLocks noChangeAspect="1"/>
        </xdr:cNvPicPr>
      </xdr:nvPicPr>
      <xdr:blipFill>
        <a:blip r:embed="rId336" cstate="email"/>
        <a:stretch>
          <a:fillRect/>
        </a:stretch>
      </xdr:blipFill>
      <xdr:spPr>
        <a:xfrm>
          <a:off x="156845" y="263126220"/>
          <a:ext cx="86995" cy="655955"/>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xdr:cNvPicPr>
          <a:picLocks noChangeAspect="1"/>
        </xdr:cNvPicPr>
      </xdr:nvPicPr>
      <xdr:blipFill>
        <a:blip r:embed="rId337" cstate="email"/>
        <a:stretch>
          <a:fillRect/>
        </a:stretch>
      </xdr:blipFill>
      <xdr:spPr>
        <a:xfrm>
          <a:off x="243840" y="263874885"/>
          <a:ext cx="0" cy="610235"/>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xdr:cNvPicPr>
          <a:picLocks noChangeAspect="1"/>
        </xdr:cNvPicPr>
      </xdr:nvPicPr>
      <xdr:blipFill>
        <a:blip r:embed="rId338" cstate="email"/>
        <a:stretch>
          <a:fillRect/>
        </a:stretch>
      </xdr:blipFill>
      <xdr:spPr>
        <a:xfrm>
          <a:off x="243840" y="264559415"/>
          <a:ext cx="0" cy="630555"/>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xdr:cNvPicPr>
          <a:picLocks noChangeAspect="1"/>
        </xdr:cNvPicPr>
      </xdr:nvPicPr>
      <xdr:blipFill>
        <a:blip r:embed="rId339" cstate="email"/>
        <a:stretch>
          <a:fillRect/>
        </a:stretch>
      </xdr:blipFill>
      <xdr:spPr>
        <a:xfrm>
          <a:off x="243840" y="265257915"/>
          <a:ext cx="0" cy="621665"/>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xdr:cNvPicPr>
          <a:picLocks noChangeAspect="1"/>
        </xdr:cNvPicPr>
      </xdr:nvPicPr>
      <xdr:blipFill>
        <a:blip r:embed="rId340" cstate="email"/>
        <a:stretch>
          <a:fillRect/>
        </a:stretch>
      </xdr:blipFill>
      <xdr:spPr>
        <a:xfrm>
          <a:off x="243840" y="265941810"/>
          <a:ext cx="0" cy="63436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xdr:cNvPicPr>
          <a:picLocks noChangeAspect="1"/>
        </xdr:cNvPicPr>
      </xdr:nvPicPr>
      <xdr:blipFill>
        <a:blip r:embed="rId341" cstate="email"/>
        <a:stretch>
          <a:fillRect/>
        </a:stretch>
      </xdr:blipFill>
      <xdr:spPr>
        <a:xfrm>
          <a:off x="243840" y="266647295"/>
          <a:ext cx="0" cy="622300"/>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xdr:cNvPicPr>
          <a:picLocks noChangeAspect="1"/>
        </xdr:cNvPicPr>
      </xdr:nvPicPr>
      <xdr:blipFill>
        <a:blip r:embed="rId342" cstate="email"/>
        <a:stretch>
          <a:fillRect/>
        </a:stretch>
      </xdr:blipFill>
      <xdr:spPr>
        <a:xfrm>
          <a:off x="186690" y="267318490"/>
          <a:ext cx="57150" cy="650875"/>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xdr:cNvPicPr>
          <a:picLocks noChangeAspect="1"/>
        </xdr:cNvPicPr>
      </xdr:nvPicPr>
      <xdr:blipFill>
        <a:blip r:embed="rId343" cstate="email"/>
        <a:stretch>
          <a:fillRect/>
        </a:stretch>
      </xdr:blipFill>
      <xdr:spPr>
        <a:xfrm>
          <a:off x="243840" y="268023340"/>
          <a:ext cx="0" cy="648335"/>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xdr:cNvPicPr>
          <a:picLocks noChangeAspect="1"/>
        </xdr:cNvPicPr>
      </xdr:nvPicPr>
      <xdr:blipFill>
        <a:blip r:embed="rId344" cstate="email"/>
        <a:stretch>
          <a:fillRect/>
        </a:stretch>
      </xdr:blipFill>
      <xdr:spPr>
        <a:xfrm>
          <a:off x="243840" y="268750415"/>
          <a:ext cx="0" cy="59626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xdr:cNvPicPr>
          <a:picLocks noChangeAspect="1"/>
        </xdr:cNvPicPr>
      </xdr:nvPicPr>
      <xdr:blipFill>
        <a:blip r:embed="rId345" cstate="email"/>
        <a:stretch>
          <a:fillRect/>
        </a:stretch>
      </xdr:blipFill>
      <xdr:spPr>
        <a:xfrm>
          <a:off x="243840" y="269419705"/>
          <a:ext cx="0" cy="536575"/>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xdr:cNvPicPr>
          <a:picLocks noChangeAspect="1"/>
        </xdr:cNvPicPr>
      </xdr:nvPicPr>
      <xdr:blipFill>
        <a:blip r:embed="rId346" cstate="email"/>
        <a:stretch>
          <a:fillRect/>
        </a:stretch>
      </xdr:blipFill>
      <xdr:spPr>
        <a:xfrm>
          <a:off x="243840" y="270107410"/>
          <a:ext cx="0" cy="539750"/>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xdr:cNvPicPr>
          <a:picLocks noChangeAspect="1"/>
        </xdr:cNvPicPr>
      </xdr:nvPicPr>
      <xdr:blipFill>
        <a:blip r:embed="rId347" cstate="email"/>
        <a:stretch>
          <a:fillRect/>
        </a:stretch>
      </xdr:blipFill>
      <xdr:spPr>
        <a:xfrm>
          <a:off x="243840" y="270816705"/>
          <a:ext cx="0" cy="536575"/>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xdr:cNvPicPr>
          <a:picLocks noChangeAspect="1"/>
        </xdr:cNvPicPr>
      </xdr:nvPicPr>
      <xdr:blipFill>
        <a:blip r:embed="rId348" cstate="email"/>
        <a:stretch>
          <a:fillRect/>
        </a:stretch>
      </xdr:blipFill>
      <xdr:spPr>
        <a:xfrm>
          <a:off x="243840" y="271529810"/>
          <a:ext cx="0" cy="601980"/>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xdr:cNvPicPr>
          <a:picLocks noChangeAspect="1"/>
        </xdr:cNvPicPr>
      </xdr:nvPicPr>
      <xdr:blipFill>
        <a:blip r:embed="rId349" cstate="email"/>
        <a:stretch>
          <a:fillRect/>
        </a:stretch>
      </xdr:blipFill>
      <xdr:spPr>
        <a:xfrm>
          <a:off x="235585" y="272905220"/>
          <a:ext cx="8255" cy="547370"/>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xdr:cNvPicPr>
          <a:picLocks noChangeAspect="1"/>
        </xdr:cNvPicPr>
      </xdr:nvPicPr>
      <xdr:blipFill>
        <a:blip r:embed="rId350" cstate="email"/>
        <a:stretch>
          <a:fillRect/>
        </a:stretch>
      </xdr:blipFill>
      <xdr:spPr>
        <a:xfrm>
          <a:off x="243840" y="272228310"/>
          <a:ext cx="0" cy="601980"/>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xdr:cNvPicPr>
          <a:picLocks noChangeAspect="1"/>
        </xdr:cNvPicPr>
      </xdr:nvPicPr>
      <xdr:blipFill>
        <a:blip r:embed="rId351" cstate="email"/>
        <a:stretch>
          <a:fillRect/>
        </a:stretch>
      </xdr:blipFill>
      <xdr:spPr>
        <a:xfrm>
          <a:off x="243840" y="273639915"/>
          <a:ext cx="0" cy="593725"/>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xdr:cNvPicPr>
          <a:picLocks noChangeAspect="1"/>
        </xdr:cNvPicPr>
      </xdr:nvPicPr>
      <xdr:blipFill>
        <a:blip r:embed="rId352" cstate="email"/>
        <a:stretch>
          <a:fillRect/>
        </a:stretch>
      </xdr:blipFill>
      <xdr:spPr>
        <a:xfrm>
          <a:off x="243840" y="274309205"/>
          <a:ext cx="0" cy="608965"/>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xdr:cNvPicPr>
          <a:picLocks noChangeAspect="1"/>
        </xdr:cNvPicPr>
      </xdr:nvPicPr>
      <xdr:blipFill>
        <a:blip r:embed="rId353" cstate="email"/>
        <a:stretch>
          <a:fillRect/>
        </a:stretch>
      </xdr:blipFill>
      <xdr:spPr>
        <a:xfrm>
          <a:off x="243840" y="275022310"/>
          <a:ext cx="0" cy="608965"/>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xdr:cNvPicPr>
          <a:picLocks noChangeAspect="1"/>
        </xdr:cNvPicPr>
      </xdr:nvPicPr>
      <xdr:blipFill>
        <a:blip r:embed="rId354" cstate="email"/>
        <a:stretch>
          <a:fillRect/>
        </a:stretch>
      </xdr:blipFill>
      <xdr:spPr>
        <a:xfrm>
          <a:off x="243840" y="275720810"/>
          <a:ext cx="0" cy="60007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xdr:cNvPicPr>
          <a:picLocks noChangeAspect="1"/>
        </xdr:cNvPicPr>
      </xdr:nvPicPr>
      <xdr:blipFill>
        <a:blip r:embed="rId355" cstate="email"/>
        <a:stretch>
          <a:fillRect/>
        </a:stretch>
      </xdr:blipFill>
      <xdr:spPr>
        <a:xfrm>
          <a:off x="243840" y="276404705"/>
          <a:ext cx="0" cy="604520"/>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xdr:cNvPicPr>
          <a:picLocks noChangeAspect="1"/>
        </xdr:cNvPicPr>
      </xdr:nvPicPr>
      <xdr:blipFill>
        <a:blip r:embed="rId356" cstate="email"/>
        <a:stretch>
          <a:fillRect/>
        </a:stretch>
      </xdr:blipFill>
      <xdr:spPr>
        <a:xfrm>
          <a:off x="243840" y="277117810"/>
          <a:ext cx="0" cy="605790"/>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xdr:cNvPicPr>
          <a:picLocks noChangeAspect="1"/>
        </xdr:cNvPicPr>
      </xdr:nvPicPr>
      <xdr:blipFill>
        <a:blip r:embed="rId357" cstate="email"/>
        <a:stretch>
          <a:fillRect/>
        </a:stretch>
      </xdr:blipFill>
      <xdr:spPr>
        <a:xfrm>
          <a:off x="163830" y="277808690"/>
          <a:ext cx="80010" cy="534670"/>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xdr:cNvPicPr>
          <a:picLocks noChangeAspect="1"/>
        </xdr:cNvPicPr>
      </xdr:nvPicPr>
      <xdr:blipFill>
        <a:blip r:embed="rId358" cstate="email"/>
        <a:stretch>
          <a:fillRect/>
        </a:stretch>
      </xdr:blipFill>
      <xdr:spPr>
        <a:xfrm>
          <a:off x="243840" y="278500840"/>
          <a:ext cx="0" cy="61214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xdr:cNvPicPr>
          <a:picLocks noChangeAspect="1"/>
        </xdr:cNvPicPr>
      </xdr:nvPicPr>
      <xdr:blipFill>
        <a:blip r:embed="rId359" cstate="email"/>
        <a:stretch>
          <a:fillRect/>
        </a:stretch>
      </xdr:blipFill>
      <xdr:spPr>
        <a:xfrm>
          <a:off x="243840" y="279208865"/>
          <a:ext cx="0" cy="612775"/>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xdr:cNvPicPr>
          <a:picLocks noChangeAspect="1"/>
        </xdr:cNvPicPr>
      </xdr:nvPicPr>
      <xdr:blipFill>
        <a:blip r:embed="rId360" cstate="email"/>
        <a:stretch>
          <a:fillRect/>
        </a:stretch>
      </xdr:blipFill>
      <xdr:spPr>
        <a:xfrm>
          <a:off x="243840" y="279926415"/>
          <a:ext cx="0" cy="529590"/>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xdr:cNvPicPr>
          <a:picLocks noChangeAspect="1"/>
        </xdr:cNvPicPr>
      </xdr:nvPicPr>
      <xdr:blipFill>
        <a:blip r:embed="rId361" cstate="email"/>
        <a:stretch>
          <a:fillRect/>
        </a:stretch>
      </xdr:blipFill>
      <xdr:spPr>
        <a:xfrm>
          <a:off x="243840" y="280599515"/>
          <a:ext cx="0" cy="510540"/>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xdr:cNvPicPr>
          <a:picLocks noChangeAspect="1"/>
        </xdr:cNvPicPr>
      </xdr:nvPicPr>
      <xdr:blipFill>
        <a:blip r:embed="rId362" cstate="email"/>
        <a:stretch>
          <a:fillRect/>
        </a:stretch>
      </xdr:blipFill>
      <xdr:spPr>
        <a:xfrm>
          <a:off x="243840" y="281294840"/>
          <a:ext cx="0" cy="617220"/>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xdr:cNvPicPr>
          <a:picLocks noChangeAspect="1"/>
        </xdr:cNvPicPr>
      </xdr:nvPicPr>
      <xdr:blipFill>
        <a:blip r:embed="rId363" cstate="email"/>
        <a:stretch>
          <a:fillRect/>
        </a:stretch>
      </xdr:blipFill>
      <xdr:spPr>
        <a:xfrm>
          <a:off x="243840" y="281999690"/>
          <a:ext cx="0" cy="597535"/>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xdr:cNvPicPr>
          <a:picLocks noChangeAspect="1"/>
        </xdr:cNvPicPr>
      </xdr:nvPicPr>
      <xdr:blipFill>
        <a:blip r:embed="rId364" cstate="email"/>
        <a:stretch>
          <a:fillRect/>
        </a:stretch>
      </xdr:blipFill>
      <xdr:spPr>
        <a:xfrm>
          <a:off x="243840" y="282684220"/>
          <a:ext cx="0" cy="62166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xdr:cNvPicPr>
          <a:picLocks noChangeAspect="1"/>
        </xdr:cNvPicPr>
      </xdr:nvPicPr>
      <xdr:blipFill>
        <a:blip r:embed="rId365" cstate="email"/>
        <a:stretch>
          <a:fillRect/>
        </a:stretch>
      </xdr:blipFill>
      <xdr:spPr>
        <a:xfrm>
          <a:off x="243840" y="283411295"/>
          <a:ext cx="0" cy="593725"/>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xdr:cNvPicPr>
          <a:picLocks noChangeAspect="1"/>
        </xdr:cNvPicPr>
      </xdr:nvPicPr>
      <xdr:blipFill>
        <a:blip r:embed="rId366" cstate="email"/>
        <a:stretch>
          <a:fillRect/>
        </a:stretch>
      </xdr:blipFill>
      <xdr:spPr>
        <a:xfrm>
          <a:off x="243840" y="284098365"/>
          <a:ext cx="0" cy="59944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xdr:cNvPicPr>
          <a:picLocks noChangeAspect="1"/>
        </xdr:cNvPicPr>
      </xdr:nvPicPr>
      <xdr:blipFill>
        <a:blip r:embed="rId367" cstate="email"/>
        <a:stretch>
          <a:fillRect/>
        </a:stretch>
      </xdr:blipFill>
      <xdr:spPr>
        <a:xfrm>
          <a:off x="243840" y="284794325"/>
          <a:ext cx="0" cy="612775"/>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xdr:cNvPicPr>
          <a:picLocks noChangeAspect="1"/>
        </xdr:cNvPicPr>
      </xdr:nvPicPr>
      <xdr:blipFill>
        <a:blip r:embed="rId368" cstate="email"/>
        <a:stretch>
          <a:fillRect/>
        </a:stretch>
      </xdr:blipFill>
      <xdr:spPr>
        <a:xfrm>
          <a:off x="243840" y="285495365"/>
          <a:ext cx="0" cy="60134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xdr:cNvPicPr>
          <a:picLocks noChangeAspect="1"/>
        </xdr:cNvPicPr>
      </xdr:nvPicPr>
      <xdr:blipFill>
        <a:blip r:embed="rId369" cstate="email"/>
        <a:stretch>
          <a:fillRect/>
        </a:stretch>
      </xdr:blipFill>
      <xdr:spPr>
        <a:xfrm>
          <a:off x="243840" y="286212915"/>
          <a:ext cx="0" cy="589915"/>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xdr:cNvPicPr>
          <a:picLocks noChangeAspect="1"/>
        </xdr:cNvPicPr>
      </xdr:nvPicPr>
      <xdr:blipFill>
        <a:blip r:embed="rId370" cstate="email"/>
        <a:stretch>
          <a:fillRect/>
        </a:stretch>
      </xdr:blipFill>
      <xdr:spPr>
        <a:xfrm>
          <a:off x="243840" y="286896810"/>
          <a:ext cx="0" cy="59880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xdr:cNvPicPr>
          <a:picLocks noChangeAspect="1"/>
        </xdr:cNvPicPr>
      </xdr:nvPicPr>
      <xdr:blipFill>
        <a:blip r:embed="rId371" cstate="email"/>
        <a:stretch>
          <a:fillRect/>
        </a:stretch>
      </xdr:blipFill>
      <xdr:spPr>
        <a:xfrm>
          <a:off x="243840" y="288308415"/>
          <a:ext cx="0" cy="592455"/>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xdr:cNvPicPr>
          <a:picLocks noChangeAspect="1"/>
        </xdr:cNvPicPr>
      </xdr:nvPicPr>
      <xdr:blipFill>
        <a:blip r:embed="rId372" cstate="email"/>
        <a:stretch>
          <a:fillRect/>
        </a:stretch>
      </xdr:blipFill>
      <xdr:spPr>
        <a:xfrm>
          <a:off x="243840" y="288984690"/>
          <a:ext cx="0" cy="596900"/>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xdr:cNvPicPr>
          <a:picLocks noChangeAspect="1"/>
        </xdr:cNvPicPr>
      </xdr:nvPicPr>
      <xdr:blipFill>
        <a:blip r:embed="rId373" cstate="email"/>
        <a:stretch>
          <a:fillRect/>
        </a:stretch>
      </xdr:blipFill>
      <xdr:spPr>
        <a:xfrm>
          <a:off x="243840" y="287609915"/>
          <a:ext cx="0" cy="591185"/>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xdr:cNvPicPr>
          <a:picLocks noChangeAspect="1"/>
        </xdr:cNvPicPr>
      </xdr:nvPicPr>
      <xdr:blipFill>
        <a:blip r:embed="rId374" cstate="email"/>
        <a:stretch>
          <a:fillRect/>
        </a:stretch>
      </xdr:blipFill>
      <xdr:spPr>
        <a:xfrm>
          <a:off x="243840" y="289690810"/>
          <a:ext cx="0" cy="596265"/>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xdr:cNvPicPr>
          <a:picLocks noChangeAspect="1"/>
        </xdr:cNvPicPr>
      </xdr:nvPicPr>
      <xdr:blipFill>
        <a:blip r:embed="rId375" cstate="email"/>
        <a:stretch>
          <a:fillRect/>
        </a:stretch>
      </xdr:blipFill>
      <xdr:spPr>
        <a:xfrm>
          <a:off x="243840" y="290417885"/>
          <a:ext cx="0" cy="575310"/>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xdr:cNvPicPr>
          <a:picLocks noChangeAspect="1"/>
        </xdr:cNvPicPr>
      </xdr:nvPicPr>
      <xdr:blipFill>
        <a:blip r:embed="rId376" cstate="email"/>
        <a:stretch>
          <a:fillRect/>
        </a:stretch>
      </xdr:blipFill>
      <xdr:spPr>
        <a:xfrm>
          <a:off x="243840" y="291087810"/>
          <a:ext cx="0" cy="600710"/>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xdr:cNvPicPr>
          <a:picLocks noChangeAspect="1"/>
        </xdr:cNvPicPr>
      </xdr:nvPicPr>
      <xdr:blipFill>
        <a:blip r:embed="rId377" cstate="email"/>
        <a:stretch>
          <a:fillRect/>
        </a:stretch>
      </xdr:blipFill>
      <xdr:spPr>
        <a:xfrm>
          <a:off x="243840" y="291799010"/>
          <a:ext cx="0" cy="517525"/>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xdr:cNvPicPr>
          <a:picLocks noChangeAspect="1"/>
        </xdr:cNvPicPr>
      </xdr:nvPicPr>
      <xdr:blipFill>
        <a:blip r:embed="rId378" cstate="email"/>
        <a:stretch>
          <a:fillRect/>
        </a:stretch>
      </xdr:blipFill>
      <xdr:spPr>
        <a:xfrm>
          <a:off x="243840" y="292483540"/>
          <a:ext cx="0" cy="605155"/>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xdr:cNvPicPr>
          <a:picLocks noChangeAspect="1"/>
        </xdr:cNvPicPr>
      </xdr:nvPicPr>
      <xdr:blipFill>
        <a:blip r:embed="rId379" cstate="email"/>
        <a:stretch>
          <a:fillRect/>
        </a:stretch>
      </xdr:blipFill>
      <xdr:spPr>
        <a:xfrm>
          <a:off x="243840" y="293170610"/>
          <a:ext cx="0" cy="616585"/>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xdr:cNvPicPr>
          <a:picLocks noChangeAspect="1" noChangeArrowheads="1"/>
        </xdr:cNvPicPr>
      </xdr:nvPicPr>
      <xdr:blipFill>
        <a:blip r:embed="rId380" cstate="email"/>
        <a:srcRect/>
        <a:stretch>
          <a:fillRect/>
        </a:stretch>
      </xdr:blipFill>
      <xdr:spPr>
        <a:xfrm>
          <a:off x="243840" y="299452030"/>
          <a:ext cx="0" cy="622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xdr:cNvPicPr>
          <a:picLocks noChangeAspect="1" noChangeArrowheads="1"/>
        </xdr:cNvPicPr>
      </xdr:nvPicPr>
      <xdr:blipFill>
        <a:blip r:embed="rId381" cstate="email"/>
        <a:srcRect/>
        <a:stretch>
          <a:fillRect/>
        </a:stretch>
      </xdr:blipFill>
      <xdr:spPr>
        <a:xfrm>
          <a:off x="243840" y="29876242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xdr:cNvPicPr>
          <a:picLocks noChangeAspect="1" noChangeArrowheads="1"/>
        </xdr:cNvPicPr>
      </xdr:nvPicPr>
      <xdr:blipFill>
        <a:blip r:embed="rId382" cstate="email"/>
        <a:srcRect/>
        <a:stretch>
          <a:fillRect/>
        </a:stretch>
      </xdr:blipFill>
      <xdr:spPr>
        <a:xfrm>
          <a:off x="243840" y="298072175"/>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xdr:cNvPicPr>
          <a:picLocks noChangeAspect="1" noChangeArrowheads="1"/>
        </xdr:cNvPicPr>
      </xdr:nvPicPr>
      <xdr:blipFill>
        <a:blip r:embed="rId383" cstate="print"/>
        <a:srcRect/>
        <a:stretch>
          <a:fillRect/>
        </a:stretch>
      </xdr:blipFill>
      <xdr:spPr>
        <a:xfrm>
          <a:off x="243840" y="295974135"/>
          <a:ext cx="0"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xdr:cNvPicPr>
          <a:picLocks noChangeAspect="1" noChangeArrowheads="1"/>
        </xdr:cNvPicPr>
      </xdr:nvPicPr>
      <xdr:blipFill>
        <a:blip r:embed="rId384" cstate="print"/>
        <a:srcRect/>
        <a:stretch>
          <a:fillRect/>
        </a:stretch>
      </xdr:blipFill>
      <xdr:spPr>
        <a:xfrm>
          <a:off x="243840" y="296662475"/>
          <a:ext cx="0" cy="617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xdr:cNvPicPr>
          <a:picLocks noChangeAspect="1" noChangeArrowheads="1"/>
        </xdr:cNvPicPr>
      </xdr:nvPicPr>
      <xdr:blipFill>
        <a:blip r:embed="rId385" cstate="email"/>
        <a:srcRect/>
        <a:stretch>
          <a:fillRect/>
        </a:stretch>
      </xdr:blipFill>
      <xdr:spPr>
        <a:xfrm>
          <a:off x="236220" y="297360340"/>
          <a:ext cx="762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xdr:cNvPicPr>
          <a:picLocks noChangeAspect="1" noChangeArrowheads="1"/>
        </xdr:cNvPicPr>
      </xdr:nvPicPr>
      <xdr:blipFill>
        <a:blip r:embed="rId386" cstate="email"/>
        <a:srcRect/>
        <a:stretch>
          <a:fillRect/>
        </a:stretch>
      </xdr:blipFill>
      <xdr:spPr>
        <a:xfrm>
          <a:off x="243840" y="29456888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xdr:cNvPicPr>
          <a:picLocks noChangeAspect="1" noChangeArrowheads="1"/>
        </xdr:cNvPicPr>
      </xdr:nvPicPr>
      <xdr:blipFill>
        <a:blip r:embed="rId386" cstate="email"/>
        <a:srcRect/>
        <a:stretch>
          <a:fillRect/>
        </a:stretch>
      </xdr:blipFill>
      <xdr:spPr>
        <a:xfrm>
          <a:off x="243840" y="29526738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xdr:cNvPicPr>
          <a:picLocks noChangeAspect="1" noChangeArrowheads="1"/>
        </xdr:cNvPicPr>
      </xdr:nvPicPr>
      <xdr:blipFill>
        <a:blip r:embed="rId387" cstate="print"/>
        <a:srcRect/>
        <a:stretch>
          <a:fillRect/>
        </a:stretch>
      </xdr:blipFill>
      <xdr:spPr>
        <a:xfrm>
          <a:off x="243840" y="293874825"/>
          <a:ext cx="0" cy="6134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xdr:cNvPicPr>
          <a:picLocks noChangeAspect="1" noChangeArrowheads="1"/>
        </xdr:cNvPicPr>
      </xdr:nvPicPr>
      <xdr:blipFill>
        <a:blip r:embed="rId388" cstate="email"/>
        <a:srcRect/>
        <a:stretch>
          <a:fillRect/>
        </a:stretch>
      </xdr:blipFill>
      <xdr:spPr>
        <a:xfrm>
          <a:off x="243840" y="300156880"/>
          <a:ext cx="0" cy="61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xdr:cNvPicPr>
          <a:picLocks noChangeAspect="1" noChangeArrowheads="1"/>
        </xdr:cNvPicPr>
      </xdr:nvPicPr>
      <xdr:blipFill>
        <a:blip r:embed="rId388" cstate="email"/>
        <a:srcRect/>
        <a:stretch>
          <a:fillRect/>
        </a:stretch>
      </xdr:blipFill>
      <xdr:spPr>
        <a:xfrm>
          <a:off x="243840" y="300855380"/>
          <a:ext cx="0" cy="61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xdr:cNvPicPr>
          <a:picLocks noChangeAspect="1" noChangeArrowheads="1"/>
        </xdr:cNvPicPr>
      </xdr:nvPicPr>
      <xdr:blipFill>
        <a:blip r:embed="rId389" cstate="print"/>
        <a:srcRect/>
        <a:stretch>
          <a:fillRect/>
        </a:stretch>
      </xdr:blipFill>
      <xdr:spPr>
        <a:xfrm>
          <a:off x="243840" y="301562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xdr:cNvPicPr>
          <a:picLocks noChangeAspect="1" noChangeArrowheads="1"/>
        </xdr:cNvPicPr>
      </xdr:nvPicPr>
      <xdr:blipFill>
        <a:blip r:embed="rId390" cstate="email"/>
        <a:srcRect/>
        <a:stretch>
          <a:fillRect/>
        </a:stretch>
      </xdr:blipFill>
      <xdr:spPr>
        <a:xfrm>
          <a:off x="243840" y="30226190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xdr:cNvPicPr>
          <a:picLocks noChangeAspect="1" noChangeArrowheads="1"/>
        </xdr:cNvPicPr>
      </xdr:nvPicPr>
      <xdr:blipFill>
        <a:blip r:embed="rId391" cstate="email"/>
        <a:srcRect/>
        <a:stretch>
          <a:fillRect/>
        </a:stretch>
      </xdr:blipFill>
      <xdr:spPr>
        <a:xfrm>
          <a:off x="243840" y="302955960"/>
          <a:ext cx="0" cy="611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xdr:cNvPicPr>
          <a:picLocks noChangeAspect="1" noChangeArrowheads="1"/>
        </xdr:cNvPicPr>
      </xdr:nvPicPr>
      <xdr:blipFill>
        <a:blip r:embed="rId392" cstate="email"/>
        <a:srcRect/>
        <a:stretch>
          <a:fillRect/>
        </a:stretch>
      </xdr:blipFill>
      <xdr:spPr>
        <a:xfrm>
          <a:off x="243840" y="303645570"/>
          <a:ext cx="0" cy="6076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xdr:cNvPicPr>
          <a:picLocks noChangeAspect="1" noChangeArrowheads="1"/>
        </xdr:cNvPicPr>
      </xdr:nvPicPr>
      <xdr:blipFill>
        <a:blip r:embed="rId393" cstate="print"/>
        <a:srcRect/>
        <a:stretch>
          <a:fillRect/>
        </a:stretch>
      </xdr:blipFill>
      <xdr:spPr>
        <a:xfrm>
          <a:off x="243840" y="304344070"/>
          <a:ext cx="0" cy="541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xdr:cNvPicPr>
          <a:picLocks noChangeAspect="1" noChangeArrowheads="1"/>
        </xdr:cNvPicPr>
      </xdr:nvPicPr>
      <xdr:blipFill>
        <a:blip r:embed="rId394" cstate="print"/>
        <a:srcRect/>
        <a:stretch>
          <a:fillRect/>
        </a:stretch>
      </xdr:blipFill>
      <xdr:spPr>
        <a:xfrm>
          <a:off x="243840" y="305052095"/>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xdr:cNvPicPr>
          <a:picLocks noChangeAspect="1" noChangeArrowheads="1"/>
        </xdr:cNvPicPr>
      </xdr:nvPicPr>
      <xdr:blipFill>
        <a:blip r:embed="rId395" cstate="print"/>
        <a:srcRect/>
        <a:stretch>
          <a:fillRect/>
        </a:stretch>
      </xdr:blipFill>
      <xdr:spPr>
        <a:xfrm>
          <a:off x="243840" y="305746150"/>
          <a:ext cx="0" cy="61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xdr:cNvPicPr>
          <a:picLocks noChangeAspect="1" noChangeArrowheads="1"/>
        </xdr:cNvPicPr>
      </xdr:nvPicPr>
      <xdr:blipFill>
        <a:blip r:embed="rId396" cstate="email"/>
        <a:srcRect/>
        <a:stretch>
          <a:fillRect/>
        </a:stretch>
      </xdr:blipFill>
      <xdr:spPr>
        <a:xfrm>
          <a:off x="243840" y="306479575"/>
          <a:ext cx="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xdr:cNvPicPr>
          <a:picLocks noChangeAspect="1" noChangeArrowheads="1"/>
        </xdr:cNvPicPr>
      </xdr:nvPicPr>
      <xdr:blipFill>
        <a:blip r:embed="rId397" cstate="print"/>
        <a:srcRect/>
        <a:stretch>
          <a:fillRect/>
        </a:stretch>
      </xdr:blipFill>
      <xdr:spPr>
        <a:xfrm>
          <a:off x="243840" y="307152040"/>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xdr:cNvPicPr>
          <a:picLocks noChangeAspect="1" noChangeArrowheads="1"/>
        </xdr:cNvPicPr>
      </xdr:nvPicPr>
      <xdr:blipFill>
        <a:blip r:embed="rId397" cstate="print"/>
        <a:srcRect/>
        <a:stretch>
          <a:fillRect/>
        </a:stretch>
      </xdr:blipFill>
      <xdr:spPr>
        <a:xfrm>
          <a:off x="243840" y="307851175"/>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xdr:cNvPicPr>
          <a:picLocks noChangeAspect="1" noChangeArrowheads="1"/>
        </xdr:cNvPicPr>
      </xdr:nvPicPr>
      <xdr:blipFill>
        <a:blip r:embed="rId398" cstate="print"/>
        <a:srcRect/>
        <a:stretch>
          <a:fillRect/>
        </a:stretch>
      </xdr:blipFill>
      <xdr:spPr>
        <a:xfrm>
          <a:off x="243840" y="308535705"/>
          <a:ext cx="0" cy="62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xdr:cNvPicPr>
          <a:picLocks noChangeAspect="1" noChangeArrowheads="1"/>
        </xdr:cNvPicPr>
      </xdr:nvPicPr>
      <xdr:blipFill>
        <a:blip r:embed="rId399" cstate="email"/>
        <a:srcRect/>
        <a:stretch>
          <a:fillRect/>
        </a:stretch>
      </xdr:blipFill>
      <xdr:spPr>
        <a:xfrm>
          <a:off x="243840" y="309246270"/>
          <a:ext cx="0" cy="6153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xdr:cNvPicPr>
          <a:picLocks noChangeAspect="1" noChangeArrowheads="1"/>
        </xdr:cNvPicPr>
      </xdr:nvPicPr>
      <xdr:blipFill>
        <a:blip r:embed="rId399" cstate="email"/>
        <a:srcRect/>
        <a:stretch>
          <a:fillRect/>
        </a:stretch>
      </xdr:blipFill>
      <xdr:spPr>
        <a:xfrm>
          <a:off x="243840" y="309945405"/>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xdr:cNvPicPr>
          <a:picLocks noChangeAspect="1" noChangeArrowheads="1"/>
        </xdr:cNvPicPr>
      </xdr:nvPicPr>
      <xdr:blipFill>
        <a:blip r:embed="rId400" cstate="print"/>
        <a:srcRect/>
        <a:stretch>
          <a:fillRect/>
        </a:stretch>
      </xdr:blipFill>
      <xdr:spPr>
        <a:xfrm>
          <a:off x="243840" y="310659145"/>
          <a:ext cx="0" cy="617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xdr:cNvPicPr>
          <a:picLocks noChangeAspect="1" noChangeArrowheads="1"/>
        </xdr:cNvPicPr>
      </xdr:nvPicPr>
      <xdr:blipFill>
        <a:blip r:embed="rId401" cstate="email"/>
        <a:srcRect/>
        <a:stretch>
          <a:fillRect/>
        </a:stretch>
      </xdr:blipFill>
      <xdr:spPr>
        <a:xfrm>
          <a:off x="243840" y="311369075"/>
          <a:ext cx="0" cy="59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xdr:cNvPicPr>
          <a:picLocks noChangeAspect="1" noChangeArrowheads="1"/>
        </xdr:cNvPicPr>
      </xdr:nvPicPr>
      <xdr:blipFill>
        <a:blip r:embed="rId402" cstate="email"/>
        <a:srcRect/>
        <a:stretch>
          <a:fillRect/>
        </a:stretch>
      </xdr:blipFill>
      <xdr:spPr>
        <a:xfrm>
          <a:off x="243840" y="312042175"/>
          <a:ext cx="0" cy="602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xdr:cNvPicPr>
          <a:picLocks noChangeAspect="1" noChangeArrowheads="1"/>
        </xdr:cNvPicPr>
      </xdr:nvPicPr>
      <xdr:blipFill>
        <a:blip r:embed="rId403" cstate="email"/>
        <a:srcRect/>
        <a:stretch>
          <a:fillRect/>
        </a:stretch>
      </xdr:blipFill>
      <xdr:spPr>
        <a:xfrm>
          <a:off x="243840" y="31271781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xdr:cNvPicPr>
          <a:picLocks noChangeAspect="1" noChangeArrowheads="1"/>
        </xdr:cNvPicPr>
      </xdr:nvPicPr>
      <xdr:blipFill>
        <a:blip r:embed="rId404" cstate="email"/>
        <a:srcRect/>
        <a:stretch>
          <a:fillRect/>
        </a:stretch>
      </xdr:blipFill>
      <xdr:spPr>
        <a:xfrm>
          <a:off x="243840" y="313417585"/>
          <a:ext cx="0" cy="543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xdr:cNvPicPr>
          <a:picLocks noChangeAspect="1" noChangeArrowheads="1"/>
        </xdr:cNvPicPr>
      </xdr:nvPicPr>
      <xdr:blipFill>
        <a:blip r:embed="rId405" cstate="email"/>
        <a:srcRect/>
        <a:stretch>
          <a:fillRect/>
        </a:stretch>
      </xdr:blipFill>
      <xdr:spPr>
        <a:xfrm>
          <a:off x="243840" y="314130690"/>
          <a:ext cx="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xdr:cNvPicPr>
          <a:picLocks noChangeAspect="1" noChangeArrowheads="1"/>
        </xdr:cNvPicPr>
      </xdr:nvPicPr>
      <xdr:blipFill>
        <a:blip r:embed="rId406" cstate="email"/>
        <a:srcRect/>
        <a:stretch>
          <a:fillRect/>
        </a:stretch>
      </xdr:blipFill>
      <xdr:spPr>
        <a:xfrm>
          <a:off x="243840" y="314837445"/>
          <a:ext cx="0" cy="60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xdr:cNvPicPr>
          <a:picLocks noChangeAspect="1" noChangeArrowheads="1"/>
        </xdr:cNvPicPr>
      </xdr:nvPicPr>
      <xdr:blipFill>
        <a:blip r:embed="rId407" cstate="email"/>
        <a:srcRect/>
        <a:stretch>
          <a:fillRect/>
        </a:stretch>
      </xdr:blipFill>
      <xdr:spPr>
        <a:xfrm>
          <a:off x="243840" y="369305840"/>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xdr:cNvPicPr>
          <a:picLocks noChangeAspect="1" noChangeArrowheads="1"/>
        </xdr:cNvPicPr>
      </xdr:nvPicPr>
      <xdr:blipFill>
        <a:blip r:embed="rId408" cstate="email"/>
        <a:srcRect/>
        <a:stretch>
          <a:fillRect/>
        </a:stretch>
      </xdr:blipFill>
      <xdr:spPr>
        <a:xfrm>
          <a:off x="243840" y="31552070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xdr:cNvPicPr>
          <a:picLocks noChangeAspect="1" noChangeArrowheads="1"/>
        </xdr:cNvPicPr>
      </xdr:nvPicPr>
      <xdr:blipFill>
        <a:blip r:embed="rId408" cstate="email"/>
        <a:srcRect/>
        <a:stretch>
          <a:fillRect/>
        </a:stretch>
      </xdr:blipFill>
      <xdr:spPr>
        <a:xfrm>
          <a:off x="243840" y="316219840"/>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xdr:cNvPicPr>
          <a:picLocks noChangeAspect="1" noChangeArrowheads="1"/>
        </xdr:cNvPicPr>
      </xdr:nvPicPr>
      <xdr:blipFill>
        <a:blip r:embed="rId409" cstate="email"/>
        <a:srcRect/>
        <a:stretch>
          <a:fillRect/>
        </a:stretch>
      </xdr:blipFill>
      <xdr:spPr>
        <a:xfrm>
          <a:off x="243840" y="316945010"/>
          <a:ext cx="0" cy="597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xdr:cNvPicPr>
          <a:picLocks noChangeAspect="1" noChangeArrowheads="1"/>
        </xdr:cNvPicPr>
      </xdr:nvPicPr>
      <xdr:blipFill>
        <a:blip r:embed="rId410" cstate="email"/>
        <a:srcRect/>
        <a:stretch>
          <a:fillRect/>
        </a:stretch>
      </xdr:blipFill>
      <xdr:spPr>
        <a:xfrm>
          <a:off x="243840" y="317630810"/>
          <a:ext cx="0" cy="605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xdr:cNvPicPr>
          <a:picLocks noChangeAspect="1" noChangeArrowheads="1"/>
        </xdr:cNvPicPr>
      </xdr:nvPicPr>
      <xdr:blipFill>
        <a:blip r:embed="rId410" cstate="email"/>
        <a:srcRect/>
        <a:stretch>
          <a:fillRect/>
        </a:stretch>
      </xdr:blipFill>
      <xdr:spPr>
        <a:xfrm>
          <a:off x="243840" y="318329310"/>
          <a:ext cx="0" cy="60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xdr:cNvPicPr>
          <a:picLocks noChangeAspect="1" noChangeArrowheads="1"/>
        </xdr:cNvPicPr>
      </xdr:nvPicPr>
      <xdr:blipFill>
        <a:blip r:embed="rId411" cstate="email"/>
        <a:srcRect/>
        <a:stretch>
          <a:fillRect/>
        </a:stretch>
      </xdr:blipFill>
      <xdr:spPr>
        <a:xfrm>
          <a:off x="243840" y="31971170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xdr:cNvPicPr>
          <a:picLocks noChangeAspect="1" noChangeArrowheads="1"/>
        </xdr:cNvPicPr>
      </xdr:nvPicPr>
      <xdr:blipFill>
        <a:blip r:embed="rId412" cstate="print"/>
        <a:srcRect/>
        <a:stretch>
          <a:fillRect/>
        </a:stretch>
      </xdr:blipFill>
      <xdr:spPr>
        <a:xfrm>
          <a:off x="243840" y="319040510"/>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xdr:cNvPicPr>
          <a:picLocks noChangeAspect="1" noChangeArrowheads="1"/>
        </xdr:cNvPicPr>
      </xdr:nvPicPr>
      <xdr:blipFill>
        <a:blip r:embed="rId413" cstate="email"/>
        <a:srcRect/>
        <a:stretch>
          <a:fillRect/>
        </a:stretch>
      </xdr:blipFill>
      <xdr:spPr>
        <a:xfrm>
          <a:off x="243840" y="320451480"/>
          <a:ext cx="0" cy="57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xdr:cNvPicPr>
          <a:picLocks noChangeAspect="1" noChangeArrowheads="1"/>
        </xdr:cNvPicPr>
      </xdr:nvPicPr>
      <xdr:blipFill>
        <a:blip r:embed="rId414" cstate="email"/>
        <a:srcRect/>
        <a:stretch>
          <a:fillRect/>
        </a:stretch>
      </xdr:blipFill>
      <xdr:spPr>
        <a:xfrm>
          <a:off x="243840" y="32110934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xdr:cNvPicPr>
          <a:picLocks noChangeAspect="1" noChangeArrowheads="1"/>
        </xdr:cNvPicPr>
      </xdr:nvPicPr>
      <xdr:blipFill>
        <a:blip r:embed="rId415" cstate="print"/>
        <a:srcRect/>
        <a:stretch>
          <a:fillRect/>
        </a:stretch>
      </xdr:blipFill>
      <xdr:spPr>
        <a:xfrm>
          <a:off x="243840" y="321821810"/>
          <a:ext cx="0" cy="6013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xdr:cNvPicPr>
          <a:picLocks noChangeAspect="1" noChangeArrowheads="1"/>
        </xdr:cNvPicPr>
      </xdr:nvPicPr>
      <xdr:blipFill>
        <a:blip r:embed="rId416" cstate="email"/>
        <a:srcRect/>
        <a:stretch>
          <a:fillRect/>
        </a:stretch>
      </xdr:blipFill>
      <xdr:spPr>
        <a:xfrm>
          <a:off x="243840" y="322520945"/>
          <a:ext cx="0" cy="602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xdr:cNvPicPr>
          <a:picLocks noChangeAspect="1" noChangeArrowheads="1"/>
        </xdr:cNvPicPr>
      </xdr:nvPicPr>
      <xdr:blipFill>
        <a:blip r:embed="rId417" cstate="email"/>
        <a:srcRect/>
        <a:stretch>
          <a:fillRect/>
        </a:stretch>
      </xdr:blipFill>
      <xdr:spPr>
        <a:xfrm>
          <a:off x="243840" y="323220080"/>
          <a:ext cx="0" cy="608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xdr:cNvPicPr>
          <a:picLocks noChangeAspect="1" noChangeArrowheads="1"/>
        </xdr:cNvPicPr>
      </xdr:nvPicPr>
      <xdr:blipFill>
        <a:blip r:embed="rId418" cstate="email"/>
        <a:srcRect/>
        <a:stretch>
          <a:fillRect/>
        </a:stretch>
      </xdr:blipFill>
      <xdr:spPr>
        <a:xfrm>
          <a:off x="243840" y="323919215"/>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xdr:cNvPicPr>
          <a:picLocks noChangeAspect="1" noChangeArrowheads="1"/>
        </xdr:cNvPicPr>
      </xdr:nvPicPr>
      <xdr:blipFill>
        <a:blip r:embed="rId418" cstate="email"/>
        <a:srcRect/>
        <a:stretch>
          <a:fillRect/>
        </a:stretch>
      </xdr:blipFill>
      <xdr:spPr>
        <a:xfrm>
          <a:off x="243840" y="324618350"/>
          <a:ext cx="0" cy="603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xdr:cNvPicPr>
          <a:picLocks noChangeAspect="1" noChangeArrowheads="1"/>
        </xdr:cNvPicPr>
      </xdr:nvPicPr>
      <xdr:blipFill>
        <a:blip r:embed="rId419" cstate="email"/>
        <a:srcRect/>
        <a:stretch>
          <a:fillRect/>
        </a:stretch>
      </xdr:blipFill>
      <xdr:spPr>
        <a:xfrm>
          <a:off x="243840" y="325319390"/>
          <a:ext cx="0" cy="605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xdr:cNvPicPr>
          <a:picLocks noChangeAspect="1" noChangeArrowheads="1"/>
        </xdr:cNvPicPr>
      </xdr:nvPicPr>
      <xdr:blipFill>
        <a:blip r:embed="rId420" cstate="email"/>
        <a:srcRect/>
        <a:stretch>
          <a:fillRect/>
        </a:stretch>
      </xdr:blipFill>
      <xdr:spPr>
        <a:xfrm>
          <a:off x="243840" y="326003285"/>
          <a:ext cx="0" cy="611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xdr:cNvPicPr>
          <a:picLocks noChangeAspect="1" noChangeArrowheads="1"/>
        </xdr:cNvPicPr>
      </xdr:nvPicPr>
      <xdr:blipFill>
        <a:blip r:embed="rId421" cstate="email"/>
        <a:srcRect/>
        <a:stretch>
          <a:fillRect/>
        </a:stretch>
      </xdr:blipFill>
      <xdr:spPr>
        <a:xfrm>
          <a:off x="243840" y="326712580"/>
          <a:ext cx="0" cy="603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xdr:cNvPicPr>
          <a:picLocks noChangeAspect="1" noChangeArrowheads="1"/>
        </xdr:cNvPicPr>
      </xdr:nvPicPr>
      <xdr:blipFill>
        <a:blip r:embed="rId422" cstate="print"/>
        <a:srcRect/>
        <a:stretch>
          <a:fillRect/>
        </a:stretch>
      </xdr:blipFill>
      <xdr:spPr>
        <a:xfrm>
          <a:off x="243840" y="327431400"/>
          <a:ext cx="0" cy="5886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xdr:cNvPicPr>
          <a:picLocks noChangeAspect="1" noChangeArrowheads="1"/>
        </xdr:cNvPicPr>
      </xdr:nvPicPr>
      <xdr:blipFill>
        <a:blip r:embed="rId423" cstate="email"/>
        <a:srcRect/>
        <a:stretch>
          <a:fillRect/>
        </a:stretch>
      </xdr:blipFill>
      <xdr:spPr>
        <a:xfrm>
          <a:off x="243840" y="328111485"/>
          <a:ext cx="0" cy="599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xdr:cNvPicPr>
          <a:picLocks noChangeAspect="1" noChangeArrowheads="1"/>
        </xdr:cNvPicPr>
      </xdr:nvPicPr>
      <xdr:blipFill>
        <a:blip r:embed="rId424" cstate="email"/>
        <a:srcRect/>
        <a:stretch>
          <a:fillRect/>
        </a:stretch>
      </xdr:blipFill>
      <xdr:spPr>
        <a:xfrm>
          <a:off x="243840" y="328832845"/>
          <a:ext cx="0" cy="576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xdr:cNvPicPr>
          <a:picLocks noChangeAspect="1" noChangeArrowheads="1"/>
        </xdr:cNvPicPr>
      </xdr:nvPicPr>
      <xdr:blipFill>
        <a:blip r:embed="rId425" cstate="email"/>
        <a:srcRect/>
        <a:stretch>
          <a:fillRect/>
        </a:stretch>
      </xdr:blipFill>
      <xdr:spPr>
        <a:xfrm>
          <a:off x="243840" y="3294894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xdr:cNvPicPr>
          <a:picLocks noChangeAspect="1" noChangeArrowheads="1"/>
        </xdr:cNvPicPr>
      </xdr:nvPicPr>
      <xdr:blipFill>
        <a:blip r:embed="rId426" cstate="email"/>
        <a:srcRect/>
        <a:stretch>
          <a:fillRect/>
        </a:stretch>
      </xdr:blipFill>
      <xdr:spPr>
        <a:xfrm>
          <a:off x="243840" y="33020063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xdr:cNvPicPr>
          <a:picLocks noChangeAspect="1" noChangeArrowheads="1"/>
        </xdr:cNvPicPr>
      </xdr:nvPicPr>
      <xdr:blipFill>
        <a:blip r:embed="rId427" cstate="print"/>
        <a:srcRect/>
        <a:stretch>
          <a:fillRect/>
        </a:stretch>
      </xdr:blipFill>
      <xdr:spPr>
        <a:xfrm>
          <a:off x="243840" y="330886435"/>
          <a:ext cx="0" cy="621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xdr:cNvPicPr>
          <a:picLocks noChangeAspect="1" noChangeArrowheads="1"/>
        </xdr:cNvPicPr>
      </xdr:nvPicPr>
      <xdr:blipFill>
        <a:blip r:embed="rId428" cstate="email"/>
        <a:srcRect/>
        <a:stretch>
          <a:fillRect/>
        </a:stretch>
      </xdr:blipFill>
      <xdr:spPr>
        <a:xfrm>
          <a:off x="243840" y="333691230"/>
          <a:ext cx="0" cy="61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xdr:cNvPicPr>
          <a:picLocks noChangeAspect="1" noChangeArrowheads="1"/>
        </xdr:cNvPicPr>
      </xdr:nvPicPr>
      <xdr:blipFill>
        <a:blip r:embed="rId429" cstate="print"/>
        <a:srcRect/>
        <a:stretch>
          <a:fillRect/>
        </a:stretch>
      </xdr:blipFill>
      <xdr:spPr>
        <a:xfrm>
          <a:off x="243840" y="33159763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xdr:cNvPicPr>
          <a:picLocks noChangeAspect="1" noChangeArrowheads="1"/>
        </xdr:cNvPicPr>
      </xdr:nvPicPr>
      <xdr:blipFill>
        <a:blip r:embed="rId430" cstate="print"/>
        <a:srcRect/>
        <a:stretch>
          <a:fillRect/>
        </a:stretch>
      </xdr:blipFill>
      <xdr:spPr>
        <a:xfrm>
          <a:off x="243840" y="332283435"/>
          <a:ext cx="0" cy="625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xdr:cNvPicPr>
          <a:picLocks noChangeAspect="1" noChangeArrowheads="1"/>
        </xdr:cNvPicPr>
      </xdr:nvPicPr>
      <xdr:blipFill>
        <a:blip r:embed="rId430" cstate="print"/>
        <a:srcRect/>
        <a:stretch>
          <a:fillRect/>
        </a:stretch>
      </xdr:blipFill>
      <xdr:spPr>
        <a:xfrm>
          <a:off x="243840" y="332981935"/>
          <a:ext cx="0" cy="625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xdr:cNvPicPr>
          <a:picLocks noChangeAspect="1" noChangeArrowheads="1"/>
        </xdr:cNvPicPr>
      </xdr:nvPicPr>
      <xdr:blipFill>
        <a:blip r:embed="rId431" cstate="email"/>
        <a:srcRect/>
        <a:stretch>
          <a:fillRect/>
        </a:stretch>
      </xdr:blipFill>
      <xdr:spPr>
        <a:xfrm>
          <a:off x="243840" y="334403065"/>
          <a:ext cx="0" cy="598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xdr:cNvPicPr>
          <a:picLocks noChangeAspect="1" noChangeArrowheads="1"/>
        </xdr:cNvPicPr>
      </xdr:nvPicPr>
      <xdr:blipFill>
        <a:blip r:embed="rId432" cstate="print"/>
        <a:srcRect/>
        <a:stretch>
          <a:fillRect/>
        </a:stretch>
      </xdr:blipFill>
      <xdr:spPr>
        <a:xfrm>
          <a:off x="243840" y="335088865"/>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xdr:cNvPicPr>
          <a:picLocks noChangeAspect="1" noChangeArrowheads="1"/>
        </xdr:cNvPicPr>
      </xdr:nvPicPr>
      <xdr:blipFill>
        <a:blip r:embed="rId432" cstate="print"/>
        <a:srcRect/>
        <a:stretch>
          <a:fillRect/>
        </a:stretch>
      </xdr:blipFill>
      <xdr:spPr>
        <a:xfrm>
          <a:off x="243840" y="335787365"/>
          <a:ext cx="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xdr:cNvPicPr>
          <a:picLocks noChangeAspect="1" noChangeArrowheads="1"/>
        </xdr:cNvPicPr>
      </xdr:nvPicPr>
      <xdr:blipFill>
        <a:blip r:embed="rId433" cstate="email"/>
        <a:srcRect/>
        <a:stretch>
          <a:fillRect/>
        </a:stretch>
      </xdr:blipFill>
      <xdr:spPr>
        <a:xfrm>
          <a:off x="243840" y="336474435"/>
          <a:ext cx="0" cy="623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xdr:cNvPicPr>
          <a:picLocks noChangeAspect="1" noChangeArrowheads="1"/>
        </xdr:cNvPicPr>
      </xdr:nvPicPr>
      <xdr:blipFill>
        <a:blip r:embed="rId434" cstate="email"/>
        <a:srcRect/>
        <a:stretch>
          <a:fillRect/>
        </a:stretch>
      </xdr:blipFill>
      <xdr:spPr>
        <a:xfrm>
          <a:off x="243840" y="337185635"/>
          <a:ext cx="0" cy="612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xdr:cNvPicPr>
          <a:picLocks noChangeAspect="1" noChangeArrowheads="1"/>
        </xdr:cNvPicPr>
      </xdr:nvPicPr>
      <xdr:blipFill>
        <a:blip r:embed="rId435" cstate="print"/>
        <a:srcRect/>
        <a:stretch>
          <a:fillRect/>
        </a:stretch>
      </xdr:blipFill>
      <xdr:spPr>
        <a:xfrm>
          <a:off x="243840" y="337884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xdr:cNvPicPr>
          <a:picLocks noChangeAspect="1" noChangeArrowheads="1"/>
        </xdr:cNvPicPr>
      </xdr:nvPicPr>
      <xdr:blipFill>
        <a:blip r:embed="rId436" cstate="print"/>
        <a:srcRect/>
        <a:stretch>
          <a:fillRect/>
        </a:stretch>
      </xdr:blipFill>
      <xdr:spPr>
        <a:xfrm>
          <a:off x="243840" y="3385953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xdr:cNvPicPr>
          <a:picLocks noChangeAspect="1" noChangeArrowheads="1"/>
        </xdr:cNvPicPr>
      </xdr:nvPicPr>
      <xdr:blipFill>
        <a:blip r:embed="rId437" cstate="print"/>
        <a:srcRect/>
        <a:stretch>
          <a:fillRect/>
        </a:stretch>
      </xdr:blipFill>
      <xdr:spPr>
        <a:xfrm>
          <a:off x="243840" y="339281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xdr:cNvPicPr>
          <a:picLocks noChangeAspect="1" noChangeArrowheads="1"/>
        </xdr:cNvPicPr>
      </xdr:nvPicPr>
      <xdr:blipFill>
        <a:blip r:embed="rId438" cstate="print"/>
        <a:srcRect/>
        <a:stretch>
          <a:fillRect/>
        </a:stretch>
      </xdr:blipFill>
      <xdr:spPr>
        <a:xfrm>
          <a:off x="243840" y="3399923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xdr:cNvPicPr>
          <a:picLocks noChangeAspect="1" noChangeArrowheads="1"/>
        </xdr:cNvPicPr>
      </xdr:nvPicPr>
      <xdr:blipFill>
        <a:blip r:embed="rId439" cstate="email"/>
        <a:srcRect/>
        <a:stretch>
          <a:fillRect/>
        </a:stretch>
      </xdr:blipFill>
      <xdr:spPr>
        <a:xfrm>
          <a:off x="243840" y="3406654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xdr:cNvPicPr>
          <a:picLocks noChangeAspect="1" noChangeArrowheads="1"/>
        </xdr:cNvPicPr>
      </xdr:nvPicPr>
      <xdr:blipFill>
        <a:blip r:embed="rId440" cstate="email"/>
        <a:srcRect/>
        <a:stretch>
          <a:fillRect/>
        </a:stretch>
      </xdr:blipFill>
      <xdr:spPr>
        <a:xfrm>
          <a:off x="243840" y="341389335"/>
          <a:ext cx="0" cy="59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xdr:cNvPicPr>
          <a:picLocks noChangeAspect="1" noChangeArrowheads="1"/>
        </xdr:cNvPicPr>
      </xdr:nvPicPr>
      <xdr:blipFill>
        <a:blip r:embed="rId441" cstate="email"/>
        <a:srcRect/>
        <a:stretch>
          <a:fillRect/>
        </a:stretch>
      </xdr:blipFill>
      <xdr:spPr>
        <a:xfrm>
          <a:off x="243840" y="342075135"/>
          <a:ext cx="0" cy="610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xdr:cNvPicPr>
          <a:picLocks noChangeAspect="1" noChangeArrowheads="1"/>
        </xdr:cNvPicPr>
      </xdr:nvPicPr>
      <xdr:blipFill>
        <a:blip r:embed="rId440" cstate="email"/>
        <a:srcRect/>
        <a:stretch>
          <a:fillRect/>
        </a:stretch>
      </xdr:blipFill>
      <xdr:spPr>
        <a:xfrm>
          <a:off x="243840" y="342786335"/>
          <a:ext cx="0" cy="598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xdr:cNvPicPr>
          <a:picLocks noChangeAspect="1" noChangeArrowheads="1"/>
        </xdr:cNvPicPr>
      </xdr:nvPicPr>
      <xdr:blipFill>
        <a:blip r:embed="rId442" cstate="print"/>
        <a:srcRect/>
        <a:stretch>
          <a:fillRect/>
        </a:stretch>
      </xdr:blipFill>
      <xdr:spPr>
        <a:xfrm>
          <a:off x="243840" y="343472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xdr:cNvPicPr>
          <a:picLocks noChangeAspect="1" noChangeArrowheads="1"/>
        </xdr:cNvPicPr>
      </xdr:nvPicPr>
      <xdr:blipFill>
        <a:blip r:embed="rId443" cstate="email"/>
        <a:srcRect/>
        <a:stretch>
          <a:fillRect/>
        </a:stretch>
      </xdr:blipFill>
      <xdr:spPr>
        <a:xfrm>
          <a:off x="243840" y="344869135"/>
          <a:ext cx="0" cy="614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xdr:cNvPicPr>
          <a:picLocks noChangeAspect="1" noChangeArrowheads="1"/>
        </xdr:cNvPicPr>
      </xdr:nvPicPr>
      <xdr:blipFill>
        <a:blip r:embed="rId444" cstate="email"/>
        <a:srcRect/>
        <a:stretch>
          <a:fillRect/>
        </a:stretch>
      </xdr:blipFill>
      <xdr:spPr>
        <a:xfrm>
          <a:off x="243840" y="344157935"/>
          <a:ext cx="0"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xdr:cNvPicPr>
          <a:picLocks noChangeAspect="1" noChangeArrowheads="1"/>
        </xdr:cNvPicPr>
      </xdr:nvPicPr>
      <xdr:blipFill>
        <a:blip r:embed="rId445" cstate="email"/>
        <a:srcRect/>
        <a:stretch>
          <a:fillRect/>
        </a:stretch>
      </xdr:blipFill>
      <xdr:spPr>
        <a:xfrm>
          <a:off x="243840" y="3455676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xdr:cNvPicPr>
          <a:picLocks noChangeAspect="1" noChangeArrowheads="1"/>
        </xdr:cNvPicPr>
      </xdr:nvPicPr>
      <xdr:blipFill>
        <a:blip r:embed="rId445" cstate="email"/>
        <a:srcRect/>
        <a:stretch>
          <a:fillRect/>
        </a:stretch>
      </xdr:blipFill>
      <xdr:spPr>
        <a:xfrm>
          <a:off x="243840" y="3462661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xdr:cNvPicPr>
          <a:picLocks noChangeAspect="1" noChangeArrowheads="1"/>
        </xdr:cNvPicPr>
      </xdr:nvPicPr>
      <xdr:blipFill>
        <a:blip r:embed="rId445" cstate="email"/>
        <a:srcRect/>
        <a:stretch>
          <a:fillRect/>
        </a:stretch>
      </xdr:blipFill>
      <xdr:spPr>
        <a:xfrm>
          <a:off x="243840" y="346964635"/>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xdr:cNvPicPr>
          <a:picLocks noChangeAspect="1" noChangeArrowheads="1"/>
        </xdr:cNvPicPr>
      </xdr:nvPicPr>
      <xdr:blipFill>
        <a:blip r:embed="rId446" cstate="print"/>
        <a:srcRect/>
        <a:stretch>
          <a:fillRect/>
        </a:stretch>
      </xdr:blipFill>
      <xdr:spPr>
        <a:xfrm>
          <a:off x="243840" y="347675835"/>
          <a:ext cx="0"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xdr:cNvPicPr>
          <a:picLocks noChangeAspect="1" noChangeArrowheads="1"/>
        </xdr:cNvPicPr>
      </xdr:nvPicPr>
      <xdr:blipFill>
        <a:blip r:embed="rId447" cstate="email"/>
        <a:srcRect/>
        <a:stretch>
          <a:fillRect/>
        </a:stretch>
      </xdr:blipFill>
      <xdr:spPr>
        <a:xfrm>
          <a:off x="243840" y="348366080"/>
          <a:ext cx="0" cy="608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xdr:cNvPicPr>
          <a:picLocks noChangeAspect="1"/>
        </xdr:cNvPicPr>
      </xdr:nvPicPr>
      <xdr:blipFill>
        <a:blip r:embed="rId448" cstate="email"/>
        <a:stretch>
          <a:fillRect/>
        </a:stretch>
      </xdr:blipFill>
      <xdr:spPr>
        <a:xfrm>
          <a:off x="243840" y="349055055"/>
          <a:ext cx="0" cy="608965"/>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xdr:cNvPicPr>
          <a:picLocks noChangeAspect="1"/>
        </xdr:cNvPicPr>
      </xdr:nvPicPr>
      <xdr:blipFill>
        <a:blip r:embed="rId449" cstate="email"/>
        <a:stretch>
          <a:fillRect/>
        </a:stretch>
      </xdr:blipFill>
      <xdr:spPr>
        <a:xfrm>
          <a:off x="243840" y="349745300"/>
          <a:ext cx="0" cy="620395"/>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xdr:cNvPicPr>
          <a:picLocks noChangeAspect="1"/>
        </xdr:cNvPicPr>
      </xdr:nvPicPr>
      <xdr:blipFill>
        <a:blip r:embed="rId450" cstate="email"/>
        <a:stretch>
          <a:fillRect/>
        </a:stretch>
      </xdr:blipFill>
      <xdr:spPr>
        <a:xfrm>
          <a:off x="243840" y="350457135"/>
          <a:ext cx="0" cy="612140"/>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xdr:cNvPicPr>
          <a:picLocks noChangeAspect="1"/>
        </xdr:cNvPicPr>
      </xdr:nvPicPr>
      <xdr:blipFill>
        <a:blip r:embed="rId450" cstate="email"/>
        <a:stretch>
          <a:fillRect/>
        </a:stretch>
      </xdr:blipFill>
      <xdr:spPr>
        <a:xfrm>
          <a:off x="243840" y="351155635"/>
          <a:ext cx="0" cy="612140"/>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xdr:cNvPicPr>
          <a:picLocks noChangeAspect="1"/>
        </xdr:cNvPicPr>
      </xdr:nvPicPr>
      <xdr:blipFill>
        <a:blip r:embed="rId451" cstate="email"/>
        <a:stretch>
          <a:fillRect/>
        </a:stretch>
      </xdr:blipFill>
      <xdr:spPr>
        <a:xfrm>
          <a:off x="243840" y="351841435"/>
          <a:ext cx="0" cy="610235"/>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xdr:cNvPicPr>
          <a:picLocks noChangeAspect="1"/>
        </xdr:cNvPicPr>
      </xdr:nvPicPr>
      <xdr:blipFill>
        <a:blip r:embed="rId452" cstate="email"/>
        <a:stretch>
          <a:fillRect/>
        </a:stretch>
      </xdr:blipFill>
      <xdr:spPr>
        <a:xfrm>
          <a:off x="243840" y="353251135"/>
          <a:ext cx="0" cy="598805"/>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xdr:cNvPicPr>
          <a:picLocks noChangeAspect="1"/>
        </xdr:cNvPicPr>
      </xdr:nvPicPr>
      <xdr:blipFill>
        <a:blip r:embed="rId453" cstate="email"/>
        <a:stretch>
          <a:fillRect/>
        </a:stretch>
      </xdr:blipFill>
      <xdr:spPr>
        <a:xfrm>
          <a:off x="243840" y="352539935"/>
          <a:ext cx="0" cy="625475"/>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xdr:cNvPicPr>
          <a:picLocks noChangeAspect="1"/>
        </xdr:cNvPicPr>
      </xdr:nvPicPr>
      <xdr:blipFill>
        <a:blip r:embed="rId454" cstate="email"/>
        <a:stretch>
          <a:fillRect/>
        </a:stretch>
      </xdr:blipFill>
      <xdr:spPr>
        <a:xfrm>
          <a:off x="243840" y="353962335"/>
          <a:ext cx="0" cy="5937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xdr:cNvPicPr>
          <a:picLocks noChangeAspect="1"/>
        </xdr:cNvPicPr>
      </xdr:nvPicPr>
      <xdr:blipFill>
        <a:blip r:embed="rId454" cstate="email"/>
        <a:stretch>
          <a:fillRect/>
        </a:stretch>
      </xdr:blipFill>
      <xdr:spPr>
        <a:xfrm>
          <a:off x="243840" y="354660835"/>
          <a:ext cx="0" cy="5937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xdr:cNvPicPr>
          <a:picLocks noChangeAspect="1"/>
        </xdr:cNvPicPr>
      </xdr:nvPicPr>
      <xdr:blipFill>
        <a:blip r:embed="rId455" cstate="email"/>
        <a:stretch>
          <a:fillRect/>
        </a:stretch>
      </xdr:blipFill>
      <xdr:spPr>
        <a:xfrm>
          <a:off x="243840" y="355346635"/>
          <a:ext cx="0" cy="6064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xdr:cNvPicPr>
          <a:picLocks noChangeAspect="1"/>
        </xdr:cNvPicPr>
      </xdr:nvPicPr>
      <xdr:blipFill>
        <a:blip r:embed="rId455" cstate="email"/>
        <a:stretch>
          <a:fillRect/>
        </a:stretch>
      </xdr:blipFill>
      <xdr:spPr>
        <a:xfrm>
          <a:off x="243840" y="356045135"/>
          <a:ext cx="0" cy="60642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xdr:cNvPicPr>
          <a:picLocks noChangeAspect="1"/>
        </xdr:cNvPicPr>
      </xdr:nvPicPr>
      <xdr:blipFill>
        <a:blip r:embed="rId456" cstate="email"/>
        <a:stretch>
          <a:fillRect/>
        </a:stretch>
      </xdr:blipFill>
      <xdr:spPr>
        <a:xfrm>
          <a:off x="243840" y="356723950"/>
          <a:ext cx="0" cy="617220"/>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xdr:cNvPicPr>
          <a:picLocks noChangeAspect="1"/>
        </xdr:cNvPicPr>
      </xdr:nvPicPr>
      <xdr:blipFill>
        <a:blip r:embed="rId457" cstate="email"/>
        <a:stretch>
          <a:fillRect/>
        </a:stretch>
      </xdr:blipFill>
      <xdr:spPr>
        <a:xfrm>
          <a:off x="243840" y="357348790"/>
          <a:ext cx="0" cy="606425"/>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xdr:cNvPicPr>
          <a:picLocks noChangeAspect="1"/>
        </xdr:cNvPicPr>
      </xdr:nvPicPr>
      <xdr:blipFill>
        <a:blip r:embed="rId457" cstate="email"/>
        <a:stretch>
          <a:fillRect/>
        </a:stretch>
      </xdr:blipFill>
      <xdr:spPr>
        <a:xfrm>
          <a:off x="243840" y="358047290"/>
          <a:ext cx="0" cy="606425"/>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xdr:cNvPicPr>
          <a:picLocks noChangeAspect="1"/>
        </xdr:cNvPicPr>
      </xdr:nvPicPr>
      <xdr:blipFill>
        <a:blip r:embed="rId458" cstate="email"/>
        <a:stretch>
          <a:fillRect/>
        </a:stretch>
      </xdr:blipFill>
      <xdr:spPr>
        <a:xfrm>
          <a:off x="243840" y="358836595"/>
          <a:ext cx="0" cy="527685"/>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xdr:cNvPicPr>
          <a:picLocks noChangeAspect="1" noChangeArrowheads="1"/>
        </xdr:cNvPicPr>
      </xdr:nvPicPr>
      <xdr:blipFill>
        <a:blip r:embed="rId459" cstate="email"/>
        <a:srcRect/>
        <a:stretch>
          <a:fillRect/>
        </a:stretch>
      </xdr:blipFill>
      <xdr:spPr>
        <a:xfrm>
          <a:off x="243840" y="367233200"/>
          <a:ext cx="0" cy="594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xdr:cNvPicPr>
          <a:picLocks noChangeAspect="1" noChangeArrowheads="1"/>
        </xdr:cNvPicPr>
      </xdr:nvPicPr>
      <xdr:blipFill>
        <a:blip r:embed="rId460" cstate="email"/>
        <a:srcRect/>
        <a:stretch>
          <a:fillRect/>
        </a:stretch>
      </xdr:blipFill>
      <xdr:spPr>
        <a:xfrm>
          <a:off x="243840" y="365829215"/>
          <a:ext cx="0" cy="591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xdr:cNvPicPr>
          <a:picLocks noChangeAspect="1"/>
        </xdr:cNvPicPr>
      </xdr:nvPicPr>
      <xdr:blipFill>
        <a:blip r:embed="rId461" cstate="email"/>
        <a:stretch>
          <a:fillRect/>
        </a:stretch>
      </xdr:blipFill>
      <xdr:spPr>
        <a:xfrm>
          <a:off x="243840" y="369989735"/>
          <a:ext cx="0" cy="62420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xdr:cNvPicPr>
          <a:picLocks noChangeAspect="1"/>
        </xdr:cNvPicPr>
      </xdr:nvPicPr>
      <xdr:blipFill>
        <a:blip r:embed="rId462" cstate="email"/>
        <a:stretch>
          <a:fillRect/>
        </a:stretch>
      </xdr:blipFill>
      <xdr:spPr>
        <a:xfrm>
          <a:off x="243840" y="370713635"/>
          <a:ext cx="0" cy="605155"/>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xdr:cNvPicPr>
          <a:picLocks noChangeAspect="1"/>
        </xdr:cNvPicPr>
      </xdr:nvPicPr>
      <xdr:blipFill>
        <a:blip r:embed="rId463" cstate="email"/>
        <a:stretch>
          <a:fillRect/>
        </a:stretch>
      </xdr:blipFill>
      <xdr:spPr>
        <a:xfrm>
          <a:off x="243840" y="371424835"/>
          <a:ext cx="0" cy="585470"/>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xdr:cNvPicPr>
          <a:picLocks noChangeAspect="1"/>
        </xdr:cNvPicPr>
      </xdr:nvPicPr>
      <xdr:blipFill>
        <a:blip r:embed="rId464" cstate="email"/>
        <a:stretch>
          <a:fillRect/>
        </a:stretch>
      </xdr:blipFill>
      <xdr:spPr>
        <a:xfrm>
          <a:off x="243840" y="372103650"/>
          <a:ext cx="0" cy="601345"/>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xdr:cNvPicPr>
          <a:picLocks noChangeAspect="1"/>
        </xdr:cNvPicPr>
      </xdr:nvPicPr>
      <xdr:blipFill>
        <a:blip r:embed="rId465" cstate="email"/>
        <a:stretch>
          <a:fillRect/>
        </a:stretch>
      </xdr:blipFill>
      <xdr:spPr>
        <a:xfrm>
          <a:off x="243840" y="372805960"/>
          <a:ext cx="0" cy="601345"/>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xdr:cNvPicPr>
          <a:picLocks noChangeAspect="1"/>
        </xdr:cNvPicPr>
      </xdr:nvPicPr>
      <xdr:blipFill>
        <a:blip r:embed="rId466" cstate="email"/>
        <a:stretch>
          <a:fillRect/>
        </a:stretch>
      </xdr:blipFill>
      <xdr:spPr>
        <a:xfrm>
          <a:off x="243840" y="373507635"/>
          <a:ext cx="0" cy="525145"/>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xdr:cNvPicPr>
          <a:picLocks noChangeAspect="1"/>
        </xdr:cNvPicPr>
      </xdr:nvPicPr>
      <xdr:blipFill>
        <a:blip r:embed="rId467" cstate="email"/>
        <a:stretch>
          <a:fillRect/>
        </a:stretch>
      </xdr:blipFill>
      <xdr:spPr>
        <a:xfrm>
          <a:off x="243840" y="374201055"/>
          <a:ext cx="0" cy="614680"/>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xdr:cNvPicPr>
          <a:picLocks noChangeAspect="1"/>
        </xdr:cNvPicPr>
      </xdr:nvPicPr>
      <xdr:blipFill>
        <a:blip r:embed="rId468" cstate="email"/>
        <a:stretch>
          <a:fillRect/>
        </a:stretch>
      </xdr:blipFill>
      <xdr:spPr>
        <a:xfrm>
          <a:off x="243840" y="374899555"/>
          <a:ext cx="0" cy="603250"/>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xdr:cNvPicPr>
          <a:picLocks noChangeAspect="1"/>
        </xdr:cNvPicPr>
      </xdr:nvPicPr>
      <xdr:blipFill>
        <a:blip r:embed="rId469" cstate="email"/>
        <a:stretch>
          <a:fillRect/>
        </a:stretch>
      </xdr:blipFill>
      <xdr:spPr>
        <a:xfrm>
          <a:off x="243840" y="375590435"/>
          <a:ext cx="0" cy="609600"/>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xdr:cNvPicPr>
          <a:picLocks noChangeAspect="1"/>
        </xdr:cNvPicPr>
      </xdr:nvPicPr>
      <xdr:blipFill>
        <a:blip r:embed="rId469" cstate="email"/>
        <a:stretch>
          <a:fillRect/>
        </a:stretch>
      </xdr:blipFill>
      <xdr:spPr>
        <a:xfrm>
          <a:off x="243840" y="376987435"/>
          <a:ext cx="0" cy="609600"/>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xdr:cNvPicPr>
          <a:picLocks noChangeAspect="1"/>
        </xdr:cNvPicPr>
      </xdr:nvPicPr>
      <xdr:blipFill>
        <a:blip r:embed="rId470" cstate="email"/>
        <a:stretch>
          <a:fillRect/>
        </a:stretch>
      </xdr:blipFill>
      <xdr:spPr>
        <a:xfrm>
          <a:off x="243840" y="377673235"/>
          <a:ext cx="0" cy="549275"/>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xdr:cNvPicPr>
          <a:picLocks noChangeAspect="1"/>
        </xdr:cNvPicPr>
      </xdr:nvPicPr>
      <xdr:blipFill>
        <a:blip r:embed="rId471" cstate="email"/>
        <a:stretch>
          <a:fillRect/>
        </a:stretch>
      </xdr:blipFill>
      <xdr:spPr>
        <a:xfrm>
          <a:off x="243840" y="378397135"/>
          <a:ext cx="0" cy="593725"/>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xdr:cNvPicPr>
          <a:picLocks noChangeAspect="1"/>
        </xdr:cNvPicPr>
      </xdr:nvPicPr>
      <xdr:blipFill>
        <a:blip r:embed="rId472" cstate="email"/>
        <a:stretch>
          <a:fillRect/>
        </a:stretch>
      </xdr:blipFill>
      <xdr:spPr>
        <a:xfrm>
          <a:off x="243840" y="379794135"/>
          <a:ext cx="0" cy="596900"/>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xdr:cNvPicPr>
          <a:picLocks noChangeAspect="1"/>
        </xdr:cNvPicPr>
      </xdr:nvPicPr>
      <xdr:blipFill>
        <a:blip r:embed="rId473" cstate="email"/>
        <a:stretch>
          <a:fillRect/>
        </a:stretch>
      </xdr:blipFill>
      <xdr:spPr>
        <a:xfrm>
          <a:off x="243840" y="379095635"/>
          <a:ext cx="0" cy="593725"/>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xdr:cNvPicPr>
          <a:picLocks noChangeAspect="1"/>
        </xdr:cNvPicPr>
      </xdr:nvPicPr>
      <xdr:blipFill>
        <a:blip r:embed="rId472" cstate="email"/>
        <a:stretch>
          <a:fillRect/>
        </a:stretch>
      </xdr:blipFill>
      <xdr:spPr>
        <a:xfrm>
          <a:off x="243840" y="380492635"/>
          <a:ext cx="0" cy="596900"/>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xdr:cNvPicPr>
          <a:picLocks noChangeAspect="1"/>
        </xdr:cNvPicPr>
      </xdr:nvPicPr>
      <xdr:blipFill>
        <a:blip r:embed="rId474" cstate="email"/>
        <a:stretch>
          <a:fillRect/>
        </a:stretch>
      </xdr:blipFill>
      <xdr:spPr>
        <a:xfrm>
          <a:off x="243840" y="381163830"/>
          <a:ext cx="0" cy="684530"/>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xdr:cNvPicPr>
          <a:picLocks noChangeAspect="1"/>
        </xdr:cNvPicPr>
      </xdr:nvPicPr>
      <xdr:blipFill>
        <a:blip r:embed="rId475" cstate="email"/>
        <a:stretch>
          <a:fillRect/>
        </a:stretch>
      </xdr:blipFill>
      <xdr:spPr>
        <a:xfrm>
          <a:off x="243840" y="381902335"/>
          <a:ext cx="0" cy="603250"/>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xdr:cNvPicPr>
          <a:picLocks noChangeAspect="1"/>
        </xdr:cNvPicPr>
      </xdr:nvPicPr>
      <xdr:blipFill>
        <a:blip r:embed="rId476" cstate="email"/>
        <a:stretch>
          <a:fillRect/>
        </a:stretch>
      </xdr:blipFill>
      <xdr:spPr>
        <a:xfrm>
          <a:off x="243840" y="365129445"/>
          <a:ext cx="0" cy="596900"/>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xdr:cNvPicPr>
          <a:picLocks noChangeAspect="1"/>
        </xdr:cNvPicPr>
      </xdr:nvPicPr>
      <xdr:blipFill>
        <a:blip r:embed="rId477" cstate="email"/>
        <a:stretch>
          <a:fillRect/>
        </a:stretch>
      </xdr:blipFill>
      <xdr:spPr>
        <a:xfrm>
          <a:off x="220345" y="364430945"/>
          <a:ext cx="23495" cy="605155"/>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xdr:cNvPicPr>
          <a:picLocks noChangeAspect="1"/>
        </xdr:cNvPicPr>
      </xdr:nvPicPr>
      <xdr:blipFill>
        <a:blip r:embed="rId478" cstate="email"/>
        <a:stretch>
          <a:fillRect/>
        </a:stretch>
      </xdr:blipFill>
      <xdr:spPr>
        <a:xfrm>
          <a:off x="243840" y="382588135"/>
          <a:ext cx="0" cy="595630"/>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xdr:cNvPicPr>
          <a:picLocks noChangeAspect="1"/>
        </xdr:cNvPicPr>
      </xdr:nvPicPr>
      <xdr:blipFill>
        <a:blip r:embed="rId479" cstate="email"/>
        <a:stretch>
          <a:fillRect/>
        </a:stretch>
      </xdr:blipFill>
      <xdr:spPr>
        <a:xfrm>
          <a:off x="243840" y="384683635"/>
          <a:ext cx="0" cy="596900"/>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xdr:cNvPicPr>
          <a:picLocks noChangeAspect="1"/>
        </xdr:cNvPicPr>
      </xdr:nvPicPr>
      <xdr:blipFill>
        <a:blip r:embed="rId478" cstate="email"/>
        <a:stretch>
          <a:fillRect/>
        </a:stretch>
      </xdr:blipFill>
      <xdr:spPr>
        <a:xfrm>
          <a:off x="243840" y="383286635"/>
          <a:ext cx="0" cy="595630"/>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xdr:cNvPicPr>
          <a:picLocks noChangeAspect="1"/>
        </xdr:cNvPicPr>
      </xdr:nvPicPr>
      <xdr:blipFill>
        <a:blip r:embed="rId480" cstate="email"/>
        <a:stretch>
          <a:fillRect/>
        </a:stretch>
      </xdr:blipFill>
      <xdr:spPr>
        <a:xfrm>
          <a:off x="243840" y="383972435"/>
          <a:ext cx="0" cy="535305"/>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xdr:cNvPicPr>
          <a:picLocks noChangeAspect="1"/>
        </xdr:cNvPicPr>
      </xdr:nvPicPr>
      <xdr:blipFill>
        <a:blip r:embed="rId479" cstate="email"/>
        <a:stretch>
          <a:fillRect/>
        </a:stretch>
      </xdr:blipFill>
      <xdr:spPr>
        <a:xfrm>
          <a:off x="243840" y="385382135"/>
          <a:ext cx="0" cy="596900"/>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xdr:cNvPicPr>
          <a:picLocks noChangeAspect="1"/>
        </xdr:cNvPicPr>
      </xdr:nvPicPr>
      <xdr:blipFill>
        <a:blip r:embed="rId481" cstate="email"/>
        <a:stretch>
          <a:fillRect/>
        </a:stretch>
      </xdr:blipFill>
      <xdr:spPr>
        <a:xfrm>
          <a:off x="205740" y="363740065"/>
          <a:ext cx="38100" cy="513715"/>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xdr:cNvPicPr>
          <a:picLocks noChangeAspect="1"/>
        </xdr:cNvPicPr>
      </xdr:nvPicPr>
      <xdr:blipFill>
        <a:blip r:embed="rId482" cstate="email"/>
        <a:stretch>
          <a:fillRect/>
        </a:stretch>
      </xdr:blipFill>
      <xdr:spPr>
        <a:xfrm>
          <a:off x="234950" y="363056170"/>
          <a:ext cx="8890" cy="570865"/>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xdr:cNvPicPr>
          <a:picLocks noChangeAspect="1"/>
        </xdr:cNvPicPr>
      </xdr:nvPicPr>
      <xdr:blipFill>
        <a:blip r:embed="rId483" cstate="email"/>
        <a:stretch>
          <a:fillRect/>
        </a:stretch>
      </xdr:blipFill>
      <xdr:spPr>
        <a:xfrm>
          <a:off x="243840" y="386093335"/>
          <a:ext cx="0" cy="49085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xdr:cNvPicPr>
          <a:picLocks noChangeAspect="1"/>
        </xdr:cNvPicPr>
      </xdr:nvPicPr>
      <xdr:blipFill>
        <a:blip r:embed="rId484" cstate="email"/>
        <a:stretch>
          <a:fillRect/>
        </a:stretch>
      </xdr:blipFill>
      <xdr:spPr>
        <a:xfrm>
          <a:off x="243840" y="388176135"/>
          <a:ext cx="0" cy="596900"/>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xdr:cNvPicPr>
          <a:picLocks noChangeAspect="1"/>
        </xdr:cNvPicPr>
      </xdr:nvPicPr>
      <xdr:blipFill>
        <a:blip r:embed="rId485" cstate="email"/>
        <a:stretch>
          <a:fillRect/>
        </a:stretch>
      </xdr:blipFill>
      <xdr:spPr>
        <a:xfrm>
          <a:off x="243840" y="387477635"/>
          <a:ext cx="0" cy="60325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xdr:cNvPicPr>
          <a:picLocks noChangeAspect="1"/>
        </xdr:cNvPicPr>
      </xdr:nvPicPr>
      <xdr:blipFill>
        <a:blip r:embed="rId486" cstate="email"/>
        <a:stretch>
          <a:fillRect/>
        </a:stretch>
      </xdr:blipFill>
      <xdr:spPr>
        <a:xfrm>
          <a:off x="243840" y="367927255"/>
          <a:ext cx="0" cy="585470"/>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xdr:cNvPicPr>
          <a:picLocks noChangeAspect="1"/>
        </xdr:cNvPicPr>
      </xdr:nvPicPr>
      <xdr:blipFill>
        <a:blip r:embed="rId486" cstate="email"/>
        <a:stretch>
          <a:fillRect/>
        </a:stretch>
      </xdr:blipFill>
      <xdr:spPr>
        <a:xfrm>
          <a:off x="243840" y="368632740"/>
          <a:ext cx="0" cy="585470"/>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xdr:cNvPicPr>
          <a:picLocks noChangeAspect="1"/>
        </xdr:cNvPicPr>
      </xdr:nvPicPr>
      <xdr:blipFill>
        <a:blip r:embed="rId484" cstate="email"/>
        <a:stretch>
          <a:fillRect/>
        </a:stretch>
      </xdr:blipFill>
      <xdr:spPr>
        <a:xfrm>
          <a:off x="243840" y="388874635"/>
          <a:ext cx="0" cy="596900"/>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xdr:cNvPicPr>
          <a:picLocks noChangeAspect="1"/>
        </xdr:cNvPicPr>
      </xdr:nvPicPr>
      <xdr:blipFill>
        <a:blip r:embed="rId487" cstate="email"/>
        <a:stretch>
          <a:fillRect/>
        </a:stretch>
      </xdr:blipFill>
      <xdr:spPr>
        <a:xfrm>
          <a:off x="243840" y="386779135"/>
          <a:ext cx="0" cy="619760"/>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xdr:cNvPicPr>
          <a:picLocks noChangeAspect="1"/>
        </xdr:cNvPicPr>
      </xdr:nvPicPr>
      <xdr:blipFill>
        <a:blip r:embed="rId488" cstate="email"/>
        <a:stretch>
          <a:fillRect/>
        </a:stretch>
      </xdr:blipFill>
      <xdr:spPr>
        <a:xfrm>
          <a:off x="243840" y="359535095"/>
          <a:ext cx="0" cy="603885"/>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xdr:cNvPicPr>
          <a:picLocks noChangeAspect="1"/>
        </xdr:cNvPicPr>
      </xdr:nvPicPr>
      <xdr:blipFill>
        <a:blip r:embed="rId489" cstate="email"/>
        <a:stretch>
          <a:fillRect/>
        </a:stretch>
      </xdr:blipFill>
      <xdr:spPr>
        <a:xfrm>
          <a:off x="243840" y="360233595"/>
          <a:ext cx="0" cy="521335"/>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xdr:cNvPicPr>
          <a:picLocks noChangeAspect="1"/>
        </xdr:cNvPicPr>
      </xdr:nvPicPr>
      <xdr:blipFill>
        <a:blip r:embed="rId490" cstate="email"/>
        <a:stretch>
          <a:fillRect/>
        </a:stretch>
      </xdr:blipFill>
      <xdr:spPr>
        <a:xfrm>
          <a:off x="243840" y="389566785"/>
          <a:ext cx="0" cy="597535"/>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xdr:cNvPicPr>
          <a:picLocks noChangeAspect="1"/>
        </xdr:cNvPicPr>
      </xdr:nvPicPr>
      <xdr:blipFill>
        <a:blip r:embed="rId491" cstate="email"/>
        <a:stretch>
          <a:fillRect/>
        </a:stretch>
      </xdr:blipFill>
      <xdr:spPr>
        <a:xfrm>
          <a:off x="243840" y="390307195"/>
          <a:ext cx="0" cy="530225"/>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xdr:cNvPicPr>
          <a:picLocks noChangeAspect="1"/>
        </xdr:cNvPicPr>
      </xdr:nvPicPr>
      <xdr:blipFill>
        <a:blip r:embed="rId492" cstate="email"/>
        <a:stretch>
          <a:fillRect/>
        </a:stretch>
      </xdr:blipFill>
      <xdr:spPr>
        <a:xfrm>
          <a:off x="145415" y="361626150"/>
          <a:ext cx="98425" cy="611505"/>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xdr:cNvPicPr>
          <a:picLocks noChangeAspect="1"/>
        </xdr:cNvPicPr>
      </xdr:nvPicPr>
      <xdr:blipFill>
        <a:blip r:embed="rId493" cstate="email"/>
        <a:stretch>
          <a:fillRect/>
        </a:stretch>
      </xdr:blipFill>
      <xdr:spPr>
        <a:xfrm>
          <a:off x="243840" y="392342370"/>
          <a:ext cx="0" cy="678815"/>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xdr:cNvPicPr>
          <a:picLocks noChangeAspect="1"/>
        </xdr:cNvPicPr>
      </xdr:nvPicPr>
      <xdr:blipFill>
        <a:blip r:embed="rId494" cstate="email"/>
        <a:stretch>
          <a:fillRect/>
        </a:stretch>
      </xdr:blipFill>
      <xdr:spPr>
        <a:xfrm>
          <a:off x="243840" y="391643870"/>
          <a:ext cx="0" cy="680720"/>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xdr:cNvPicPr>
          <a:picLocks noChangeAspect="1"/>
        </xdr:cNvPicPr>
      </xdr:nvPicPr>
      <xdr:blipFill>
        <a:blip r:embed="rId495" cstate="email"/>
        <a:stretch>
          <a:fillRect/>
        </a:stretch>
      </xdr:blipFill>
      <xdr:spPr>
        <a:xfrm>
          <a:off x="243840" y="395163040"/>
          <a:ext cx="0" cy="554990"/>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xdr:cNvPicPr>
          <a:picLocks noChangeAspect="1"/>
        </xdr:cNvPicPr>
      </xdr:nvPicPr>
      <xdr:blipFill>
        <a:blip r:embed="rId496" cstate="email"/>
        <a:stretch>
          <a:fillRect/>
        </a:stretch>
      </xdr:blipFill>
      <xdr:spPr>
        <a:xfrm>
          <a:off x="233680" y="395922500"/>
          <a:ext cx="10160" cy="565150"/>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xdr:cNvPicPr>
          <a:picLocks noChangeAspect="1"/>
        </xdr:cNvPicPr>
      </xdr:nvPicPr>
      <xdr:blipFill>
        <a:blip r:embed="rId497" cstate="email"/>
        <a:stretch>
          <a:fillRect/>
        </a:stretch>
      </xdr:blipFill>
      <xdr:spPr>
        <a:xfrm>
          <a:off x="227330" y="393058015"/>
          <a:ext cx="16510" cy="667385"/>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xdr:cNvPicPr>
          <a:picLocks noChangeAspect="1"/>
        </xdr:cNvPicPr>
      </xdr:nvPicPr>
      <xdr:blipFill>
        <a:blip r:embed="rId498" cstate="email"/>
        <a:stretch>
          <a:fillRect/>
        </a:stretch>
      </xdr:blipFill>
      <xdr:spPr>
        <a:xfrm>
          <a:off x="222885" y="394442950"/>
          <a:ext cx="20955" cy="582295"/>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xdr:cNvPicPr>
          <a:picLocks noChangeAspect="1"/>
        </xdr:cNvPicPr>
      </xdr:nvPicPr>
      <xdr:blipFill>
        <a:blip r:embed="rId499" cstate="email"/>
        <a:stretch>
          <a:fillRect/>
        </a:stretch>
      </xdr:blipFill>
      <xdr:spPr>
        <a:xfrm>
          <a:off x="238760" y="393793345"/>
          <a:ext cx="5080" cy="582930"/>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xdr:cNvPicPr>
          <a:picLocks noChangeAspect="1"/>
        </xdr:cNvPicPr>
      </xdr:nvPicPr>
      <xdr:blipFill>
        <a:blip r:embed="rId500" cstate="email"/>
        <a:stretch>
          <a:fillRect/>
        </a:stretch>
      </xdr:blipFill>
      <xdr:spPr>
        <a:xfrm>
          <a:off x="195580" y="362334810"/>
          <a:ext cx="48260" cy="594995"/>
        </a:xfrm>
        <a:prstGeom prst="rect">
          <a:avLst/>
        </a:prstGeom>
      </xdr:spPr>
    </xdr:pic>
    <xdr:clientData/>
  </xdr:twoCellAnchor>
  <xdr:twoCellAnchor editAs="oneCell">
    <xdr:from>
      <xdr:col>0</xdr:col>
      <xdr:colOff>800100</xdr:colOff>
      <xdr:row>631</xdr:row>
      <xdr:rowOff>215900</xdr:rowOff>
    </xdr:from>
    <xdr:to>
      <xdr:col>2</xdr:col>
      <xdr:colOff>0</xdr:colOff>
      <xdr:row>662</xdr:row>
      <xdr:rowOff>144245</xdr:rowOff>
    </xdr:to>
    <xdr:sp>
      <xdr:nvSpPr>
        <xdr:cNvPr id="613" name="AutoShape 2485"/>
        <xdr:cNvSpPr>
          <a:spLocks noChangeAspect="1" noChangeArrowheads="1"/>
        </xdr:cNvSpPr>
      </xdr:nvSpPr>
      <xdr:spPr>
        <a:xfrm>
          <a:off x="121920" y="440740800"/>
          <a:ext cx="12192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xdr:cNvPicPr>
          <a:picLocks noChangeAspect="1"/>
        </xdr:cNvPicPr>
      </xdr:nvPicPr>
      <xdr:blipFill>
        <a:blip r:embed="rId501" cstate="email"/>
        <a:stretch>
          <a:fillRect/>
        </a:stretch>
      </xdr:blipFill>
      <xdr:spPr>
        <a:xfrm>
          <a:off x="243840" y="549510585"/>
          <a:ext cx="0" cy="688340"/>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xdr:cNvPicPr>
          <a:picLocks noChangeAspect="1"/>
        </xdr:cNvPicPr>
      </xdr:nvPicPr>
      <xdr:blipFill>
        <a:blip r:embed="rId502" cstate="email"/>
        <a:stretch>
          <a:fillRect/>
        </a:stretch>
      </xdr:blipFill>
      <xdr:spPr>
        <a:xfrm>
          <a:off x="243840" y="544601400"/>
          <a:ext cx="0" cy="71120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xdr:cNvPicPr>
          <a:picLocks noChangeAspect="1"/>
        </xdr:cNvPicPr>
      </xdr:nvPicPr>
      <xdr:blipFill>
        <a:blip r:embed="rId503" cstate="email"/>
        <a:stretch>
          <a:fillRect/>
        </a:stretch>
      </xdr:blipFill>
      <xdr:spPr>
        <a:xfrm>
          <a:off x="243840" y="550261155"/>
          <a:ext cx="0" cy="600710"/>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xdr:cNvPicPr>
          <a:picLocks noChangeAspect="1"/>
        </xdr:cNvPicPr>
      </xdr:nvPicPr>
      <xdr:blipFill>
        <a:blip r:embed="rId503" cstate="email"/>
        <a:stretch>
          <a:fillRect/>
        </a:stretch>
      </xdr:blipFill>
      <xdr:spPr>
        <a:xfrm>
          <a:off x="243840" y="550960290"/>
          <a:ext cx="0" cy="600710"/>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xdr:cNvPicPr>
          <a:picLocks noChangeAspect="1"/>
        </xdr:cNvPicPr>
      </xdr:nvPicPr>
      <xdr:blipFill>
        <a:blip r:embed="rId504" cstate="email"/>
        <a:stretch>
          <a:fillRect/>
        </a:stretch>
      </xdr:blipFill>
      <xdr:spPr>
        <a:xfrm>
          <a:off x="228600" y="546048565"/>
          <a:ext cx="15240" cy="625475"/>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xdr:cNvPicPr>
          <a:picLocks noChangeAspect="1"/>
        </xdr:cNvPicPr>
      </xdr:nvPicPr>
      <xdr:blipFill>
        <a:blip r:embed="rId505" cstate="email"/>
        <a:stretch>
          <a:fillRect/>
        </a:stretch>
      </xdr:blipFill>
      <xdr:spPr>
        <a:xfrm>
          <a:off x="243840" y="546766115"/>
          <a:ext cx="0" cy="591185"/>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xdr:cNvPicPr>
          <a:picLocks noChangeAspect="1"/>
        </xdr:cNvPicPr>
      </xdr:nvPicPr>
      <xdr:blipFill>
        <a:blip r:embed="rId506" cstate="email"/>
        <a:stretch>
          <a:fillRect/>
        </a:stretch>
      </xdr:blipFill>
      <xdr:spPr>
        <a:xfrm>
          <a:off x="243840" y="547423340"/>
          <a:ext cx="0" cy="592455"/>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xdr:cNvPicPr>
          <a:picLocks noChangeAspect="1"/>
        </xdr:cNvPicPr>
      </xdr:nvPicPr>
      <xdr:blipFill>
        <a:blip r:embed="rId507" cstate="email"/>
        <a:stretch>
          <a:fillRect/>
        </a:stretch>
      </xdr:blipFill>
      <xdr:spPr>
        <a:xfrm>
          <a:off x="243840" y="548177085"/>
          <a:ext cx="0" cy="592455"/>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xdr:cNvPicPr>
          <a:picLocks noChangeAspect="1"/>
        </xdr:cNvPicPr>
      </xdr:nvPicPr>
      <xdr:blipFill>
        <a:blip r:embed="rId508" cstate="email"/>
        <a:stretch>
          <a:fillRect/>
        </a:stretch>
      </xdr:blipFill>
      <xdr:spPr>
        <a:xfrm>
          <a:off x="243840" y="560700555"/>
          <a:ext cx="0" cy="608330"/>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xdr:cNvPicPr>
          <a:picLocks noChangeAspect="1"/>
        </xdr:cNvPicPr>
      </xdr:nvPicPr>
      <xdr:blipFill>
        <a:blip r:embed="rId509" cstate="email"/>
        <a:stretch>
          <a:fillRect/>
        </a:stretch>
      </xdr:blipFill>
      <xdr:spPr>
        <a:xfrm>
          <a:off x="243840" y="561381910"/>
          <a:ext cx="0" cy="701675"/>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xdr:cNvPicPr>
          <a:picLocks noChangeAspect="1"/>
        </xdr:cNvPicPr>
      </xdr:nvPicPr>
      <xdr:blipFill>
        <a:blip r:embed="rId510" cstate="email"/>
        <a:stretch>
          <a:fillRect/>
        </a:stretch>
      </xdr:blipFill>
      <xdr:spPr>
        <a:xfrm>
          <a:off x="243840" y="562063900"/>
          <a:ext cx="0" cy="701040"/>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xdr:cNvPicPr>
          <a:picLocks noChangeAspect="1"/>
        </xdr:cNvPicPr>
      </xdr:nvPicPr>
      <xdr:blipFill>
        <a:blip r:embed="rId510" cstate="email"/>
        <a:stretch>
          <a:fillRect/>
        </a:stretch>
      </xdr:blipFill>
      <xdr:spPr>
        <a:xfrm>
          <a:off x="243840" y="562762400"/>
          <a:ext cx="0" cy="701040"/>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xdr:cNvPicPr>
          <a:picLocks noChangeAspect="1"/>
        </xdr:cNvPicPr>
      </xdr:nvPicPr>
      <xdr:blipFill>
        <a:blip r:embed="rId511" cstate="email"/>
        <a:stretch>
          <a:fillRect/>
        </a:stretch>
      </xdr:blipFill>
      <xdr:spPr>
        <a:xfrm>
          <a:off x="223520" y="563477410"/>
          <a:ext cx="20320" cy="68707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xdr:cNvPicPr>
          <a:picLocks noChangeAspect="1"/>
        </xdr:cNvPicPr>
      </xdr:nvPicPr>
      <xdr:blipFill>
        <a:blip r:embed="rId512" cstate="email"/>
        <a:stretch>
          <a:fillRect/>
        </a:stretch>
      </xdr:blipFill>
      <xdr:spPr>
        <a:xfrm>
          <a:off x="240030" y="564104155"/>
          <a:ext cx="3810" cy="68707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xdr:cNvPicPr>
          <a:picLocks noChangeAspect="1"/>
        </xdr:cNvPicPr>
      </xdr:nvPicPr>
      <xdr:blipFill>
        <a:blip r:embed="rId513" cstate="email"/>
        <a:stretch>
          <a:fillRect/>
        </a:stretch>
      </xdr:blipFill>
      <xdr:spPr>
        <a:xfrm>
          <a:off x="240030" y="564878855"/>
          <a:ext cx="3810" cy="616585"/>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xdr:cNvPicPr>
          <a:picLocks noChangeAspect="1"/>
        </xdr:cNvPicPr>
      </xdr:nvPicPr>
      <xdr:blipFill>
        <a:blip r:embed="rId514" cstate="email"/>
        <a:stretch>
          <a:fillRect/>
        </a:stretch>
      </xdr:blipFill>
      <xdr:spPr>
        <a:xfrm>
          <a:off x="243840" y="565590055"/>
          <a:ext cx="0" cy="664845"/>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xdr:cNvPicPr>
          <a:picLocks noChangeAspect="1"/>
        </xdr:cNvPicPr>
      </xdr:nvPicPr>
      <xdr:blipFill>
        <a:blip r:embed="rId515" cstate="email"/>
        <a:stretch>
          <a:fillRect/>
        </a:stretch>
      </xdr:blipFill>
      <xdr:spPr>
        <a:xfrm>
          <a:off x="243840" y="566271410"/>
          <a:ext cx="0"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xdr:cNvPicPr>
          <a:picLocks noChangeAspect="1"/>
        </xdr:cNvPicPr>
      </xdr:nvPicPr>
      <xdr:blipFill>
        <a:blip r:embed="rId516" cstate="email"/>
        <a:stretch>
          <a:fillRect/>
        </a:stretch>
      </xdr:blipFill>
      <xdr:spPr>
        <a:xfrm>
          <a:off x="243840" y="566987055"/>
          <a:ext cx="0" cy="664845"/>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xdr:cNvPicPr>
          <a:picLocks noChangeAspect="1"/>
        </xdr:cNvPicPr>
      </xdr:nvPicPr>
      <xdr:blipFill>
        <a:blip r:embed="rId517" cstate="email"/>
        <a:stretch>
          <a:fillRect/>
        </a:stretch>
      </xdr:blipFill>
      <xdr:spPr>
        <a:xfrm>
          <a:off x="243840" y="567668410"/>
          <a:ext cx="0"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xdr:cNvPicPr>
          <a:picLocks noChangeAspect="1"/>
        </xdr:cNvPicPr>
      </xdr:nvPicPr>
      <xdr:blipFill>
        <a:blip r:embed="rId517" cstate="email"/>
        <a:stretch>
          <a:fillRect/>
        </a:stretch>
      </xdr:blipFill>
      <xdr:spPr>
        <a:xfrm>
          <a:off x="243840" y="568405645"/>
          <a:ext cx="0" cy="612775"/>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xdr:cNvPicPr>
          <a:picLocks noChangeAspect="1"/>
        </xdr:cNvPicPr>
      </xdr:nvPicPr>
      <xdr:blipFill>
        <a:blip r:embed="rId518" cstate="email"/>
        <a:stretch>
          <a:fillRect/>
        </a:stretch>
      </xdr:blipFill>
      <xdr:spPr>
        <a:xfrm>
          <a:off x="243840" y="569065410"/>
          <a:ext cx="0" cy="623570"/>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xdr:cNvPicPr>
          <a:picLocks noChangeAspect="1"/>
        </xdr:cNvPicPr>
      </xdr:nvPicPr>
      <xdr:blipFill>
        <a:blip r:embed="rId519" cstate="email"/>
        <a:stretch>
          <a:fillRect/>
        </a:stretch>
      </xdr:blipFill>
      <xdr:spPr>
        <a:xfrm>
          <a:off x="243840" y="569767085"/>
          <a:ext cx="0" cy="600075"/>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xdr:cNvPicPr>
          <a:picLocks noChangeAspect="1"/>
        </xdr:cNvPicPr>
      </xdr:nvPicPr>
      <xdr:blipFill>
        <a:blip r:embed="rId519" cstate="email"/>
        <a:stretch>
          <a:fillRect/>
        </a:stretch>
      </xdr:blipFill>
      <xdr:spPr>
        <a:xfrm>
          <a:off x="243840" y="570482095"/>
          <a:ext cx="0" cy="600710"/>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xdr:cNvPicPr>
          <a:picLocks noChangeAspect="1"/>
        </xdr:cNvPicPr>
      </xdr:nvPicPr>
      <xdr:blipFill>
        <a:blip r:embed="rId519" cstate="email"/>
        <a:stretch>
          <a:fillRect/>
        </a:stretch>
      </xdr:blipFill>
      <xdr:spPr>
        <a:xfrm>
          <a:off x="243840" y="571164085"/>
          <a:ext cx="0" cy="600075"/>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xdr:cNvPicPr>
          <a:picLocks noChangeAspect="1"/>
        </xdr:cNvPicPr>
      </xdr:nvPicPr>
      <xdr:blipFill>
        <a:blip r:embed="rId520" cstate="email"/>
        <a:stretch>
          <a:fillRect/>
        </a:stretch>
      </xdr:blipFill>
      <xdr:spPr>
        <a:xfrm>
          <a:off x="243840" y="571873380"/>
          <a:ext cx="0" cy="631825"/>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xdr:cNvPicPr>
          <a:picLocks noChangeAspect="1"/>
        </xdr:cNvPicPr>
      </xdr:nvPicPr>
      <xdr:blipFill>
        <a:blip r:embed="rId521" cstate="email"/>
        <a:stretch>
          <a:fillRect/>
        </a:stretch>
      </xdr:blipFill>
      <xdr:spPr>
        <a:xfrm>
          <a:off x="243840" y="572582675"/>
          <a:ext cx="0" cy="626745"/>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xdr:cNvPicPr>
          <a:picLocks noChangeAspect="1"/>
        </xdr:cNvPicPr>
      </xdr:nvPicPr>
      <xdr:blipFill>
        <a:blip r:embed="rId522" cstate="email"/>
        <a:stretch>
          <a:fillRect/>
        </a:stretch>
      </xdr:blipFill>
      <xdr:spPr>
        <a:xfrm>
          <a:off x="243840" y="573273555"/>
          <a:ext cx="0" cy="664845"/>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xdr:cNvPicPr>
          <a:picLocks noChangeAspect="1"/>
        </xdr:cNvPicPr>
      </xdr:nvPicPr>
      <xdr:blipFill>
        <a:blip r:embed="rId522" cstate="email"/>
        <a:stretch>
          <a:fillRect/>
        </a:stretch>
      </xdr:blipFill>
      <xdr:spPr>
        <a:xfrm>
          <a:off x="243840" y="573951100"/>
          <a:ext cx="0" cy="663575"/>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xdr:cNvPicPr>
          <a:picLocks noChangeAspect="1"/>
        </xdr:cNvPicPr>
      </xdr:nvPicPr>
      <xdr:blipFill>
        <a:blip r:embed="rId522" cstate="email"/>
        <a:stretch>
          <a:fillRect/>
        </a:stretch>
      </xdr:blipFill>
      <xdr:spPr>
        <a:xfrm>
          <a:off x="243840" y="574659760"/>
          <a:ext cx="0" cy="66357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xdr:cNvPicPr>
          <a:picLocks noChangeAspect="1"/>
        </xdr:cNvPicPr>
      </xdr:nvPicPr>
      <xdr:blipFill>
        <a:blip r:embed="rId523" cstate="email"/>
        <a:stretch>
          <a:fillRect/>
        </a:stretch>
      </xdr:blipFill>
      <xdr:spPr>
        <a:xfrm>
          <a:off x="243840" y="575386835"/>
          <a:ext cx="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xdr:cNvPicPr>
          <a:picLocks noChangeAspect="1"/>
        </xdr:cNvPicPr>
      </xdr:nvPicPr>
      <xdr:blipFill>
        <a:blip r:embed="rId524" cstate="email"/>
        <a:stretch>
          <a:fillRect/>
        </a:stretch>
      </xdr:blipFill>
      <xdr:spPr>
        <a:xfrm>
          <a:off x="243840" y="576050410"/>
          <a:ext cx="0" cy="682625"/>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xdr:cNvPicPr>
          <a:picLocks noChangeAspect="1"/>
        </xdr:cNvPicPr>
      </xdr:nvPicPr>
      <xdr:blipFill>
        <a:blip r:embed="rId524" cstate="email"/>
        <a:stretch>
          <a:fillRect/>
        </a:stretch>
      </xdr:blipFill>
      <xdr:spPr>
        <a:xfrm>
          <a:off x="243840" y="576766055"/>
          <a:ext cx="0" cy="681990"/>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xdr:cNvPicPr>
          <a:picLocks noChangeAspect="1"/>
        </xdr:cNvPicPr>
      </xdr:nvPicPr>
      <xdr:blipFill>
        <a:blip r:embed="rId525" cstate="email"/>
        <a:stretch>
          <a:fillRect/>
        </a:stretch>
      </xdr:blipFill>
      <xdr:spPr>
        <a:xfrm>
          <a:off x="243840" y="577481700"/>
          <a:ext cx="0" cy="650240"/>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xdr:cNvPicPr>
          <a:picLocks noChangeAspect="1"/>
        </xdr:cNvPicPr>
      </xdr:nvPicPr>
      <xdr:blipFill>
        <a:blip r:embed="rId526" cstate="email"/>
        <a:stretch>
          <a:fillRect/>
        </a:stretch>
      </xdr:blipFill>
      <xdr:spPr>
        <a:xfrm>
          <a:off x="243840" y="578163055"/>
          <a:ext cx="0" cy="595630"/>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xdr:cNvPicPr>
          <a:picLocks noChangeAspect="1"/>
        </xdr:cNvPicPr>
      </xdr:nvPicPr>
      <xdr:blipFill>
        <a:blip r:embed="rId527" cstate="email"/>
        <a:stretch>
          <a:fillRect/>
        </a:stretch>
      </xdr:blipFill>
      <xdr:spPr>
        <a:xfrm>
          <a:off x="243840" y="578862825"/>
          <a:ext cx="0" cy="602615"/>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xdr:cNvPicPr>
          <a:picLocks noChangeAspect="1"/>
        </xdr:cNvPicPr>
      </xdr:nvPicPr>
      <xdr:blipFill>
        <a:blip r:embed="rId528" cstate="email"/>
        <a:stretch>
          <a:fillRect/>
        </a:stretch>
      </xdr:blipFill>
      <xdr:spPr>
        <a:xfrm>
          <a:off x="243840" y="579582915"/>
          <a:ext cx="0" cy="614680"/>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xdr:cNvPicPr>
          <a:picLocks noChangeAspect="1"/>
        </xdr:cNvPicPr>
      </xdr:nvPicPr>
      <xdr:blipFill>
        <a:blip r:embed="rId529" cstate="email"/>
        <a:stretch>
          <a:fillRect/>
        </a:stretch>
      </xdr:blipFill>
      <xdr:spPr>
        <a:xfrm>
          <a:off x="243840" y="580944355"/>
          <a:ext cx="0" cy="684530"/>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xdr:cNvPicPr>
          <a:picLocks noChangeAspect="1"/>
        </xdr:cNvPicPr>
      </xdr:nvPicPr>
      <xdr:blipFill>
        <a:blip r:embed="rId530" cstate="email"/>
        <a:stretch>
          <a:fillRect/>
        </a:stretch>
      </xdr:blipFill>
      <xdr:spPr>
        <a:xfrm>
          <a:off x="243840" y="581642855"/>
          <a:ext cx="0" cy="586740"/>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xdr:cNvPicPr>
          <a:picLocks noChangeAspect="1"/>
        </xdr:cNvPicPr>
      </xdr:nvPicPr>
      <xdr:blipFill>
        <a:blip r:embed="rId530" cstate="email"/>
        <a:stretch>
          <a:fillRect/>
        </a:stretch>
      </xdr:blipFill>
      <xdr:spPr>
        <a:xfrm>
          <a:off x="243840" y="582362945"/>
          <a:ext cx="0" cy="586740"/>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xdr:cNvPicPr>
          <a:picLocks noChangeAspect="1"/>
        </xdr:cNvPicPr>
      </xdr:nvPicPr>
      <xdr:blipFill>
        <a:blip r:embed="rId531" cstate="email"/>
        <a:stretch>
          <a:fillRect/>
        </a:stretch>
      </xdr:blipFill>
      <xdr:spPr>
        <a:xfrm>
          <a:off x="243840" y="583744705"/>
          <a:ext cx="0" cy="652145"/>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xdr:cNvPicPr>
          <a:picLocks noChangeAspect="1"/>
        </xdr:cNvPicPr>
      </xdr:nvPicPr>
      <xdr:blipFill>
        <a:blip r:embed="rId532" cstate="email"/>
        <a:stretch>
          <a:fillRect/>
        </a:stretch>
      </xdr:blipFill>
      <xdr:spPr>
        <a:xfrm>
          <a:off x="243840" y="584443205"/>
          <a:ext cx="0" cy="635635"/>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xdr:cNvPicPr>
          <a:picLocks noChangeAspect="1"/>
        </xdr:cNvPicPr>
      </xdr:nvPicPr>
      <xdr:blipFill>
        <a:blip r:embed="rId533" cstate="email"/>
        <a:stretch>
          <a:fillRect/>
        </a:stretch>
      </xdr:blipFill>
      <xdr:spPr>
        <a:xfrm>
          <a:off x="243840" y="585891640"/>
          <a:ext cx="0" cy="586105"/>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xdr:cNvPicPr>
          <a:picLocks noChangeAspect="1"/>
        </xdr:cNvPicPr>
      </xdr:nvPicPr>
      <xdr:blipFill>
        <a:blip r:embed="rId534" cstate="email"/>
        <a:stretch>
          <a:fillRect/>
        </a:stretch>
      </xdr:blipFill>
      <xdr:spPr>
        <a:xfrm>
          <a:off x="243840" y="586575535"/>
          <a:ext cx="0" cy="586740"/>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xdr:cNvPicPr>
          <a:picLocks noChangeAspect="1"/>
        </xdr:cNvPicPr>
      </xdr:nvPicPr>
      <xdr:blipFill>
        <a:blip r:embed="rId535" cstate="email"/>
        <a:stretch>
          <a:fillRect/>
        </a:stretch>
      </xdr:blipFill>
      <xdr:spPr>
        <a:xfrm>
          <a:off x="243840" y="587223235"/>
          <a:ext cx="0" cy="614680"/>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xdr:cNvPicPr>
          <a:picLocks noChangeAspect="1"/>
        </xdr:cNvPicPr>
      </xdr:nvPicPr>
      <xdr:blipFill>
        <a:blip r:embed="rId536" cstate="email"/>
        <a:stretch>
          <a:fillRect/>
        </a:stretch>
      </xdr:blipFill>
      <xdr:spPr>
        <a:xfrm>
          <a:off x="243840" y="587949675"/>
          <a:ext cx="0" cy="676275"/>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xdr:cNvPicPr>
          <a:picLocks noChangeAspect="1"/>
        </xdr:cNvPicPr>
      </xdr:nvPicPr>
      <xdr:blipFill>
        <a:blip r:embed="rId537" cstate="email"/>
        <a:stretch>
          <a:fillRect/>
        </a:stretch>
      </xdr:blipFill>
      <xdr:spPr>
        <a:xfrm>
          <a:off x="243840" y="588653890"/>
          <a:ext cx="0" cy="615315"/>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xdr:cNvPicPr>
          <a:picLocks noChangeAspect="1"/>
        </xdr:cNvPicPr>
      </xdr:nvPicPr>
      <xdr:blipFill>
        <a:blip r:embed="rId538" cstate="email"/>
        <a:stretch>
          <a:fillRect/>
        </a:stretch>
      </xdr:blipFill>
      <xdr:spPr>
        <a:xfrm>
          <a:off x="243840" y="589318735"/>
          <a:ext cx="0" cy="586740"/>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xdr:cNvPicPr>
          <a:picLocks noChangeAspect="1"/>
        </xdr:cNvPicPr>
      </xdr:nvPicPr>
      <xdr:blipFill>
        <a:blip r:embed="rId538" cstate="email"/>
        <a:stretch>
          <a:fillRect/>
        </a:stretch>
      </xdr:blipFill>
      <xdr:spPr>
        <a:xfrm>
          <a:off x="243840" y="590016600"/>
          <a:ext cx="0" cy="586105"/>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xdr:cNvPicPr>
          <a:picLocks noChangeAspect="1"/>
        </xdr:cNvPicPr>
      </xdr:nvPicPr>
      <xdr:blipFill>
        <a:blip r:embed="rId539" cstate="email"/>
        <a:stretch>
          <a:fillRect/>
        </a:stretch>
      </xdr:blipFill>
      <xdr:spPr>
        <a:xfrm>
          <a:off x="243840" y="590729705"/>
          <a:ext cx="0" cy="605790"/>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xdr:cNvPicPr>
          <a:picLocks noChangeAspect="1"/>
        </xdr:cNvPicPr>
      </xdr:nvPicPr>
      <xdr:blipFill>
        <a:blip r:embed="rId539" cstate="email"/>
        <a:stretch>
          <a:fillRect/>
        </a:stretch>
      </xdr:blipFill>
      <xdr:spPr>
        <a:xfrm>
          <a:off x="243840" y="591442810"/>
          <a:ext cx="0" cy="605790"/>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xdr:cNvPicPr>
          <a:picLocks noChangeAspect="1"/>
        </xdr:cNvPicPr>
      </xdr:nvPicPr>
      <xdr:blipFill>
        <a:blip r:embed="rId540" cstate="email"/>
        <a:stretch>
          <a:fillRect/>
        </a:stretch>
      </xdr:blipFill>
      <xdr:spPr>
        <a:xfrm>
          <a:off x="243840" y="585146785"/>
          <a:ext cx="0" cy="643890"/>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xdr:cNvPicPr>
          <a:picLocks noChangeAspect="1"/>
        </xdr:cNvPicPr>
      </xdr:nvPicPr>
      <xdr:blipFill>
        <a:blip r:embed="rId541" cstate="email"/>
        <a:stretch>
          <a:fillRect/>
        </a:stretch>
      </xdr:blipFill>
      <xdr:spPr>
        <a:xfrm>
          <a:off x="243840" y="398644110"/>
          <a:ext cx="0" cy="644525"/>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xdr:cNvPicPr>
          <a:picLocks noChangeAspect="1"/>
        </xdr:cNvPicPr>
      </xdr:nvPicPr>
      <xdr:blipFill>
        <a:blip r:embed="rId542" cstate="email"/>
        <a:stretch>
          <a:fillRect/>
        </a:stretch>
      </xdr:blipFill>
      <xdr:spPr>
        <a:xfrm>
          <a:off x="243840" y="399361660"/>
          <a:ext cx="0" cy="651510"/>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xdr:cNvPicPr>
          <a:picLocks noChangeAspect="1"/>
        </xdr:cNvPicPr>
      </xdr:nvPicPr>
      <xdr:blipFill>
        <a:blip r:embed="rId543" cstate="email"/>
        <a:stretch>
          <a:fillRect/>
        </a:stretch>
      </xdr:blipFill>
      <xdr:spPr>
        <a:xfrm>
          <a:off x="243840" y="400030950"/>
          <a:ext cx="0" cy="643890"/>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xdr:cNvPicPr>
          <a:picLocks noChangeAspect="1"/>
        </xdr:cNvPicPr>
      </xdr:nvPicPr>
      <xdr:blipFill>
        <a:blip r:embed="rId544" cstate="email"/>
        <a:stretch>
          <a:fillRect/>
        </a:stretch>
      </xdr:blipFill>
      <xdr:spPr>
        <a:xfrm>
          <a:off x="243840" y="400749135"/>
          <a:ext cx="0" cy="644525"/>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xdr:cNvPicPr>
          <a:picLocks noChangeAspect="1"/>
        </xdr:cNvPicPr>
      </xdr:nvPicPr>
      <xdr:blipFill>
        <a:blip r:embed="rId545" cstate="email"/>
        <a:stretch>
          <a:fillRect/>
        </a:stretch>
      </xdr:blipFill>
      <xdr:spPr>
        <a:xfrm>
          <a:off x="243840" y="412614110"/>
          <a:ext cx="0" cy="654050"/>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xdr:cNvPicPr>
          <a:picLocks noChangeAspect="1"/>
        </xdr:cNvPicPr>
      </xdr:nvPicPr>
      <xdr:blipFill>
        <a:blip r:embed="rId546" cstate="email"/>
        <a:stretch>
          <a:fillRect/>
        </a:stretch>
      </xdr:blipFill>
      <xdr:spPr>
        <a:xfrm>
          <a:off x="243840" y="413318325"/>
          <a:ext cx="0" cy="666115"/>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xdr:cNvPicPr>
          <a:picLocks noChangeAspect="1"/>
        </xdr:cNvPicPr>
      </xdr:nvPicPr>
      <xdr:blipFill>
        <a:blip r:embed="rId547" cstate="email"/>
        <a:stretch>
          <a:fillRect/>
        </a:stretch>
      </xdr:blipFill>
      <xdr:spPr>
        <a:xfrm>
          <a:off x="238760" y="414000950"/>
          <a:ext cx="5080" cy="664845"/>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xdr:cNvPicPr>
          <a:picLocks noChangeAspect="1"/>
        </xdr:cNvPicPr>
      </xdr:nvPicPr>
      <xdr:blipFill>
        <a:blip r:embed="rId548" cstate="email"/>
        <a:stretch>
          <a:fillRect/>
        </a:stretch>
      </xdr:blipFill>
      <xdr:spPr>
        <a:xfrm>
          <a:off x="243840" y="416814635"/>
          <a:ext cx="0" cy="596265"/>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xdr:cNvPicPr>
          <a:picLocks noChangeAspect="1"/>
        </xdr:cNvPicPr>
      </xdr:nvPicPr>
      <xdr:blipFill>
        <a:blip r:embed="rId549" cstate="email"/>
        <a:stretch>
          <a:fillRect/>
        </a:stretch>
      </xdr:blipFill>
      <xdr:spPr>
        <a:xfrm>
          <a:off x="189865" y="426554900"/>
          <a:ext cx="53975" cy="681355"/>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xdr:cNvPicPr>
          <a:picLocks noChangeAspect="1"/>
        </xdr:cNvPicPr>
      </xdr:nvPicPr>
      <xdr:blipFill>
        <a:blip r:embed="rId549" cstate="email"/>
        <a:stretch>
          <a:fillRect/>
        </a:stretch>
      </xdr:blipFill>
      <xdr:spPr>
        <a:xfrm>
          <a:off x="189865" y="427253400"/>
          <a:ext cx="53975" cy="681355"/>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xdr:cNvPicPr>
          <a:picLocks noChangeAspect="1"/>
        </xdr:cNvPicPr>
      </xdr:nvPicPr>
      <xdr:blipFill>
        <a:blip r:embed="rId550" cstate="email"/>
        <a:stretch>
          <a:fillRect/>
        </a:stretch>
      </xdr:blipFill>
      <xdr:spPr>
        <a:xfrm>
          <a:off x="243840" y="430095660"/>
          <a:ext cx="0" cy="652780"/>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xdr:cNvPicPr>
          <a:picLocks noChangeAspect="1"/>
        </xdr:cNvPicPr>
      </xdr:nvPicPr>
      <xdr:blipFill>
        <a:blip r:embed="rId551" cstate="email"/>
        <a:stretch>
          <a:fillRect/>
        </a:stretch>
      </xdr:blipFill>
      <xdr:spPr>
        <a:xfrm>
          <a:off x="243840" y="435654450"/>
          <a:ext cx="0" cy="680085"/>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xdr:cNvPicPr>
          <a:picLocks noChangeAspect="1"/>
        </xdr:cNvPicPr>
      </xdr:nvPicPr>
      <xdr:blipFill>
        <a:blip r:embed="rId552"/>
        <a:stretch>
          <a:fillRect/>
        </a:stretch>
      </xdr:blipFill>
      <xdr:spPr>
        <a:xfrm>
          <a:off x="243840" y="437730900"/>
          <a:ext cx="0" cy="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xdr:cNvPicPr>
          <a:picLocks noChangeAspect="1"/>
        </xdr:cNvPicPr>
      </xdr:nvPicPr>
      <xdr:blipFill>
        <a:blip r:embed="rId553" cstate="email"/>
        <a:stretch>
          <a:fillRect/>
        </a:stretch>
      </xdr:blipFill>
      <xdr:spPr>
        <a:xfrm>
          <a:off x="243840" y="410516705"/>
          <a:ext cx="0" cy="655955"/>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xdr:cNvPicPr>
          <a:picLocks noChangeAspect="1"/>
        </xdr:cNvPicPr>
      </xdr:nvPicPr>
      <xdr:blipFill>
        <a:blip r:embed="rId554" cstate="email"/>
        <a:stretch>
          <a:fillRect/>
        </a:stretch>
      </xdr:blipFill>
      <xdr:spPr>
        <a:xfrm>
          <a:off x="238760" y="439148855"/>
          <a:ext cx="5080" cy="680720"/>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xdr:cNvPicPr>
          <a:picLocks noChangeAspect="1"/>
        </xdr:cNvPicPr>
      </xdr:nvPicPr>
      <xdr:blipFill>
        <a:blip r:embed="rId555" cstate="email"/>
        <a:stretch>
          <a:fillRect/>
        </a:stretch>
      </xdr:blipFill>
      <xdr:spPr>
        <a:xfrm>
          <a:off x="243840" y="441244355"/>
          <a:ext cx="0" cy="678180"/>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xdr:cNvPicPr>
          <a:picLocks noChangeAspect="1"/>
        </xdr:cNvPicPr>
      </xdr:nvPicPr>
      <xdr:blipFill>
        <a:blip r:embed="rId556" cstate="email"/>
        <a:stretch>
          <a:fillRect/>
        </a:stretch>
      </xdr:blipFill>
      <xdr:spPr>
        <a:xfrm>
          <a:off x="243840" y="441953650"/>
          <a:ext cx="0" cy="653415"/>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xdr:cNvPicPr>
          <a:picLocks noChangeAspect="1"/>
        </xdr:cNvPicPr>
      </xdr:nvPicPr>
      <xdr:blipFill>
        <a:blip r:embed="rId557" cstate="email"/>
        <a:stretch>
          <a:fillRect/>
        </a:stretch>
      </xdr:blipFill>
      <xdr:spPr>
        <a:xfrm>
          <a:off x="194310" y="443318900"/>
          <a:ext cx="49530" cy="681355"/>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xdr:cNvPicPr>
          <a:picLocks noChangeAspect="1"/>
        </xdr:cNvPicPr>
      </xdr:nvPicPr>
      <xdr:blipFill>
        <a:blip r:embed="rId558" cstate="email"/>
        <a:stretch>
          <a:fillRect/>
        </a:stretch>
      </xdr:blipFill>
      <xdr:spPr>
        <a:xfrm>
          <a:off x="175260" y="444747650"/>
          <a:ext cx="68580" cy="648970"/>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xdr:cNvPicPr>
          <a:picLocks noChangeAspect="1"/>
        </xdr:cNvPicPr>
      </xdr:nvPicPr>
      <xdr:blipFill>
        <a:blip r:embed="rId559" cstate="email"/>
        <a:stretch>
          <a:fillRect/>
        </a:stretch>
      </xdr:blipFill>
      <xdr:spPr>
        <a:xfrm>
          <a:off x="196215" y="445435355"/>
          <a:ext cx="47625" cy="649605"/>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xdr:cNvPicPr>
          <a:picLocks noChangeAspect="1"/>
        </xdr:cNvPicPr>
      </xdr:nvPicPr>
      <xdr:blipFill>
        <a:blip r:embed="rId560" cstate="email"/>
        <a:stretch>
          <a:fillRect/>
        </a:stretch>
      </xdr:blipFill>
      <xdr:spPr>
        <a:xfrm>
          <a:off x="243840" y="446832355"/>
          <a:ext cx="0" cy="627380"/>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xdr:cNvPicPr>
          <a:picLocks noChangeAspect="1"/>
        </xdr:cNvPicPr>
      </xdr:nvPicPr>
      <xdr:blipFill>
        <a:blip r:embed="rId561" cstate="email"/>
        <a:stretch>
          <a:fillRect/>
        </a:stretch>
      </xdr:blipFill>
      <xdr:spPr>
        <a:xfrm>
          <a:off x="243840" y="447530855"/>
          <a:ext cx="0" cy="627380"/>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xdr:cNvPicPr>
          <a:picLocks noChangeAspect="1"/>
        </xdr:cNvPicPr>
      </xdr:nvPicPr>
      <xdr:blipFill>
        <a:blip r:embed="rId562" cstate="email"/>
        <a:stretch>
          <a:fillRect/>
        </a:stretch>
      </xdr:blipFill>
      <xdr:spPr>
        <a:xfrm>
          <a:off x="243840" y="448261740"/>
          <a:ext cx="0" cy="62928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xdr:cNvPicPr>
          <a:picLocks noChangeAspect="1"/>
        </xdr:cNvPicPr>
      </xdr:nvPicPr>
      <xdr:blipFill>
        <a:blip r:embed="rId563" cstate="email"/>
        <a:stretch>
          <a:fillRect/>
        </a:stretch>
      </xdr:blipFill>
      <xdr:spPr>
        <a:xfrm>
          <a:off x="175260" y="451721855"/>
          <a:ext cx="68580" cy="650875"/>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xdr:cNvPicPr>
          <a:picLocks noChangeAspect="1"/>
        </xdr:cNvPicPr>
      </xdr:nvPicPr>
      <xdr:blipFill>
        <a:blip r:embed="rId564" cstate="email"/>
        <a:stretch>
          <a:fillRect/>
        </a:stretch>
      </xdr:blipFill>
      <xdr:spPr>
        <a:xfrm>
          <a:off x="175260" y="454494900"/>
          <a:ext cx="68580" cy="664210"/>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xdr:cNvPicPr>
          <a:picLocks noChangeAspect="1"/>
        </xdr:cNvPicPr>
      </xdr:nvPicPr>
      <xdr:blipFill>
        <a:blip r:embed="rId565" cstate="email"/>
        <a:stretch>
          <a:fillRect/>
        </a:stretch>
      </xdr:blipFill>
      <xdr:spPr>
        <a:xfrm>
          <a:off x="207010" y="455902060"/>
          <a:ext cx="36830" cy="688340"/>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xdr:cNvPicPr>
          <a:picLocks noChangeAspect="1"/>
        </xdr:cNvPicPr>
      </xdr:nvPicPr>
      <xdr:blipFill>
        <a:blip r:embed="rId566" cstate="email"/>
        <a:stretch>
          <a:fillRect/>
        </a:stretch>
      </xdr:blipFill>
      <xdr:spPr>
        <a:xfrm>
          <a:off x="243840" y="458717650"/>
          <a:ext cx="0" cy="643255"/>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xdr:cNvPicPr>
          <a:picLocks noChangeAspect="1"/>
        </xdr:cNvPicPr>
      </xdr:nvPicPr>
      <xdr:blipFill>
        <a:blip r:embed="rId567" cstate="email"/>
        <a:stretch>
          <a:fillRect/>
        </a:stretch>
      </xdr:blipFill>
      <xdr:spPr>
        <a:xfrm>
          <a:off x="238760" y="459437740"/>
          <a:ext cx="5080" cy="611505"/>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xdr:cNvPicPr>
          <a:picLocks noChangeAspect="1"/>
        </xdr:cNvPicPr>
      </xdr:nvPicPr>
      <xdr:blipFill>
        <a:blip r:embed="rId568" cstate="email"/>
        <a:stretch>
          <a:fillRect/>
        </a:stretch>
      </xdr:blipFill>
      <xdr:spPr>
        <a:xfrm>
          <a:off x="175260" y="460103855"/>
          <a:ext cx="68580" cy="687705"/>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xdr:cNvPicPr>
          <a:picLocks noChangeAspect="1"/>
        </xdr:cNvPicPr>
      </xdr:nvPicPr>
      <xdr:blipFill>
        <a:blip r:embed="rId569" cstate="email"/>
        <a:stretch>
          <a:fillRect/>
        </a:stretch>
      </xdr:blipFill>
      <xdr:spPr>
        <a:xfrm>
          <a:off x="196215" y="470583260"/>
          <a:ext cx="47625" cy="671830"/>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xdr:cNvPicPr>
          <a:picLocks noChangeAspect="1"/>
        </xdr:cNvPicPr>
      </xdr:nvPicPr>
      <xdr:blipFill>
        <a:blip r:embed="rId570" cstate="email"/>
        <a:stretch>
          <a:fillRect/>
        </a:stretch>
      </xdr:blipFill>
      <xdr:spPr>
        <a:xfrm>
          <a:off x="243840" y="472010740"/>
          <a:ext cx="0" cy="602615"/>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xdr:cNvPicPr>
          <a:picLocks noChangeAspect="1"/>
        </xdr:cNvPicPr>
      </xdr:nvPicPr>
      <xdr:blipFill>
        <a:blip r:embed="rId571" cstate="email"/>
        <a:stretch>
          <a:fillRect/>
        </a:stretch>
      </xdr:blipFill>
      <xdr:spPr>
        <a:xfrm>
          <a:off x="238760" y="472709240"/>
          <a:ext cx="5080" cy="602615"/>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xdr:cNvPicPr>
          <a:picLocks noChangeAspect="1"/>
        </xdr:cNvPicPr>
      </xdr:nvPicPr>
      <xdr:blipFill>
        <a:blip r:embed="rId572" cstate="email"/>
        <a:stretch>
          <a:fillRect/>
        </a:stretch>
      </xdr:blipFill>
      <xdr:spPr>
        <a:xfrm>
          <a:off x="196215" y="473407740"/>
          <a:ext cx="47625" cy="61658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xdr:cNvPicPr>
          <a:picLocks noChangeAspect="1"/>
        </xdr:cNvPicPr>
      </xdr:nvPicPr>
      <xdr:blipFill>
        <a:blip r:embed="rId573" cstate="email"/>
        <a:stretch>
          <a:fillRect/>
        </a:stretch>
      </xdr:blipFill>
      <xdr:spPr>
        <a:xfrm>
          <a:off x="238760" y="474095445"/>
          <a:ext cx="5080" cy="617220"/>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xdr:cNvPicPr>
          <a:picLocks noChangeAspect="1"/>
        </xdr:cNvPicPr>
      </xdr:nvPicPr>
      <xdr:blipFill>
        <a:blip r:embed="rId574" cstate="email"/>
        <a:stretch>
          <a:fillRect/>
        </a:stretch>
      </xdr:blipFill>
      <xdr:spPr>
        <a:xfrm>
          <a:off x="243840" y="474804740"/>
          <a:ext cx="0" cy="618490"/>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xdr:cNvPicPr>
          <a:picLocks noChangeAspect="1"/>
        </xdr:cNvPicPr>
      </xdr:nvPicPr>
      <xdr:blipFill>
        <a:blip r:embed="rId574" cstate="email"/>
        <a:stretch>
          <a:fillRect/>
        </a:stretch>
      </xdr:blipFill>
      <xdr:spPr>
        <a:xfrm>
          <a:off x="243840" y="475492445"/>
          <a:ext cx="0" cy="619125"/>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xdr:cNvPicPr>
          <a:picLocks noChangeAspect="1"/>
        </xdr:cNvPicPr>
      </xdr:nvPicPr>
      <xdr:blipFill>
        <a:blip r:embed="rId575" cstate="email"/>
        <a:stretch>
          <a:fillRect/>
        </a:stretch>
      </xdr:blipFill>
      <xdr:spPr>
        <a:xfrm>
          <a:off x="243840" y="476180150"/>
          <a:ext cx="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xdr:cNvPicPr>
          <a:picLocks noChangeAspect="1"/>
        </xdr:cNvPicPr>
      </xdr:nvPicPr>
      <xdr:blipFill>
        <a:blip r:embed="rId576" cstate="email"/>
        <a:stretch>
          <a:fillRect/>
        </a:stretch>
      </xdr:blipFill>
      <xdr:spPr>
        <a:xfrm>
          <a:off x="243840" y="476878650"/>
          <a:ext cx="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xdr:cNvPicPr>
          <a:picLocks noChangeAspect="1"/>
        </xdr:cNvPicPr>
      </xdr:nvPicPr>
      <xdr:blipFill>
        <a:blip r:embed="rId577" cstate="email"/>
        <a:stretch>
          <a:fillRect/>
        </a:stretch>
      </xdr:blipFill>
      <xdr:spPr>
        <a:xfrm>
          <a:off x="243840" y="481069650"/>
          <a:ext cx="0" cy="640080"/>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xdr:cNvPicPr>
          <a:picLocks noChangeAspect="1"/>
        </xdr:cNvPicPr>
      </xdr:nvPicPr>
      <xdr:blipFill>
        <a:blip r:embed="rId578" cstate="email"/>
        <a:stretch>
          <a:fillRect/>
        </a:stretch>
      </xdr:blipFill>
      <xdr:spPr>
        <a:xfrm>
          <a:off x="243840" y="480360355"/>
          <a:ext cx="0" cy="659765"/>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xdr:cNvPicPr>
          <a:picLocks noChangeAspect="1"/>
        </xdr:cNvPicPr>
      </xdr:nvPicPr>
      <xdr:blipFill>
        <a:blip r:embed="rId579" cstate="email"/>
        <a:stretch>
          <a:fillRect/>
        </a:stretch>
      </xdr:blipFill>
      <xdr:spPr>
        <a:xfrm>
          <a:off x="243840" y="483852855"/>
          <a:ext cx="0" cy="662305"/>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xdr:cNvPicPr>
          <a:picLocks noChangeAspect="1"/>
        </xdr:cNvPicPr>
      </xdr:nvPicPr>
      <xdr:blipFill>
        <a:blip r:embed="rId580" cstate="email"/>
        <a:stretch>
          <a:fillRect/>
        </a:stretch>
      </xdr:blipFill>
      <xdr:spPr>
        <a:xfrm>
          <a:off x="243840" y="484540560"/>
          <a:ext cx="0" cy="64071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xdr:cNvPicPr>
          <a:picLocks noChangeAspect="1"/>
        </xdr:cNvPicPr>
      </xdr:nvPicPr>
      <xdr:blipFill>
        <a:blip r:embed="rId580" cstate="email"/>
        <a:stretch>
          <a:fillRect/>
        </a:stretch>
      </xdr:blipFill>
      <xdr:spPr>
        <a:xfrm>
          <a:off x="243840" y="485253030"/>
          <a:ext cx="0" cy="640080"/>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xdr:cNvPicPr>
          <a:picLocks noChangeAspect="1"/>
        </xdr:cNvPicPr>
      </xdr:nvPicPr>
      <xdr:blipFill>
        <a:blip r:embed="rId581" cstate="email"/>
        <a:stretch>
          <a:fillRect/>
        </a:stretch>
      </xdr:blipFill>
      <xdr:spPr>
        <a:xfrm>
          <a:off x="243840" y="485962960"/>
          <a:ext cx="0" cy="632460"/>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xdr:cNvPicPr>
          <a:picLocks noChangeAspect="1"/>
        </xdr:cNvPicPr>
      </xdr:nvPicPr>
      <xdr:blipFill>
        <a:blip r:embed="rId582" cstate="email"/>
        <a:stretch>
          <a:fillRect/>
        </a:stretch>
      </xdr:blipFill>
      <xdr:spPr>
        <a:xfrm>
          <a:off x="164465" y="487356150"/>
          <a:ext cx="79375" cy="666750"/>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xdr:cNvPicPr>
          <a:picLocks noChangeAspect="1"/>
        </xdr:cNvPicPr>
      </xdr:nvPicPr>
      <xdr:blipFill>
        <a:blip r:embed="rId582" cstate="email"/>
        <a:stretch>
          <a:fillRect/>
        </a:stretch>
      </xdr:blipFill>
      <xdr:spPr>
        <a:xfrm>
          <a:off x="217805" y="488054650"/>
          <a:ext cx="26035" cy="666750"/>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xdr:cNvPicPr>
          <a:picLocks noChangeAspect="1"/>
        </xdr:cNvPicPr>
      </xdr:nvPicPr>
      <xdr:blipFill>
        <a:blip r:embed="rId583" cstate="email"/>
        <a:stretch>
          <a:fillRect/>
        </a:stretch>
      </xdr:blipFill>
      <xdr:spPr>
        <a:xfrm>
          <a:off x="243840" y="488774740"/>
          <a:ext cx="0" cy="629285"/>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xdr:cNvPicPr>
          <a:picLocks noChangeAspect="1"/>
        </xdr:cNvPicPr>
      </xdr:nvPicPr>
      <xdr:blipFill>
        <a:blip r:embed="rId583" cstate="email"/>
        <a:stretch>
          <a:fillRect/>
        </a:stretch>
      </xdr:blipFill>
      <xdr:spPr>
        <a:xfrm>
          <a:off x="243840" y="489462445"/>
          <a:ext cx="0" cy="629285"/>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xdr:cNvPicPr>
          <a:picLocks noChangeAspect="1"/>
        </xdr:cNvPicPr>
      </xdr:nvPicPr>
      <xdr:blipFill>
        <a:blip r:embed="rId584" cstate="email"/>
        <a:stretch>
          <a:fillRect/>
        </a:stretch>
      </xdr:blipFill>
      <xdr:spPr>
        <a:xfrm>
          <a:off x="228600" y="490171740"/>
          <a:ext cx="15240" cy="653415"/>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xdr:cNvPicPr>
          <a:picLocks noChangeAspect="1"/>
        </xdr:cNvPicPr>
      </xdr:nvPicPr>
      <xdr:blipFill>
        <a:blip r:embed="rId585" cstate="email"/>
        <a:stretch>
          <a:fillRect/>
        </a:stretch>
      </xdr:blipFill>
      <xdr:spPr>
        <a:xfrm>
          <a:off x="243840" y="490861985"/>
          <a:ext cx="0" cy="654050"/>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xdr:cNvPicPr>
          <a:picLocks noChangeAspect="1"/>
        </xdr:cNvPicPr>
      </xdr:nvPicPr>
      <xdr:blipFill>
        <a:blip r:embed="rId586" cstate="email"/>
        <a:stretch>
          <a:fillRect/>
        </a:stretch>
      </xdr:blipFill>
      <xdr:spPr>
        <a:xfrm>
          <a:off x="243840" y="492922560"/>
          <a:ext cx="0" cy="662305"/>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xdr:cNvPicPr>
          <a:picLocks noChangeAspect="1"/>
        </xdr:cNvPicPr>
      </xdr:nvPicPr>
      <xdr:blipFill>
        <a:blip r:embed="rId587" cstate="email"/>
        <a:stretch>
          <a:fillRect/>
        </a:stretch>
      </xdr:blipFill>
      <xdr:spPr>
        <a:xfrm>
          <a:off x="217805" y="494330355"/>
          <a:ext cx="26035" cy="662940"/>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xdr:cNvPicPr>
          <a:picLocks noChangeAspect="1"/>
        </xdr:cNvPicPr>
      </xdr:nvPicPr>
      <xdr:blipFill>
        <a:blip r:embed="rId587" cstate="email"/>
        <a:stretch>
          <a:fillRect/>
        </a:stretch>
      </xdr:blipFill>
      <xdr:spPr>
        <a:xfrm>
          <a:off x="238760" y="495028855"/>
          <a:ext cx="5080" cy="662940"/>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xdr:cNvPicPr>
          <a:picLocks noChangeAspect="1"/>
        </xdr:cNvPicPr>
      </xdr:nvPicPr>
      <xdr:blipFill>
        <a:blip r:embed="rId588" cstate="email"/>
        <a:stretch>
          <a:fillRect/>
        </a:stretch>
      </xdr:blipFill>
      <xdr:spPr>
        <a:xfrm>
          <a:off x="243840" y="495727355"/>
          <a:ext cx="0" cy="639445"/>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xdr:cNvPicPr>
          <a:picLocks noChangeAspect="1"/>
        </xdr:cNvPicPr>
      </xdr:nvPicPr>
      <xdr:blipFill>
        <a:blip r:embed="rId588" cstate="email"/>
        <a:stretch>
          <a:fillRect/>
        </a:stretch>
      </xdr:blipFill>
      <xdr:spPr>
        <a:xfrm>
          <a:off x="243840" y="496458240"/>
          <a:ext cx="0" cy="638810"/>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xdr:cNvPicPr>
          <a:picLocks noChangeAspect="1"/>
        </xdr:cNvPicPr>
      </xdr:nvPicPr>
      <xdr:blipFill>
        <a:blip r:embed="rId589" cstate="email"/>
        <a:stretch>
          <a:fillRect/>
        </a:stretch>
      </xdr:blipFill>
      <xdr:spPr>
        <a:xfrm>
          <a:off x="243840" y="498510560"/>
          <a:ext cx="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xdr:cNvPicPr>
          <a:picLocks noChangeAspect="1"/>
        </xdr:cNvPicPr>
      </xdr:nvPicPr>
      <xdr:blipFill>
        <a:blip r:embed="rId590" cstate="email"/>
        <a:stretch>
          <a:fillRect/>
        </a:stretch>
      </xdr:blipFill>
      <xdr:spPr>
        <a:xfrm>
          <a:off x="243840" y="499219855"/>
          <a:ext cx="0" cy="678180"/>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xdr:cNvPicPr>
          <a:picLocks noChangeAspect="1"/>
        </xdr:cNvPicPr>
      </xdr:nvPicPr>
      <xdr:blipFill>
        <a:blip r:embed="rId589" cstate="email"/>
        <a:stretch>
          <a:fillRect/>
        </a:stretch>
      </xdr:blipFill>
      <xdr:spPr>
        <a:xfrm>
          <a:off x="243840" y="499920260"/>
          <a:ext cx="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xdr:cNvPicPr>
          <a:picLocks noChangeAspect="1"/>
        </xdr:cNvPicPr>
      </xdr:nvPicPr>
      <xdr:blipFill>
        <a:blip r:embed="rId591" cstate="email"/>
        <a:stretch>
          <a:fillRect/>
        </a:stretch>
      </xdr:blipFill>
      <xdr:spPr>
        <a:xfrm>
          <a:off x="243840" y="500616855"/>
          <a:ext cx="0" cy="66167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xdr:cNvPicPr>
          <a:picLocks noChangeAspect="1"/>
        </xdr:cNvPicPr>
      </xdr:nvPicPr>
      <xdr:blipFill>
        <a:blip r:embed="rId592" cstate="email"/>
        <a:stretch>
          <a:fillRect/>
        </a:stretch>
      </xdr:blipFill>
      <xdr:spPr>
        <a:xfrm>
          <a:off x="243840" y="501331230"/>
          <a:ext cx="0" cy="66167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xdr:cNvPicPr>
          <a:picLocks noChangeAspect="1"/>
        </xdr:cNvPicPr>
      </xdr:nvPicPr>
      <xdr:blipFill>
        <a:blip r:embed="rId592" cstate="email"/>
        <a:stretch>
          <a:fillRect/>
        </a:stretch>
      </xdr:blipFill>
      <xdr:spPr>
        <a:xfrm>
          <a:off x="243840" y="502030365"/>
          <a:ext cx="0" cy="666750"/>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xdr:cNvPicPr>
          <a:picLocks noChangeAspect="1"/>
        </xdr:cNvPicPr>
      </xdr:nvPicPr>
      <xdr:blipFill>
        <a:blip r:embed="rId593" cstate="email"/>
        <a:stretch>
          <a:fillRect/>
        </a:stretch>
      </xdr:blipFill>
      <xdr:spPr>
        <a:xfrm>
          <a:off x="243840" y="551639740"/>
          <a:ext cx="0" cy="581025"/>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xdr:cNvPicPr>
          <a:picLocks noChangeAspect="1"/>
        </xdr:cNvPicPr>
      </xdr:nvPicPr>
      <xdr:blipFill>
        <a:blip r:embed="rId593" cstate="email"/>
        <a:stretch>
          <a:fillRect/>
        </a:stretch>
      </xdr:blipFill>
      <xdr:spPr>
        <a:xfrm>
          <a:off x="243840" y="552327445"/>
          <a:ext cx="0" cy="581025"/>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xdr:cNvPicPr>
          <a:picLocks noChangeAspect="1"/>
        </xdr:cNvPicPr>
      </xdr:nvPicPr>
      <xdr:blipFill>
        <a:blip r:embed="rId594" cstate="email"/>
        <a:stretch>
          <a:fillRect/>
        </a:stretch>
      </xdr:blipFill>
      <xdr:spPr>
        <a:xfrm>
          <a:off x="243840" y="553015150"/>
          <a:ext cx="0" cy="666750"/>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xdr:cNvPicPr>
          <a:picLocks noChangeAspect="1"/>
        </xdr:cNvPicPr>
      </xdr:nvPicPr>
      <xdr:blipFill>
        <a:blip r:embed="rId595" cstate="email"/>
        <a:stretch>
          <a:fillRect/>
        </a:stretch>
      </xdr:blipFill>
      <xdr:spPr>
        <a:xfrm>
          <a:off x="243840" y="553735240"/>
          <a:ext cx="0" cy="618490"/>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xdr:cNvPicPr>
          <a:picLocks noChangeAspect="1"/>
        </xdr:cNvPicPr>
      </xdr:nvPicPr>
      <xdr:blipFill>
        <a:blip r:embed="rId596" cstate="email"/>
        <a:stretch>
          <a:fillRect/>
        </a:stretch>
      </xdr:blipFill>
      <xdr:spPr>
        <a:xfrm>
          <a:off x="243840" y="554412150"/>
          <a:ext cx="0" cy="650875"/>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xdr:cNvPicPr>
          <a:picLocks noChangeAspect="1"/>
        </xdr:cNvPicPr>
      </xdr:nvPicPr>
      <xdr:blipFill>
        <a:blip r:embed="rId596" cstate="email"/>
        <a:stretch>
          <a:fillRect/>
        </a:stretch>
      </xdr:blipFill>
      <xdr:spPr>
        <a:xfrm>
          <a:off x="243840" y="555099855"/>
          <a:ext cx="0" cy="650875"/>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xdr:cNvPicPr>
          <a:picLocks noChangeAspect="1"/>
        </xdr:cNvPicPr>
      </xdr:nvPicPr>
      <xdr:blipFill>
        <a:blip r:embed="rId597" cstate="email"/>
        <a:stretch>
          <a:fillRect/>
        </a:stretch>
      </xdr:blipFill>
      <xdr:spPr>
        <a:xfrm>
          <a:off x="243840" y="555819945"/>
          <a:ext cx="0" cy="640080"/>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xdr:cNvPicPr>
          <a:picLocks noChangeAspect="1"/>
        </xdr:cNvPicPr>
      </xdr:nvPicPr>
      <xdr:blipFill>
        <a:blip r:embed="rId598" cstate="email"/>
        <a:stretch>
          <a:fillRect/>
        </a:stretch>
      </xdr:blipFill>
      <xdr:spPr>
        <a:xfrm>
          <a:off x="243840" y="556529240"/>
          <a:ext cx="0" cy="64516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xdr:cNvPicPr>
          <a:picLocks noChangeAspect="1"/>
        </xdr:cNvPicPr>
      </xdr:nvPicPr>
      <xdr:blipFill>
        <a:blip r:embed="rId599" cstate="email"/>
        <a:stretch>
          <a:fillRect/>
        </a:stretch>
      </xdr:blipFill>
      <xdr:spPr>
        <a:xfrm>
          <a:off x="243840" y="557227740"/>
          <a:ext cx="0" cy="649605"/>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xdr:cNvPicPr>
          <a:picLocks noChangeAspect="1"/>
        </xdr:cNvPicPr>
      </xdr:nvPicPr>
      <xdr:blipFill>
        <a:blip r:embed="rId600" cstate="email"/>
        <a:stretch>
          <a:fillRect/>
        </a:stretch>
      </xdr:blipFill>
      <xdr:spPr>
        <a:xfrm>
          <a:off x="243840" y="558590450"/>
          <a:ext cx="0" cy="626745"/>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xdr:cNvPicPr>
          <a:picLocks noChangeAspect="1"/>
        </xdr:cNvPicPr>
      </xdr:nvPicPr>
      <xdr:blipFill>
        <a:blip r:embed="rId601" cstate="email"/>
        <a:stretch>
          <a:fillRect/>
        </a:stretch>
      </xdr:blipFill>
      <xdr:spPr>
        <a:xfrm>
          <a:off x="243840" y="580278875"/>
          <a:ext cx="0" cy="600710"/>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xdr:cNvPicPr>
          <a:picLocks noChangeAspect="1"/>
        </xdr:cNvPicPr>
      </xdr:nvPicPr>
      <xdr:blipFill>
        <a:blip r:embed="rId602" cstate="email"/>
        <a:stretch>
          <a:fillRect/>
        </a:stretch>
      </xdr:blipFill>
      <xdr:spPr>
        <a:xfrm>
          <a:off x="243840" y="583082400"/>
          <a:ext cx="0" cy="570230"/>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xdr:cNvPicPr>
          <a:picLocks noChangeAspect="1"/>
        </xdr:cNvPicPr>
      </xdr:nvPicPr>
      <xdr:blipFill>
        <a:blip r:embed="rId603" cstate="email"/>
        <a:stretch>
          <a:fillRect/>
        </a:stretch>
      </xdr:blipFill>
      <xdr:spPr>
        <a:xfrm>
          <a:off x="243840" y="593540215"/>
          <a:ext cx="0" cy="642620"/>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xdr:cNvPicPr>
          <a:picLocks noChangeAspect="1"/>
        </xdr:cNvPicPr>
      </xdr:nvPicPr>
      <xdr:blipFill>
        <a:blip r:embed="rId603" cstate="email"/>
        <a:stretch>
          <a:fillRect/>
        </a:stretch>
      </xdr:blipFill>
      <xdr:spPr>
        <a:xfrm>
          <a:off x="243840" y="594215855"/>
          <a:ext cx="0" cy="643255"/>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xdr:cNvPicPr>
          <a:picLocks noChangeAspect="1"/>
        </xdr:cNvPicPr>
      </xdr:nvPicPr>
      <xdr:blipFill>
        <a:blip r:embed="rId604" cstate="email"/>
        <a:stretch>
          <a:fillRect/>
        </a:stretch>
      </xdr:blipFill>
      <xdr:spPr>
        <a:xfrm>
          <a:off x="243840" y="594935945"/>
          <a:ext cx="0" cy="635000"/>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xdr:cNvPicPr>
          <a:picLocks noChangeAspect="1"/>
        </xdr:cNvPicPr>
      </xdr:nvPicPr>
      <xdr:blipFill>
        <a:blip r:embed="rId605" cstate="email"/>
        <a:stretch>
          <a:fillRect/>
        </a:stretch>
      </xdr:blipFill>
      <xdr:spPr>
        <a:xfrm>
          <a:off x="217805" y="595634445"/>
          <a:ext cx="26035" cy="643255"/>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xdr:cNvPicPr>
          <a:picLocks noChangeAspect="1"/>
        </xdr:cNvPicPr>
      </xdr:nvPicPr>
      <xdr:blipFill>
        <a:blip r:embed="rId606" cstate="email"/>
        <a:stretch>
          <a:fillRect/>
        </a:stretch>
      </xdr:blipFill>
      <xdr:spPr>
        <a:xfrm>
          <a:off x="224155" y="596999060"/>
          <a:ext cx="19685" cy="622300"/>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xdr:cNvPicPr>
          <a:picLocks noChangeAspect="1"/>
        </xdr:cNvPicPr>
      </xdr:nvPicPr>
      <xdr:blipFill>
        <a:blip r:embed="rId607" cstate="email"/>
        <a:stretch>
          <a:fillRect/>
        </a:stretch>
      </xdr:blipFill>
      <xdr:spPr>
        <a:xfrm>
          <a:off x="121920" y="597750900"/>
          <a:ext cx="121920" cy="608330"/>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xdr:cNvPicPr>
          <a:picLocks noChangeAspect="1"/>
        </xdr:cNvPicPr>
      </xdr:nvPicPr>
      <xdr:blipFill>
        <a:blip r:embed="rId608" cstate="email"/>
        <a:stretch>
          <a:fillRect/>
        </a:stretch>
      </xdr:blipFill>
      <xdr:spPr>
        <a:xfrm>
          <a:off x="201295" y="599091385"/>
          <a:ext cx="42545" cy="64643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xdr:cNvPicPr>
          <a:picLocks noChangeAspect="1"/>
        </xdr:cNvPicPr>
      </xdr:nvPicPr>
      <xdr:blipFill>
        <a:blip r:embed="rId609" cstate="email"/>
        <a:stretch>
          <a:fillRect/>
        </a:stretch>
      </xdr:blipFill>
      <xdr:spPr>
        <a:xfrm>
          <a:off x="243840" y="449637150"/>
          <a:ext cx="0" cy="640080"/>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xdr:cNvPicPr>
          <a:picLocks noChangeAspect="1"/>
        </xdr:cNvPicPr>
      </xdr:nvPicPr>
      <xdr:blipFill>
        <a:blip r:embed="rId610" cstate="email"/>
        <a:stretch>
          <a:fillRect/>
        </a:stretch>
      </xdr:blipFill>
      <xdr:spPr>
        <a:xfrm>
          <a:off x="207010" y="511808730"/>
          <a:ext cx="36830" cy="661670"/>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xdr:cNvPicPr>
          <a:picLocks noChangeAspect="1"/>
        </xdr:cNvPicPr>
      </xdr:nvPicPr>
      <xdr:blipFill>
        <a:blip r:embed="rId611" cstate="email"/>
        <a:stretch>
          <a:fillRect/>
        </a:stretch>
      </xdr:blipFill>
      <xdr:spPr>
        <a:xfrm>
          <a:off x="243840" y="511105150"/>
          <a:ext cx="0" cy="650875"/>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xdr:cNvPicPr>
          <a:picLocks noChangeAspect="1"/>
        </xdr:cNvPicPr>
      </xdr:nvPicPr>
      <xdr:blipFill>
        <a:blip r:embed="rId612" cstate="email"/>
        <a:stretch>
          <a:fillRect/>
        </a:stretch>
      </xdr:blipFill>
      <xdr:spPr>
        <a:xfrm>
          <a:off x="243840" y="510369820"/>
          <a:ext cx="0" cy="655955"/>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xdr:cNvPicPr>
          <a:picLocks noChangeAspect="1"/>
        </xdr:cNvPicPr>
      </xdr:nvPicPr>
      <xdr:blipFill>
        <a:blip r:embed="rId611" cstate="email"/>
        <a:stretch>
          <a:fillRect/>
        </a:stretch>
      </xdr:blipFill>
      <xdr:spPr>
        <a:xfrm>
          <a:off x="243840" y="509708150"/>
          <a:ext cx="0" cy="650875"/>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xdr:cNvPicPr>
          <a:picLocks noChangeAspect="1"/>
        </xdr:cNvPicPr>
      </xdr:nvPicPr>
      <xdr:blipFill>
        <a:blip r:embed="rId611" cstate="email"/>
        <a:stretch>
          <a:fillRect/>
        </a:stretch>
      </xdr:blipFill>
      <xdr:spPr>
        <a:xfrm>
          <a:off x="243840" y="509009650"/>
          <a:ext cx="0" cy="650875"/>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xdr:cNvPicPr>
          <a:picLocks noChangeAspect="1"/>
        </xdr:cNvPicPr>
      </xdr:nvPicPr>
      <xdr:blipFill>
        <a:blip r:embed="rId613" cstate="email"/>
        <a:stretch>
          <a:fillRect/>
        </a:stretch>
      </xdr:blipFill>
      <xdr:spPr>
        <a:xfrm>
          <a:off x="243840" y="508311150"/>
          <a:ext cx="0" cy="629920"/>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xdr:cNvPicPr>
          <a:picLocks noChangeAspect="1"/>
        </xdr:cNvPicPr>
      </xdr:nvPicPr>
      <xdr:blipFill>
        <a:blip r:embed="rId613" cstate="email"/>
        <a:stretch>
          <a:fillRect/>
        </a:stretch>
      </xdr:blipFill>
      <xdr:spPr>
        <a:xfrm>
          <a:off x="243840" y="507636780"/>
          <a:ext cx="0" cy="629920"/>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xdr:cNvPicPr>
          <a:picLocks noChangeAspect="1"/>
        </xdr:cNvPicPr>
      </xdr:nvPicPr>
      <xdr:blipFill>
        <a:blip r:embed="rId613" cstate="email"/>
        <a:stretch>
          <a:fillRect/>
        </a:stretch>
      </xdr:blipFill>
      <xdr:spPr>
        <a:xfrm>
          <a:off x="243840" y="506909705"/>
          <a:ext cx="0" cy="629285"/>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xdr:cNvPicPr>
          <a:picLocks noChangeAspect="1"/>
        </xdr:cNvPicPr>
      </xdr:nvPicPr>
      <xdr:blipFill>
        <a:blip r:embed="rId614" cstate="email"/>
        <a:stretch>
          <a:fillRect/>
        </a:stretch>
      </xdr:blipFill>
      <xdr:spPr>
        <a:xfrm>
          <a:off x="243840" y="608884355"/>
          <a:ext cx="0" cy="647065"/>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xdr:cNvPicPr>
          <a:picLocks noChangeAspect="1"/>
        </xdr:cNvPicPr>
      </xdr:nvPicPr>
      <xdr:blipFill>
        <a:blip r:embed="rId614" cstate="email"/>
        <a:stretch>
          <a:fillRect/>
        </a:stretch>
      </xdr:blipFill>
      <xdr:spPr>
        <a:xfrm>
          <a:off x="243840" y="609596825"/>
          <a:ext cx="0" cy="646430"/>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xdr:cNvPicPr>
          <a:picLocks noChangeAspect="1"/>
        </xdr:cNvPicPr>
      </xdr:nvPicPr>
      <xdr:blipFill>
        <a:blip r:embed="rId615" cstate="email"/>
        <a:stretch>
          <a:fillRect/>
        </a:stretch>
      </xdr:blipFill>
      <xdr:spPr>
        <a:xfrm>
          <a:off x="243840" y="613096945"/>
          <a:ext cx="0" cy="608330"/>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xdr:cNvPicPr>
          <a:picLocks noChangeAspect="1"/>
        </xdr:cNvPicPr>
      </xdr:nvPicPr>
      <xdr:blipFill>
        <a:blip r:embed="rId615" cstate="email"/>
        <a:stretch>
          <a:fillRect/>
        </a:stretch>
      </xdr:blipFill>
      <xdr:spPr>
        <a:xfrm>
          <a:off x="243840" y="613784650"/>
          <a:ext cx="0" cy="608330"/>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xdr:cNvPicPr>
          <a:picLocks noChangeAspect="1"/>
        </xdr:cNvPicPr>
      </xdr:nvPicPr>
      <xdr:blipFill>
        <a:blip r:embed="rId616" cstate="email"/>
        <a:stretch>
          <a:fillRect/>
        </a:stretch>
      </xdr:blipFill>
      <xdr:spPr>
        <a:xfrm>
          <a:off x="243840" y="599807665"/>
          <a:ext cx="0" cy="646430"/>
        </a:xfrm>
        <a:prstGeom prst="rect">
          <a:avLst/>
        </a:prstGeom>
      </xdr:spPr>
    </xdr:pic>
    <xdr:clientData/>
  </xdr:twoCellAnchor>
  <xdr:twoCellAnchor editAs="oneCell">
    <xdr:from>
      <xdr:col>1</xdr:col>
      <xdr:colOff>191697</xdr:colOff>
      <xdr:row>882</xdr:row>
      <xdr:rowOff>23962</xdr:rowOff>
    </xdr:from>
    <xdr:to>
      <xdr:col>2</xdr:col>
      <xdr:colOff>69777</xdr:colOff>
      <xdr:row>883</xdr:row>
      <xdr:rowOff>0</xdr:rowOff>
    </xdr:to>
    <xdr:pic>
      <xdr:nvPicPr>
        <xdr:cNvPr id="759" name="Picture 758"/>
        <xdr:cNvPicPr>
          <a:picLocks noChangeAspect="1"/>
        </xdr:cNvPicPr>
      </xdr:nvPicPr>
      <xdr:blipFill>
        <a:blip r:embed="rId617" cstate="email"/>
        <a:stretch>
          <a:fillRect/>
        </a:stretch>
      </xdr:blipFill>
      <xdr:spPr>
        <a:xfrm>
          <a:off x="243840" y="615871895"/>
          <a:ext cx="69215" cy="67500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xdr:cNvPicPr>
          <a:picLocks noChangeAspect="1"/>
        </xdr:cNvPicPr>
      </xdr:nvPicPr>
      <xdr:blipFill>
        <a:blip r:embed="rId618" cstate="email"/>
        <a:stretch>
          <a:fillRect/>
        </a:stretch>
      </xdr:blipFill>
      <xdr:spPr>
        <a:xfrm>
          <a:off x="243840" y="592833460"/>
          <a:ext cx="0" cy="586740"/>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xdr:cNvPicPr>
          <a:picLocks noChangeAspect="1"/>
        </xdr:cNvPicPr>
      </xdr:nvPicPr>
      <xdr:blipFill>
        <a:blip r:embed="rId619" cstate="email"/>
        <a:stretch>
          <a:fillRect/>
        </a:stretch>
      </xdr:blipFill>
      <xdr:spPr>
        <a:xfrm>
          <a:off x="243840" y="592110830"/>
          <a:ext cx="0" cy="671195"/>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xdr:cNvPicPr>
          <a:picLocks noChangeAspect="1"/>
        </xdr:cNvPicPr>
      </xdr:nvPicPr>
      <xdr:blipFill>
        <a:blip r:embed="rId620" cstate="email"/>
        <a:stretch>
          <a:fillRect/>
        </a:stretch>
      </xdr:blipFill>
      <xdr:spPr>
        <a:xfrm>
          <a:off x="243840" y="617313345"/>
          <a:ext cx="0" cy="586740"/>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xdr:cNvPicPr>
          <a:picLocks noChangeAspect="1"/>
        </xdr:cNvPicPr>
      </xdr:nvPicPr>
      <xdr:blipFill>
        <a:blip r:embed="rId620" cstate="email"/>
        <a:stretch>
          <a:fillRect/>
        </a:stretch>
      </xdr:blipFill>
      <xdr:spPr>
        <a:xfrm>
          <a:off x="243840" y="617996605"/>
          <a:ext cx="0" cy="586740"/>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xdr:cNvPicPr>
          <a:picLocks noChangeAspect="1"/>
        </xdr:cNvPicPr>
      </xdr:nvPicPr>
      <xdr:blipFill>
        <a:blip r:embed="rId620" cstate="email"/>
        <a:stretch>
          <a:fillRect/>
        </a:stretch>
      </xdr:blipFill>
      <xdr:spPr>
        <a:xfrm>
          <a:off x="243840" y="618703995"/>
          <a:ext cx="0" cy="586740"/>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xdr:cNvPicPr>
          <a:picLocks noChangeAspect="1"/>
        </xdr:cNvPicPr>
      </xdr:nvPicPr>
      <xdr:blipFill>
        <a:blip r:embed="rId620" cstate="email"/>
        <a:stretch>
          <a:fillRect/>
        </a:stretch>
      </xdr:blipFill>
      <xdr:spPr>
        <a:xfrm>
          <a:off x="243840" y="619375190"/>
          <a:ext cx="0" cy="586740"/>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xdr:cNvPicPr>
          <a:picLocks noChangeAspect="1"/>
        </xdr:cNvPicPr>
      </xdr:nvPicPr>
      <xdr:blipFill>
        <a:blip r:embed="rId621" cstate="email"/>
        <a:stretch>
          <a:fillRect/>
        </a:stretch>
      </xdr:blipFill>
      <xdr:spPr>
        <a:xfrm>
          <a:off x="243840" y="620082580"/>
          <a:ext cx="0" cy="628650"/>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xdr:cNvPicPr>
          <a:picLocks noChangeAspect="1"/>
        </xdr:cNvPicPr>
      </xdr:nvPicPr>
      <xdr:blipFill>
        <a:blip r:embed="rId621" cstate="email"/>
        <a:stretch>
          <a:fillRect/>
        </a:stretch>
      </xdr:blipFill>
      <xdr:spPr>
        <a:xfrm>
          <a:off x="243840" y="620765840"/>
          <a:ext cx="0" cy="62801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xdr:cNvPicPr>
          <a:picLocks noChangeAspect="1"/>
        </xdr:cNvPicPr>
      </xdr:nvPicPr>
      <xdr:blipFill>
        <a:blip r:embed="rId622" cstate="email"/>
        <a:stretch>
          <a:fillRect/>
        </a:stretch>
      </xdr:blipFill>
      <xdr:spPr>
        <a:xfrm>
          <a:off x="243840" y="621459895"/>
          <a:ext cx="0" cy="639445"/>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xdr:cNvPicPr>
          <a:picLocks noChangeAspect="1"/>
        </xdr:cNvPicPr>
      </xdr:nvPicPr>
      <xdr:blipFill>
        <a:blip r:embed="rId615" cstate="email"/>
        <a:stretch>
          <a:fillRect/>
        </a:stretch>
      </xdr:blipFill>
      <xdr:spPr>
        <a:xfrm>
          <a:off x="243840" y="622158395"/>
          <a:ext cx="0" cy="608330"/>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xdr:cNvPicPr>
          <a:picLocks noChangeAspect="1"/>
        </xdr:cNvPicPr>
      </xdr:nvPicPr>
      <xdr:blipFill>
        <a:blip r:embed="rId623" cstate="email"/>
        <a:stretch>
          <a:fillRect/>
        </a:stretch>
      </xdr:blipFill>
      <xdr:spPr>
        <a:xfrm>
          <a:off x="241300" y="622856895"/>
          <a:ext cx="254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xdr:cNvPicPr>
          <a:picLocks noChangeAspect="1"/>
        </xdr:cNvPicPr>
      </xdr:nvPicPr>
      <xdr:blipFill>
        <a:blip r:embed="rId624" cstate="email"/>
        <a:stretch>
          <a:fillRect/>
        </a:stretch>
      </xdr:blipFill>
      <xdr:spPr>
        <a:xfrm>
          <a:off x="213995" y="623564285"/>
          <a:ext cx="29845"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xdr:cNvPicPr>
          <a:picLocks noChangeAspect="1"/>
        </xdr:cNvPicPr>
      </xdr:nvPicPr>
      <xdr:blipFill>
        <a:blip r:embed="rId624" cstate="email"/>
        <a:stretch>
          <a:fillRect/>
        </a:stretch>
      </xdr:blipFill>
      <xdr:spPr>
        <a:xfrm>
          <a:off x="210820" y="624247545"/>
          <a:ext cx="3302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xdr:cNvPicPr>
          <a:picLocks noChangeAspect="1"/>
        </xdr:cNvPicPr>
      </xdr:nvPicPr>
      <xdr:blipFill>
        <a:blip r:embed="rId625" cstate="email"/>
        <a:stretch>
          <a:fillRect/>
        </a:stretch>
      </xdr:blipFill>
      <xdr:spPr>
        <a:xfrm>
          <a:off x="229235" y="624952395"/>
          <a:ext cx="14605"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xdr:cNvPicPr>
          <a:picLocks noChangeAspect="1"/>
        </xdr:cNvPicPr>
      </xdr:nvPicPr>
      <xdr:blipFill>
        <a:blip r:embed="rId626" cstate="email"/>
        <a:stretch>
          <a:fillRect/>
        </a:stretch>
      </xdr:blipFill>
      <xdr:spPr>
        <a:xfrm>
          <a:off x="243840" y="625650895"/>
          <a:ext cx="0" cy="676910"/>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xdr:cNvPicPr>
          <a:picLocks noChangeAspect="1"/>
        </xdr:cNvPicPr>
      </xdr:nvPicPr>
      <xdr:blipFill>
        <a:blip r:embed="rId627" cstate="email"/>
        <a:stretch>
          <a:fillRect/>
        </a:stretch>
      </xdr:blipFill>
      <xdr:spPr>
        <a:xfrm>
          <a:off x="243840" y="626349395"/>
          <a:ext cx="0" cy="675005"/>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xdr:cNvPicPr>
          <a:picLocks noChangeAspect="1"/>
        </xdr:cNvPicPr>
      </xdr:nvPicPr>
      <xdr:blipFill>
        <a:blip r:embed="rId628" cstate="email"/>
        <a:stretch>
          <a:fillRect/>
        </a:stretch>
      </xdr:blipFill>
      <xdr:spPr>
        <a:xfrm>
          <a:off x="243840" y="614474895"/>
          <a:ext cx="0" cy="635000"/>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xdr:cNvPicPr>
          <a:picLocks noChangeAspect="1"/>
        </xdr:cNvPicPr>
      </xdr:nvPicPr>
      <xdr:blipFill>
        <a:blip r:embed="rId629" cstate="email"/>
        <a:stretch>
          <a:fillRect/>
        </a:stretch>
      </xdr:blipFill>
      <xdr:spPr>
        <a:xfrm>
          <a:off x="241300" y="627746395"/>
          <a:ext cx="2540" cy="635000"/>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xdr:cNvPicPr>
          <a:picLocks noChangeAspect="1"/>
        </xdr:cNvPicPr>
      </xdr:nvPicPr>
      <xdr:blipFill>
        <a:blip r:embed="rId629" cstate="email"/>
        <a:stretch>
          <a:fillRect/>
        </a:stretch>
      </xdr:blipFill>
      <xdr:spPr>
        <a:xfrm>
          <a:off x="241300" y="628444895"/>
          <a:ext cx="2540" cy="635000"/>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xdr:cNvPicPr>
          <a:picLocks noChangeAspect="1"/>
        </xdr:cNvPicPr>
      </xdr:nvPicPr>
      <xdr:blipFill>
        <a:blip r:embed="rId630" cstate="email"/>
        <a:stretch>
          <a:fillRect/>
        </a:stretch>
      </xdr:blipFill>
      <xdr:spPr>
        <a:xfrm>
          <a:off x="243840" y="629119900"/>
          <a:ext cx="0" cy="646430"/>
        </a:xfrm>
        <a:prstGeom prst="rect">
          <a:avLst/>
        </a:prstGeom>
      </xdr:spPr>
    </xdr:pic>
    <xdr:clientData/>
  </xdr:twoCellAnchor>
  <xdr:twoCellAnchor editAs="oneCell">
    <xdr:from>
      <xdr:col>1</xdr:col>
      <xdr:colOff>119811</xdr:colOff>
      <xdr:row>902</xdr:row>
      <xdr:rowOff>35944</xdr:rowOff>
    </xdr:from>
    <xdr:to>
      <xdr:col>2</xdr:col>
      <xdr:colOff>0</xdr:colOff>
      <xdr:row>903</xdr:row>
      <xdr:rowOff>3466</xdr:rowOff>
    </xdr:to>
    <xdr:pic>
      <xdr:nvPicPr>
        <xdr:cNvPr id="780" name="Picture 779"/>
        <xdr:cNvPicPr>
          <a:picLocks noChangeAspect="1"/>
        </xdr:cNvPicPr>
      </xdr:nvPicPr>
      <xdr:blipFill>
        <a:blip r:embed="rId631" cstate="email"/>
        <a:stretch>
          <a:fillRect/>
        </a:stretch>
      </xdr:blipFill>
      <xdr:spPr>
        <a:xfrm>
          <a:off x="241300" y="629853960"/>
          <a:ext cx="2540" cy="66611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xdr:cNvPicPr>
          <a:picLocks noChangeAspect="1"/>
        </xdr:cNvPicPr>
      </xdr:nvPicPr>
      <xdr:blipFill>
        <a:blip r:embed="rId632" cstate="email"/>
        <a:stretch>
          <a:fillRect/>
        </a:stretch>
      </xdr:blipFill>
      <xdr:spPr>
        <a:xfrm>
          <a:off x="241300" y="627047895"/>
          <a:ext cx="254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xdr:cNvPicPr>
          <a:picLocks noChangeAspect="1"/>
        </xdr:cNvPicPr>
      </xdr:nvPicPr>
      <xdr:blipFill>
        <a:blip r:embed="rId633" cstate="email"/>
        <a:stretch>
          <a:fillRect/>
        </a:stretch>
      </xdr:blipFill>
      <xdr:spPr>
        <a:xfrm>
          <a:off x="241300" y="630552460"/>
          <a:ext cx="2540" cy="626745"/>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xdr:cNvPicPr>
          <a:picLocks noChangeAspect="1"/>
        </xdr:cNvPicPr>
      </xdr:nvPicPr>
      <xdr:blipFill>
        <a:blip r:embed="rId634" cstate="email"/>
        <a:stretch>
          <a:fillRect/>
        </a:stretch>
      </xdr:blipFill>
      <xdr:spPr>
        <a:xfrm>
          <a:off x="243840" y="631238895"/>
          <a:ext cx="0" cy="626745"/>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xdr:cNvPicPr>
          <a:picLocks noChangeAspect="1"/>
        </xdr:cNvPicPr>
      </xdr:nvPicPr>
      <xdr:blipFill>
        <a:blip r:embed="rId634" cstate="email"/>
        <a:stretch>
          <a:fillRect/>
        </a:stretch>
      </xdr:blipFill>
      <xdr:spPr>
        <a:xfrm>
          <a:off x="243840" y="631961525"/>
          <a:ext cx="0" cy="626110"/>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xdr:cNvPicPr>
          <a:picLocks noChangeAspect="1"/>
        </xdr:cNvPicPr>
      </xdr:nvPicPr>
      <xdr:blipFill>
        <a:blip r:embed="rId635" cstate="email"/>
        <a:stretch>
          <a:fillRect/>
        </a:stretch>
      </xdr:blipFill>
      <xdr:spPr>
        <a:xfrm>
          <a:off x="217170" y="632612400"/>
          <a:ext cx="26670" cy="706120"/>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xdr:cNvPicPr>
          <a:picLocks noChangeAspect="1"/>
        </xdr:cNvPicPr>
      </xdr:nvPicPr>
      <xdr:blipFill>
        <a:blip r:embed="rId636" cstate="email"/>
        <a:stretch>
          <a:fillRect/>
        </a:stretch>
      </xdr:blipFill>
      <xdr:spPr>
        <a:xfrm>
          <a:off x="243840" y="633334395"/>
          <a:ext cx="0" cy="661035"/>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xdr:cNvPicPr>
          <a:picLocks noChangeAspect="1"/>
        </xdr:cNvPicPr>
      </xdr:nvPicPr>
      <xdr:blipFill>
        <a:blip r:embed="rId637" cstate="email"/>
        <a:stretch>
          <a:fillRect/>
        </a:stretch>
      </xdr:blipFill>
      <xdr:spPr>
        <a:xfrm>
          <a:off x="241300" y="634032895"/>
          <a:ext cx="2540" cy="647065"/>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xdr:cNvPicPr>
          <a:picLocks noChangeAspect="1"/>
        </xdr:cNvPicPr>
      </xdr:nvPicPr>
      <xdr:blipFill>
        <a:blip r:embed="rId638" cstate="email"/>
        <a:stretch>
          <a:fillRect/>
        </a:stretch>
      </xdr:blipFill>
      <xdr:spPr>
        <a:xfrm>
          <a:off x="243840" y="634731395"/>
          <a:ext cx="0" cy="668020"/>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xdr:cNvPicPr>
          <a:picLocks noChangeAspect="1"/>
        </xdr:cNvPicPr>
      </xdr:nvPicPr>
      <xdr:blipFill>
        <a:blip r:embed="rId639" cstate="email"/>
        <a:stretch>
          <a:fillRect/>
        </a:stretch>
      </xdr:blipFill>
      <xdr:spPr>
        <a:xfrm>
          <a:off x="229235" y="635429895"/>
          <a:ext cx="14605" cy="66167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xdr:cNvPicPr>
          <a:picLocks noChangeAspect="1"/>
        </xdr:cNvPicPr>
      </xdr:nvPicPr>
      <xdr:blipFill>
        <a:blip r:embed="rId640" cstate="email"/>
        <a:stretch>
          <a:fillRect/>
        </a:stretch>
      </xdr:blipFill>
      <xdr:spPr>
        <a:xfrm>
          <a:off x="243840" y="610260400"/>
          <a:ext cx="0" cy="676275"/>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xdr:cNvPicPr>
          <a:picLocks noChangeAspect="1"/>
        </xdr:cNvPicPr>
      </xdr:nvPicPr>
      <xdr:blipFill>
        <a:blip r:embed="rId641" cstate="email"/>
        <a:stretch>
          <a:fillRect/>
        </a:stretch>
      </xdr:blipFill>
      <xdr:spPr>
        <a:xfrm>
          <a:off x="243840" y="611680895"/>
          <a:ext cx="0" cy="655320"/>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xdr:cNvPicPr>
          <a:picLocks noChangeAspect="1"/>
        </xdr:cNvPicPr>
      </xdr:nvPicPr>
      <xdr:blipFill>
        <a:blip r:embed="rId642" cstate="email"/>
        <a:stretch>
          <a:fillRect/>
        </a:stretch>
      </xdr:blipFill>
      <xdr:spPr>
        <a:xfrm>
          <a:off x="243840" y="612391460"/>
          <a:ext cx="0" cy="654685"/>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xdr:cNvPicPr>
          <a:picLocks noChangeAspect="1"/>
        </xdr:cNvPicPr>
      </xdr:nvPicPr>
      <xdr:blipFill>
        <a:blip r:embed="rId640" cstate="email"/>
        <a:stretch>
          <a:fillRect/>
        </a:stretch>
      </xdr:blipFill>
      <xdr:spPr>
        <a:xfrm>
          <a:off x="243840" y="610970330"/>
          <a:ext cx="0" cy="67691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xdr:cNvPicPr>
          <a:picLocks noChangeAspect="1"/>
        </xdr:cNvPicPr>
      </xdr:nvPicPr>
      <xdr:blipFill>
        <a:blip r:embed="rId643" cstate="email"/>
        <a:stretch>
          <a:fillRect/>
        </a:stretch>
      </xdr:blipFill>
      <xdr:spPr>
        <a:xfrm>
          <a:off x="243840" y="615161330"/>
          <a:ext cx="0" cy="63690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xdr:cNvPicPr>
          <a:picLocks noChangeAspect="1"/>
        </xdr:cNvPicPr>
      </xdr:nvPicPr>
      <xdr:blipFill>
        <a:blip r:embed="rId644" cstate="email"/>
        <a:stretch>
          <a:fillRect/>
        </a:stretch>
      </xdr:blipFill>
      <xdr:spPr>
        <a:xfrm>
          <a:off x="193675" y="493636300"/>
          <a:ext cx="50165"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xdr:cNvPicPr>
          <a:picLocks noChangeAspect="1"/>
        </xdr:cNvPicPr>
      </xdr:nvPicPr>
      <xdr:blipFill>
        <a:blip r:embed="rId645" cstate="email"/>
        <a:stretch>
          <a:fillRect/>
        </a:stretch>
      </xdr:blipFill>
      <xdr:spPr>
        <a:xfrm>
          <a:off x="243840" y="460816960"/>
          <a:ext cx="0" cy="637540"/>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xdr:cNvPicPr>
          <a:picLocks noChangeAspect="1"/>
        </xdr:cNvPicPr>
      </xdr:nvPicPr>
      <xdr:blipFill>
        <a:blip r:embed="rId646" cstate="email"/>
        <a:stretch>
          <a:fillRect/>
        </a:stretch>
      </xdr:blipFill>
      <xdr:spPr>
        <a:xfrm>
          <a:off x="243840" y="636841500"/>
          <a:ext cx="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xdr:cNvPicPr>
          <a:picLocks noChangeAspect="1"/>
        </xdr:cNvPicPr>
      </xdr:nvPicPr>
      <xdr:blipFill>
        <a:blip r:embed="rId646" cstate="email"/>
        <a:stretch>
          <a:fillRect/>
        </a:stretch>
      </xdr:blipFill>
      <xdr:spPr>
        <a:xfrm>
          <a:off x="243840" y="637527300"/>
          <a:ext cx="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xdr:cNvPicPr>
          <a:picLocks noChangeAspect="1"/>
        </xdr:cNvPicPr>
      </xdr:nvPicPr>
      <xdr:blipFill>
        <a:blip r:embed="rId647" cstate="email"/>
        <a:stretch>
          <a:fillRect/>
        </a:stretch>
      </xdr:blipFill>
      <xdr:spPr>
        <a:xfrm>
          <a:off x="243840" y="638225800"/>
          <a:ext cx="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xdr:cNvPicPr>
          <a:picLocks noChangeAspect="1"/>
        </xdr:cNvPicPr>
      </xdr:nvPicPr>
      <xdr:blipFill>
        <a:blip r:embed="rId648" cstate="email"/>
        <a:stretch>
          <a:fillRect/>
        </a:stretch>
      </xdr:blipFill>
      <xdr:spPr>
        <a:xfrm>
          <a:off x="243840" y="437770905"/>
          <a:ext cx="0" cy="647065"/>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xdr:cNvPicPr>
          <a:picLocks noChangeAspect="1"/>
        </xdr:cNvPicPr>
      </xdr:nvPicPr>
      <xdr:blipFill>
        <a:blip r:embed="rId649" cstate="email"/>
        <a:stretch>
          <a:fillRect/>
        </a:stretch>
      </xdr:blipFill>
      <xdr:spPr>
        <a:xfrm>
          <a:off x="243840" y="548840660"/>
          <a:ext cx="0" cy="622935"/>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xdr:cNvPicPr>
          <a:picLocks noChangeAspect="1"/>
        </xdr:cNvPicPr>
      </xdr:nvPicPr>
      <xdr:blipFill>
        <a:blip r:embed="rId650" cstate="email"/>
        <a:stretch>
          <a:fillRect/>
        </a:stretch>
      </xdr:blipFill>
      <xdr:spPr>
        <a:xfrm>
          <a:off x="243840" y="557897030"/>
          <a:ext cx="0" cy="629285"/>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xdr:cNvPicPr>
          <a:picLocks noChangeAspect="1"/>
        </xdr:cNvPicPr>
      </xdr:nvPicPr>
      <xdr:blipFill>
        <a:blip r:embed="rId651" cstate="email"/>
        <a:stretch>
          <a:fillRect/>
        </a:stretch>
      </xdr:blipFill>
      <xdr:spPr>
        <a:xfrm>
          <a:off x="243840" y="598425905"/>
          <a:ext cx="0" cy="64643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xdr:cNvPicPr>
          <a:picLocks noChangeAspect="1"/>
        </xdr:cNvPicPr>
      </xdr:nvPicPr>
      <xdr:blipFill>
        <a:blip r:embed="rId652" cstate="email"/>
        <a:stretch>
          <a:fillRect/>
        </a:stretch>
      </xdr:blipFill>
      <xdr:spPr>
        <a:xfrm>
          <a:off x="243840" y="600520135"/>
          <a:ext cx="0" cy="607695"/>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xdr:cNvPicPr>
          <a:picLocks noChangeAspect="1"/>
        </xdr:cNvPicPr>
      </xdr:nvPicPr>
      <xdr:blipFill>
        <a:blip r:embed="rId653" cstate="email"/>
        <a:stretch>
          <a:fillRect/>
        </a:stretch>
      </xdr:blipFill>
      <xdr:spPr>
        <a:xfrm>
          <a:off x="243840" y="601225620"/>
          <a:ext cx="0" cy="607060"/>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xdr:cNvPicPr>
          <a:picLocks noChangeAspect="1"/>
        </xdr:cNvPicPr>
      </xdr:nvPicPr>
      <xdr:blipFill>
        <a:blip r:embed="rId654" cstate="email"/>
        <a:stretch>
          <a:fillRect/>
        </a:stretch>
      </xdr:blipFill>
      <xdr:spPr>
        <a:xfrm>
          <a:off x="227330" y="601927930"/>
          <a:ext cx="16510" cy="671195"/>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xdr:cNvPicPr>
          <a:picLocks noChangeAspect="1"/>
        </xdr:cNvPicPr>
      </xdr:nvPicPr>
      <xdr:blipFill>
        <a:blip r:embed="rId655" cstate="email"/>
        <a:stretch>
          <a:fillRect/>
        </a:stretch>
      </xdr:blipFill>
      <xdr:spPr>
        <a:xfrm>
          <a:off x="167005" y="604000570"/>
          <a:ext cx="76835" cy="626745"/>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xdr:cNvPicPr>
          <a:picLocks noChangeAspect="1"/>
        </xdr:cNvPicPr>
      </xdr:nvPicPr>
      <xdr:blipFill>
        <a:blip r:embed="rId656" cstate="email"/>
        <a:stretch>
          <a:fillRect/>
        </a:stretch>
      </xdr:blipFill>
      <xdr:spPr>
        <a:xfrm>
          <a:off x="182245" y="604702245"/>
          <a:ext cx="61595" cy="657860"/>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xdr:cNvPicPr>
          <a:picLocks noChangeAspect="1"/>
        </xdr:cNvPicPr>
      </xdr:nvPicPr>
      <xdr:blipFill>
        <a:blip r:embed="rId657" cstate="email"/>
        <a:stretch>
          <a:fillRect/>
        </a:stretch>
      </xdr:blipFill>
      <xdr:spPr>
        <a:xfrm>
          <a:off x="182245" y="602640400"/>
          <a:ext cx="61595" cy="638175"/>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xdr:cNvPicPr>
          <a:picLocks noChangeAspect="1"/>
        </xdr:cNvPicPr>
      </xdr:nvPicPr>
      <xdr:blipFill>
        <a:blip r:embed="rId658" cstate="email"/>
        <a:stretch>
          <a:fillRect/>
        </a:stretch>
      </xdr:blipFill>
      <xdr:spPr>
        <a:xfrm>
          <a:off x="198120" y="603309690"/>
          <a:ext cx="45720" cy="635000"/>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xdr:cNvPicPr>
          <a:picLocks noChangeAspect="1"/>
        </xdr:cNvPicPr>
      </xdr:nvPicPr>
      <xdr:blipFill>
        <a:blip r:embed="rId659" cstate="email"/>
        <a:stretch>
          <a:fillRect/>
        </a:stretch>
      </xdr:blipFill>
      <xdr:spPr>
        <a:xfrm>
          <a:off x="197485" y="605408365"/>
          <a:ext cx="46355" cy="612140"/>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xdr:cNvPicPr>
          <a:picLocks noChangeAspect="1"/>
        </xdr:cNvPicPr>
      </xdr:nvPicPr>
      <xdr:blipFill>
        <a:blip r:embed="rId660" cstate="email"/>
        <a:stretch>
          <a:fillRect/>
        </a:stretch>
      </xdr:blipFill>
      <xdr:spPr>
        <a:xfrm>
          <a:off x="197485" y="606099245"/>
          <a:ext cx="46355" cy="65024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xdr:cNvPicPr>
          <a:picLocks noChangeAspect="1"/>
        </xdr:cNvPicPr>
      </xdr:nvPicPr>
      <xdr:blipFill>
        <a:blip r:embed="rId661" cstate="email"/>
        <a:stretch>
          <a:fillRect/>
        </a:stretch>
      </xdr:blipFill>
      <xdr:spPr>
        <a:xfrm>
          <a:off x="242570" y="607496245"/>
          <a:ext cx="1270" cy="614680"/>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xdr:cNvPicPr>
          <a:picLocks noChangeAspect="1"/>
        </xdr:cNvPicPr>
      </xdr:nvPicPr>
      <xdr:blipFill>
        <a:blip r:embed="rId662" cstate="email"/>
        <a:stretch>
          <a:fillRect/>
        </a:stretch>
      </xdr:blipFill>
      <xdr:spPr>
        <a:xfrm>
          <a:off x="243840" y="428002700"/>
          <a:ext cx="0" cy="652780"/>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xdr:cNvPicPr>
          <a:picLocks noChangeAspect="1"/>
        </xdr:cNvPicPr>
      </xdr:nvPicPr>
      <xdr:blipFill>
        <a:blip r:embed="rId663" cstate="email"/>
        <a:stretch>
          <a:fillRect/>
        </a:stretch>
      </xdr:blipFill>
      <xdr:spPr>
        <a:xfrm>
          <a:off x="206375" y="429377475"/>
          <a:ext cx="37465" cy="650240"/>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xdr:cNvPicPr>
          <a:picLocks noChangeAspect="1"/>
        </xdr:cNvPicPr>
      </xdr:nvPicPr>
      <xdr:blipFill>
        <a:blip r:embed="rId645" cstate="email"/>
        <a:stretch>
          <a:fillRect/>
        </a:stretch>
      </xdr:blipFill>
      <xdr:spPr>
        <a:xfrm>
          <a:off x="243840" y="462893410"/>
          <a:ext cx="0" cy="638175"/>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xdr:cNvPicPr>
          <a:picLocks noChangeAspect="1"/>
        </xdr:cNvPicPr>
      </xdr:nvPicPr>
      <xdr:blipFill>
        <a:blip r:embed="rId664" cstate="email"/>
        <a:stretch>
          <a:fillRect/>
        </a:stretch>
      </xdr:blipFill>
      <xdr:spPr>
        <a:xfrm>
          <a:off x="243840" y="479004630"/>
          <a:ext cx="0" cy="628015"/>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xdr:cNvPicPr>
          <a:picLocks noChangeAspect="1"/>
        </xdr:cNvPicPr>
      </xdr:nvPicPr>
      <xdr:blipFill>
        <a:blip r:embed="rId665" cstate="email"/>
        <a:stretch>
          <a:fillRect/>
        </a:stretch>
      </xdr:blipFill>
      <xdr:spPr>
        <a:xfrm>
          <a:off x="243840" y="512486910"/>
          <a:ext cx="0" cy="645795"/>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xdr:cNvPicPr>
          <a:picLocks noChangeAspect="1"/>
        </xdr:cNvPicPr>
      </xdr:nvPicPr>
      <xdr:blipFill>
        <a:blip r:embed="rId666" cstate="email"/>
        <a:stretch>
          <a:fillRect/>
        </a:stretch>
      </xdr:blipFill>
      <xdr:spPr>
        <a:xfrm>
          <a:off x="243840" y="638933825"/>
          <a:ext cx="0" cy="615950"/>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xdr:cNvPicPr>
          <a:picLocks noChangeAspect="1"/>
        </xdr:cNvPicPr>
      </xdr:nvPicPr>
      <xdr:blipFill>
        <a:blip r:embed="rId667" cstate="email"/>
        <a:stretch>
          <a:fillRect/>
        </a:stretch>
      </xdr:blipFill>
      <xdr:spPr>
        <a:xfrm>
          <a:off x="203200" y="639608830"/>
          <a:ext cx="40640" cy="658495"/>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xdr:cNvPicPr>
          <a:picLocks noChangeAspect="1"/>
        </xdr:cNvPicPr>
      </xdr:nvPicPr>
      <xdr:blipFill>
        <a:blip r:embed="rId668" cstate="email"/>
        <a:stretch>
          <a:fillRect/>
        </a:stretch>
      </xdr:blipFill>
      <xdr:spPr>
        <a:xfrm>
          <a:off x="203200" y="640330825"/>
          <a:ext cx="40640" cy="652145"/>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xdr:cNvPicPr>
          <a:picLocks noChangeAspect="1"/>
        </xdr:cNvPicPr>
      </xdr:nvPicPr>
      <xdr:blipFill>
        <a:blip r:embed="rId668" cstate="email"/>
        <a:stretch>
          <a:fillRect/>
        </a:stretch>
      </xdr:blipFill>
      <xdr:spPr>
        <a:xfrm>
          <a:off x="226695" y="641029325"/>
          <a:ext cx="17145" cy="652145"/>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xdr:cNvPicPr>
          <a:picLocks noChangeAspect="1"/>
        </xdr:cNvPicPr>
      </xdr:nvPicPr>
      <xdr:blipFill>
        <a:blip r:embed="rId669" cstate="email"/>
        <a:stretch>
          <a:fillRect/>
        </a:stretch>
      </xdr:blipFill>
      <xdr:spPr>
        <a:xfrm>
          <a:off x="226695" y="641715760"/>
          <a:ext cx="17145" cy="675640"/>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xdr:cNvPicPr>
          <a:picLocks noChangeAspect="1"/>
        </xdr:cNvPicPr>
      </xdr:nvPicPr>
      <xdr:blipFill>
        <a:blip r:embed="rId670" cstate="email"/>
        <a:stretch>
          <a:fillRect/>
        </a:stretch>
      </xdr:blipFill>
      <xdr:spPr>
        <a:xfrm>
          <a:off x="144780" y="642414260"/>
          <a:ext cx="99060"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xdr:cNvPicPr>
          <a:picLocks noChangeAspect="1"/>
        </xdr:cNvPicPr>
      </xdr:nvPicPr>
      <xdr:blipFill>
        <a:blip r:embed="rId671" cstate="email"/>
        <a:stretch>
          <a:fillRect/>
        </a:stretch>
      </xdr:blipFill>
      <xdr:spPr>
        <a:xfrm>
          <a:off x="121920" y="643089900"/>
          <a:ext cx="121920" cy="655955"/>
        </a:xfrm>
        <a:prstGeom prst="rect">
          <a:avLst/>
        </a:prstGeom>
      </xdr:spPr>
    </xdr:pic>
    <xdr:clientData/>
  </xdr:twoCellAnchor>
  <xdr:twoCellAnchor editAs="oneCell">
    <xdr:from>
      <xdr:col>1</xdr:col>
      <xdr:colOff>34954</xdr:colOff>
      <xdr:row>923</xdr:row>
      <xdr:rowOff>23304</xdr:rowOff>
    </xdr:from>
    <xdr:to>
      <xdr:col>2</xdr:col>
      <xdr:colOff>0</xdr:colOff>
      <xdr:row>924</xdr:row>
      <xdr:rowOff>1815</xdr:rowOff>
    </xdr:to>
    <xdr:pic>
      <xdr:nvPicPr>
        <xdr:cNvPr id="826" name="Picture 825"/>
        <xdr:cNvPicPr>
          <a:picLocks noChangeAspect="1"/>
        </xdr:cNvPicPr>
      </xdr:nvPicPr>
      <xdr:blipFill>
        <a:blip r:embed="rId672" cstate="email"/>
        <a:stretch>
          <a:fillRect/>
        </a:stretch>
      </xdr:blipFill>
      <xdr:spPr>
        <a:xfrm>
          <a:off x="156845" y="644509760"/>
          <a:ext cx="86995" cy="676910"/>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xdr:cNvPicPr>
          <a:picLocks noChangeAspect="1"/>
        </xdr:cNvPicPr>
      </xdr:nvPicPr>
      <xdr:blipFill>
        <a:blip r:embed="rId671" cstate="email"/>
        <a:stretch>
          <a:fillRect/>
        </a:stretch>
      </xdr:blipFill>
      <xdr:spPr>
        <a:xfrm>
          <a:off x="121920" y="643788400"/>
          <a:ext cx="121920" cy="655955"/>
        </a:xfrm>
        <a:prstGeom prst="rect">
          <a:avLst/>
        </a:prstGeom>
      </xdr:spPr>
    </xdr:pic>
    <xdr:clientData/>
  </xdr:twoCellAnchor>
  <xdr:twoCellAnchor editAs="oneCell">
    <xdr:from>
      <xdr:col>1</xdr:col>
      <xdr:colOff>46605</xdr:colOff>
      <xdr:row>924</xdr:row>
      <xdr:rowOff>23303</xdr:rowOff>
    </xdr:from>
    <xdr:to>
      <xdr:col>2</xdr:col>
      <xdr:colOff>0</xdr:colOff>
      <xdr:row>924</xdr:row>
      <xdr:rowOff>659284</xdr:rowOff>
    </xdr:to>
    <xdr:pic>
      <xdr:nvPicPr>
        <xdr:cNvPr id="828" name="Picture 827"/>
        <xdr:cNvPicPr>
          <a:picLocks noChangeAspect="1"/>
        </xdr:cNvPicPr>
      </xdr:nvPicPr>
      <xdr:blipFill>
        <a:blip r:embed="rId673" cstate="email"/>
        <a:stretch>
          <a:fillRect/>
        </a:stretch>
      </xdr:blipFill>
      <xdr:spPr>
        <a:xfrm>
          <a:off x="168275" y="645208260"/>
          <a:ext cx="75565" cy="636270"/>
        </a:xfrm>
        <a:prstGeom prst="rect">
          <a:avLst/>
        </a:prstGeom>
      </xdr:spPr>
    </xdr:pic>
    <xdr:clientData/>
  </xdr:twoCellAnchor>
  <xdr:twoCellAnchor editAs="oneCell">
    <xdr:from>
      <xdr:col>1</xdr:col>
      <xdr:colOff>58257</xdr:colOff>
      <xdr:row>925</xdr:row>
      <xdr:rowOff>23302</xdr:rowOff>
    </xdr:from>
    <xdr:to>
      <xdr:col>2</xdr:col>
      <xdr:colOff>0</xdr:colOff>
      <xdr:row>925</xdr:row>
      <xdr:rowOff>657223</xdr:rowOff>
    </xdr:to>
    <xdr:pic>
      <xdr:nvPicPr>
        <xdr:cNvPr id="829" name="Picture 828"/>
        <xdr:cNvPicPr>
          <a:picLocks noChangeAspect="1"/>
        </xdr:cNvPicPr>
      </xdr:nvPicPr>
      <xdr:blipFill>
        <a:blip r:embed="rId674" cstate="email"/>
        <a:stretch>
          <a:fillRect/>
        </a:stretch>
      </xdr:blipFill>
      <xdr:spPr>
        <a:xfrm>
          <a:off x="179705" y="645906760"/>
          <a:ext cx="64135" cy="633730"/>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xdr:cNvPicPr>
          <a:picLocks noChangeAspect="1"/>
        </xdr:cNvPicPr>
      </xdr:nvPicPr>
      <xdr:blipFill>
        <a:blip r:embed="rId675" cstate="email"/>
        <a:stretch>
          <a:fillRect/>
        </a:stretch>
      </xdr:blipFill>
      <xdr:spPr>
        <a:xfrm>
          <a:off x="156845" y="646617325"/>
          <a:ext cx="86995" cy="637540"/>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xdr:cNvPicPr>
          <a:picLocks noChangeAspect="1"/>
        </xdr:cNvPicPr>
      </xdr:nvPicPr>
      <xdr:blipFill>
        <a:blip r:embed="rId676" cstate="email"/>
        <a:stretch>
          <a:fillRect/>
        </a:stretch>
      </xdr:blipFill>
      <xdr:spPr>
        <a:xfrm>
          <a:off x="144780" y="647315825"/>
          <a:ext cx="99060" cy="655955"/>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xdr:cNvPicPr>
          <a:picLocks noChangeAspect="1"/>
        </xdr:cNvPicPr>
      </xdr:nvPicPr>
      <xdr:blipFill>
        <a:blip r:embed="rId677" cstate="email"/>
        <a:stretch>
          <a:fillRect/>
        </a:stretch>
      </xdr:blipFill>
      <xdr:spPr>
        <a:xfrm>
          <a:off x="156845" y="648014325"/>
          <a:ext cx="86995" cy="648970"/>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xdr:cNvPicPr>
          <a:picLocks noChangeAspect="1"/>
        </xdr:cNvPicPr>
      </xdr:nvPicPr>
      <xdr:blipFill>
        <a:blip r:embed="rId678" cstate="email"/>
        <a:stretch>
          <a:fillRect/>
        </a:stretch>
      </xdr:blipFill>
      <xdr:spPr>
        <a:xfrm>
          <a:off x="156845" y="648712825"/>
          <a:ext cx="86995" cy="640715"/>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xdr:cNvPicPr>
          <a:picLocks noChangeAspect="1"/>
        </xdr:cNvPicPr>
      </xdr:nvPicPr>
      <xdr:blipFill>
        <a:blip r:embed="rId679" cstate="email"/>
        <a:stretch>
          <a:fillRect/>
        </a:stretch>
      </xdr:blipFill>
      <xdr:spPr>
        <a:xfrm>
          <a:off x="156845" y="649411325"/>
          <a:ext cx="86995" cy="643255"/>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xdr:cNvPicPr>
          <a:picLocks noChangeAspect="1"/>
        </xdr:cNvPicPr>
      </xdr:nvPicPr>
      <xdr:blipFill>
        <a:blip r:embed="rId680" cstate="email"/>
        <a:stretch>
          <a:fillRect/>
        </a:stretch>
      </xdr:blipFill>
      <xdr:spPr>
        <a:xfrm>
          <a:off x="156845" y="650109825"/>
          <a:ext cx="86995" cy="645795"/>
        </a:xfrm>
        <a:prstGeom prst="rect">
          <a:avLst/>
        </a:prstGeom>
      </xdr:spPr>
    </xdr:pic>
    <xdr:clientData/>
  </xdr:twoCellAnchor>
  <xdr:twoCellAnchor editAs="oneCell">
    <xdr:from>
      <xdr:col>1</xdr:col>
      <xdr:colOff>104861</xdr:colOff>
      <xdr:row>932</xdr:row>
      <xdr:rowOff>58257</xdr:rowOff>
    </xdr:from>
    <xdr:to>
      <xdr:col>2</xdr:col>
      <xdr:colOff>0</xdr:colOff>
      <xdr:row>932</xdr:row>
      <xdr:rowOff>697669</xdr:rowOff>
    </xdr:to>
    <xdr:pic>
      <xdr:nvPicPr>
        <xdr:cNvPr id="836" name="Picture 835"/>
        <xdr:cNvPicPr>
          <a:picLocks noChangeAspect="1"/>
        </xdr:cNvPicPr>
      </xdr:nvPicPr>
      <xdr:blipFill>
        <a:blip r:embed="rId681" cstate="email"/>
        <a:stretch>
          <a:fillRect/>
        </a:stretch>
      </xdr:blipFill>
      <xdr:spPr>
        <a:xfrm>
          <a:off x="226695" y="650831185"/>
          <a:ext cx="17145" cy="639445"/>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xdr:cNvPicPr>
          <a:picLocks noChangeAspect="1"/>
        </xdr:cNvPicPr>
      </xdr:nvPicPr>
      <xdr:blipFill>
        <a:blip r:embed="rId682" cstate="email"/>
        <a:stretch>
          <a:fillRect/>
        </a:stretch>
      </xdr:blipFill>
      <xdr:spPr>
        <a:xfrm>
          <a:off x="156845" y="652903825"/>
          <a:ext cx="86995" cy="643255"/>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xdr:cNvPicPr>
          <a:picLocks noChangeAspect="1"/>
        </xdr:cNvPicPr>
      </xdr:nvPicPr>
      <xdr:blipFill>
        <a:blip r:embed="rId682" cstate="email"/>
        <a:stretch>
          <a:fillRect/>
        </a:stretch>
      </xdr:blipFill>
      <xdr:spPr>
        <a:xfrm>
          <a:off x="121920" y="653567400"/>
          <a:ext cx="121920" cy="643255"/>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xdr:cNvPicPr>
          <a:picLocks noChangeAspect="1"/>
        </xdr:cNvPicPr>
      </xdr:nvPicPr>
      <xdr:blipFill>
        <a:blip r:embed="rId683" cstate="email"/>
        <a:stretch>
          <a:fillRect/>
        </a:stretch>
      </xdr:blipFill>
      <xdr:spPr>
        <a:xfrm>
          <a:off x="191770" y="651506825"/>
          <a:ext cx="52070" cy="64135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xdr:cNvPicPr>
          <a:picLocks noChangeAspect="1"/>
        </xdr:cNvPicPr>
      </xdr:nvPicPr>
      <xdr:blipFill>
        <a:blip r:embed="rId684" cstate="email"/>
        <a:stretch>
          <a:fillRect/>
        </a:stretch>
      </xdr:blipFill>
      <xdr:spPr>
        <a:xfrm>
          <a:off x="121920" y="652170400"/>
          <a:ext cx="121920" cy="64135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xdr:cNvPicPr>
          <a:picLocks noChangeAspect="1"/>
        </xdr:cNvPicPr>
      </xdr:nvPicPr>
      <xdr:blipFill>
        <a:blip r:embed="rId685" cstate="email"/>
        <a:stretch>
          <a:fillRect/>
        </a:stretch>
      </xdr:blipFill>
      <xdr:spPr>
        <a:xfrm>
          <a:off x="133350" y="654265900"/>
          <a:ext cx="110490" cy="664845"/>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xdr:cNvPicPr>
          <a:picLocks noChangeAspect="1"/>
        </xdr:cNvPicPr>
      </xdr:nvPicPr>
      <xdr:blipFill>
        <a:blip r:embed="rId686" cstate="email"/>
        <a:stretch>
          <a:fillRect/>
        </a:stretch>
      </xdr:blipFill>
      <xdr:spPr>
        <a:xfrm>
          <a:off x="146050" y="654999960"/>
          <a:ext cx="97790" cy="664210"/>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xdr:cNvPicPr>
          <a:picLocks noChangeAspect="1"/>
        </xdr:cNvPicPr>
      </xdr:nvPicPr>
      <xdr:blipFill>
        <a:blip r:embed="rId687" cstate="email"/>
        <a:stretch>
          <a:fillRect/>
        </a:stretch>
      </xdr:blipFill>
      <xdr:spPr>
        <a:xfrm>
          <a:off x="158115" y="655711160"/>
          <a:ext cx="85725" cy="664210"/>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xdr:cNvPicPr>
          <a:picLocks noChangeAspect="1"/>
        </xdr:cNvPicPr>
      </xdr:nvPicPr>
      <xdr:blipFill>
        <a:blip r:embed="rId688" cstate="email"/>
        <a:stretch>
          <a:fillRect/>
        </a:stretch>
      </xdr:blipFill>
      <xdr:spPr>
        <a:xfrm>
          <a:off x="168275" y="656407755"/>
          <a:ext cx="75565" cy="629285"/>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xdr:cNvPicPr>
          <a:picLocks noChangeAspect="1"/>
        </xdr:cNvPicPr>
      </xdr:nvPicPr>
      <xdr:blipFill>
        <a:blip r:embed="rId689" cstate="email"/>
        <a:stretch>
          <a:fillRect/>
        </a:stretch>
      </xdr:blipFill>
      <xdr:spPr>
        <a:xfrm>
          <a:off x="179705" y="659190325"/>
          <a:ext cx="64135" cy="628650"/>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xdr:cNvPicPr>
          <a:picLocks noChangeAspect="1"/>
        </xdr:cNvPicPr>
      </xdr:nvPicPr>
      <xdr:blipFill>
        <a:blip r:embed="rId690" cstate="email"/>
        <a:stretch>
          <a:fillRect/>
        </a:stretch>
      </xdr:blipFill>
      <xdr:spPr>
        <a:xfrm>
          <a:off x="156845" y="659865330"/>
          <a:ext cx="86995" cy="62928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xdr:cNvPicPr>
          <a:picLocks noChangeAspect="1"/>
        </xdr:cNvPicPr>
      </xdr:nvPicPr>
      <xdr:blipFill>
        <a:blip r:embed="rId691" cstate="email"/>
        <a:stretch>
          <a:fillRect/>
        </a:stretch>
      </xdr:blipFill>
      <xdr:spPr>
        <a:xfrm>
          <a:off x="168275" y="660587325"/>
          <a:ext cx="75565" cy="617220"/>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xdr:cNvPicPr>
          <a:picLocks noChangeAspect="1"/>
        </xdr:cNvPicPr>
      </xdr:nvPicPr>
      <xdr:blipFill>
        <a:blip r:embed="rId692" cstate="email"/>
        <a:stretch>
          <a:fillRect/>
        </a:stretch>
      </xdr:blipFill>
      <xdr:spPr>
        <a:xfrm>
          <a:off x="156845" y="661297255"/>
          <a:ext cx="86995" cy="66929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xdr:cNvPicPr>
          <a:picLocks noChangeAspect="1"/>
        </xdr:cNvPicPr>
      </xdr:nvPicPr>
      <xdr:blipFill>
        <a:blip r:embed="rId693" cstate="email"/>
        <a:stretch>
          <a:fillRect/>
        </a:stretch>
      </xdr:blipFill>
      <xdr:spPr>
        <a:xfrm>
          <a:off x="179705" y="662007185"/>
          <a:ext cx="64135"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xdr:cNvPicPr>
          <a:picLocks noChangeAspect="1"/>
        </xdr:cNvPicPr>
      </xdr:nvPicPr>
      <xdr:blipFill>
        <a:blip r:embed="rId694" cstate="email"/>
        <a:stretch>
          <a:fillRect/>
        </a:stretch>
      </xdr:blipFill>
      <xdr:spPr>
        <a:xfrm>
          <a:off x="144780" y="662682825"/>
          <a:ext cx="99060" cy="632460"/>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xdr:cNvPicPr>
          <a:picLocks noChangeAspect="1"/>
        </xdr:cNvPicPr>
      </xdr:nvPicPr>
      <xdr:blipFill>
        <a:blip r:embed="rId694" cstate="email"/>
        <a:stretch>
          <a:fillRect/>
        </a:stretch>
      </xdr:blipFill>
      <xdr:spPr>
        <a:xfrm>
          <a:off x="133350" y="663346400"/>
          <a:ext cx="110490" cy="632460"/>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xdr:cNvPicPr>
          <a:picLocks noChangeAspect="1"/>
        </xdr:cNvPicPr>
      </xdr:nvPicPr>
      <xdr:blipFill>
        <a:blip r:embed="rId694" cstate="email"/>
        <a:stretch>
          <a:fillRect/>
        </a:stretch>
      </xdr:blipFill>
      <xdr:spPr>
        <a:xfrm>
          <a:off x="156845" y="664079825"/>
          <a:ext cx="86995" cy="632460"/>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xdr:cNvPicPr>
          <a:picLocks noChangeAspect="1"/>
        </xdr:cNvPicPr>
      </xdr:nvPicPr>
      <xdr:blipFill>
        <a:blip r:embed="rId695" cstate="email"/>
        <a:stretch>
          <a:fillRect/>
        </a:stretch>
      </xdr:blipFill>
      <xdr:spPr>
        <a:xfrm>
          <a:off x="168275" y="664789755"/>
          <a:ext cx="75565" cy="640715"/>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xdr:cNvPicPr>
          <a:picLocks noChangeAspect="1"/>
        </xdr:cNvPicPr>
      </xdr:nvPicPr>
      <xdr:blipFill>
        <a:blip r:embed="rId696" cstate="email"/>
        <a:stretch>
          <a:fillRect/>
        </a:stretch>
      </xdr:blipFill>
      <xdr:spPr>
        <a:xfrm>
          <a:off x="156845" y="665464760"/>
          <a:ext cx="86995" cy="664210"/>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xdr:cNvPicPr>
          <a:picLocks noChangeAspect="1"/>
        </xdr:cNvPicPr>
      </xdr:nvPicPr>
      <xdr:blipFill>
        <a:blip r:embed="rId697" cstate="email"/>
        <a:stretch>
          <a:fillRect/>
        </a:stretch>
      </xdr:blipFill>
      <xdr:spPr>
        <a:xfrm>
          <a:off x="156845" y="666175325"/>
          <a:ext cx="86995" cy="640715"/>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xdr:cNvPicPr>
          <a:picLocks noChangeAspect="1"/>
        </xdr:cNvPicPr>
      </xdr:nvPicPr>
      <xdr:blipFill>
        <a:blip r:embed="rId698" cstate="email"/>
        <a:stretch>
          <a:fillRect/>
        </a:stretch>
      </xdr:blipFill>
      <xdr:spPr>
        <a:xfrm>
          <a:off x="156845" y="666873825"/>
          <a:ext cx="86995" cy="628650"/>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xdr:cNvPicPr>
          <a:picLocks noChangeAspect="1"/>
        </xdr:cNvPicPr>
      </xdr:nvPicPr>
      <xdr:blipFill>
        <a:blip r:embed="rId699" cstate="email"/>
        <a:stretch>
          <a:fillRect/>
        </a:stretch>
      </xdr:blipFill>
      <xdr:spPr>
        <a:xfrm>
          <a:off x="168275" y="667572325"/>
          <a:ext cx="75565" cy="630555"/>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xdr:cNvPicPr>
          <a:picLocks noChangeAspect="1"/>
        </xdr:cNvPicPr>
      </xdr:nvPicPr>
      <xdr:blipFill>
        <a:blip r:embed="rId699" cstate="email"/>
        <a:stretch>
          <a:fillRect/>
        </a:stretch>
      </xdr:blipFill>
      <xdr:spPr>
        <a:xfrm>
          <a:off x="168275" y="668282255"/>
          <a:ext cx="75565" cy="630555"/>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xdr:cNvPicPr>
          <a:picLocks noChangeAspect="1"/>
        </xdr:cNvPicPr>
      </xdr:nvPicPr>
      <xdr:blipFill>
        <a:blip r:embed="rId700" cstate="email"/>
        <a:stretch>
          <a:fillRect/>
        </a:stretch>
      </xdr:blipFill>
      <xdr:spPr>
        <a:xfrm>
          <a:off x="226695" y="672461825"/>
          <a:ext cx="17145" cy="641350"/>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xdr:cNvPicPr>
          <a:picLocks noChangeAspect="1"/>
        </xdr:cNvPicPr>
      </xdr:nvPicPr>
      <xdr:blipFill>
        <a:blip r:embed="rId701" cstate="email"/>
        <a:stretch>
          <a:fillRect/>
        </a:stretch>
      </xdr:blipFill>
      <xdr:spPr>
        <a:xfrm>
          <a:off x="243840" y="673160325"/>
          <a:ext cx="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xdr:cNvPicPr>
          <a:picLocks noChangeAspect="1"/>
        </xdr:cNvPicPr>
      </xdr:nvPicPr>
      <xdr:blipFill>
        <a:blip r:embed="rId701" cstate="email"/>
        <a:stretch>
          <a:fillRect/>
        </a:stretch>
      </xdr:blipFill>
      <xdr:spPr>
        <a:xfrm>
          <a:off x="243840" y="673870255"/>
          <a:ext cx="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xdr:cNvPicPr>
          <a:picLocks noChangeAspect="1"/>
        </xdr:cNvPicPr>
      </xdr:nvPicPr>
      <xdr:blipFill>
        <a:blip r:embed="rId702" cstate="email"/>
        <a:stretch>
          <a:fillRect/>
        </a:stretch>
      </xdr:blipFill>
      <xdr:spPr>
        <a:xfrm>
          <a:off x="243840" y="674557325"/>
          <a:ext cx="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xdr:cNvPicPr>
          <a:picLocks noChangeAspect="1"/>
        </xdr:cNvPicPr>
      </xdr:nvPicPr>
      <xdr:blipFill>
        <a:blip r:embed="rId703" cstate="email"/>
        <a:stretch>
          <a:fillRect/>
        </a:stretch>
      </xdr:blipFill>
      <xdr:spPr>
        <a:xfrm>
          <a:off x="179705" y="669644330"/>
          <a:ext cx="64135" cy="652145"/>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xdr:cNvPicPr>
          <a:picLocks noChangeAspect="1"/>
        </xdr:cNvPicPr>
      </xdr:nvPicPr>
      <xdr:blipFill>
        <a:blip r:embed="rId703" cstate="email"/>
        <a:stretch>
          <a:fillRect/>
        </a:stretch>
      </xdr:blipFill>
      <xdr:spPr>
        <a:xfrm>
          <a:off x="214630" y="670354260"/>
          <a:ext cx="29210" cy="652780"/>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xdr:cNvPicPr>
          <a:picLocks noChangeAspect="1"/>
        </xdr:cNvPicPr>
      </xdr:nvPicPr>
      <xdr:blipFill>
        <a:blip r:embed="rId703" cstate="email"/>
        <a:stretch>
          <a:fillRect/>
        </a:stretch>
      </xdr:blipFill>
      <xdr:spPr>
        <a:xfrm>
          <a:off x="226695" y="671041330"/>
          <a:ext cx="17145" cy="652145"/>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xdr:cNvPicPr>
          <a:picLocks noChangeAspect="1"/>
        </xdr:cNvPicPr>
      </xdr:nvPicPr>
      <xdr:blipFill>
        <a:blip r:embed="rId703" cstate="email"/>
        <a:stretch>
          <a:fillRect/>
        </a:stretch>
      </xdr:blipFill>
      <xdr:spPr>
        <a:xfrm>
          <a:off x="215900" y="671752530"/>
          <a:ext cx="27940" cy="652145"/>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xdr:cNvPicPr>
          <a:picLocks noChangeAspect="1"/>
        </xdr:cNvPicPr>
      </xdr:nvPicPr>
      <xdr:blipFill>
        <a:blip r:embed="rId704" cstate="email"/>
        <a:stretch>
          <a:fillRect/>
        </a:stretch>
      </xdr:blipFill>
      <xdr:spPr>
        <a:xfrm>
          <a:off x="191770" y="668980755"/>
          <a:ext cx="52070" cy="630555"/>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xdr:cNvPicPr>
          <a:picLocks noChangeAspect="1"/>
        </xdr:cNvPicPr>
      </xdr:nvPicPr>
      <xdr:blipFill>
        <a:blip r:embed="rId705" cstate="email"/>
        <a:stretch>
          <a:fillRect/>
        </a:stretch>
      </xdr:blipFill>
      <xdr:spPr>
        <a:xfrm>
          <a:off x="212090" y="658468965"/>
          <a:ext cx="31750" cy="647700"/>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xdr:cNvPicPr>
          <a:picLocks noChangeAspect="1"/>
        </xdr:cNvPicPr>
      </xdr:nvPicPr>
      <xdr:blipFill>
        <a:blip r:embed="rId706" cstate="email"/>
        <a:stretch>
          <a:fillRect/>
        </a:stretch>
      </xdr:blipFill>
      <xdr:spPr>
        <a:xfrm>
          <a:off x="243840" y="657803485"/>
          <a:ext cx="0" cy="675640"/>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xdr:cNvPicPr>
          <a:picLocks noChangeAspect="1"/>
        </xdr:cNvPicPr>
      </xdr:nvPicPr>
      <xdr:blipFill>
        <a:blip r:embed="rId707" cstate="email"/>
        <a:stretch>
          <a:fillRect/>
        </a:stretch>
      </xdr:blipFill>
      <xdr:spPr>
        <a:xfrm>
          <a:off x="189865" y="675255190"/>
          <a:ext cx="53975" cy="664210"/>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xdr:cNvPicPr>
          <a:picLocks noChangeAspect="1"/>
        </xdr:cNvPicPr>
      </xdr:nvPicPr>
      <xdr:blipFill>
        <a:blip r:embed="rId708" cstate="email"/>
        <a:stretch>
          <a:fillRect/>
        </a:stretch>
      </xdr:blipFill>
      <xdr:spPr>
        <a:xfrm>
          <a:off x="243840" y="687106830"/>
          <a:ext cx="0" cy="668020"/>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xdr:cNvPicPr>
          <a:picLocks noChangeAspect="1"/>
        </xdr:cNvPicPr>
      </xdr:nvPicPr>
      <xdr:blipFill>
        <a:blip r:embed="rId508" cstate="email"/>
        <a:stretch>
          <a:fillRect/>
        </a:stretch>
      </xdr:blipFill>
      <xdr:spPr>
        <a:xfrm>
          <a:off x="243840" y="560015390"/>
          <a:ext cx="0" cy="607695"/>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xdr:cNvPicPr>
          <a:picLocks noChangeAspect="1"/>
        </xdr:cNvPicPr>
      </xdr:nvPicPr>
      <xdr:blipFill>
        <a:blip r:embed="rId539" cstate="email"/>
        <a:stretch>
          <a:fillRect/>
        </a:stretch>
      </xdr:blipFill>
      <xdr:spPr>
        <a:xfrm>
          <a:off x="243840" y="591442810"/>
          <a:ext cx="0" cy="605790"/>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xdr:cNvPicPr>
          <a:picLocks noChangeAspect="1"/>
        </xdr:cNvPicPr>
      </xdr:nvPicPr>
      <xdr:blipFill>
        <a:blip r:embed="rId539" cstate="email"/>
        <a:stretch>
          <a:fillRect/>
        </a:stretch>
      </xdr:blipFill>
      <xdr:spPr>
        <a:xfrm>
          <a:off x="243840" y="709489310"/>
          <a:ext cx="0" cy="605790"/>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xdr:cNvPicPr>
          <a:picLocks noChangeAspect="1"/>
        </xdr:cNvPicPr>
      </xdr:nvPicPr>
      <xdr:blipFill>
        <a:blip r:embed="rId539" cstate="email"/>
        <a:stretch>
          <a:fillRect/>
        </a:stretch>
      </xdr:blipFill>
      <xdr:spPr>
        <a:xfrm>
          <a:off x="243840" y="709489310"/>
          <a:ext cx="0" cy="605790"/>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xdr:cNvPicPr>
          <a:picLocks noChangeAspect="1"/>
        </xdr:cNvPicPr>
      </xdr:nvPicPr>
      <xdr:blipFill>
        <a:blip r:embed="rId709" cstate="email"/>
        <a:stretch>
          <a:fillRect/>
        </a:stretch>
      </xdr:blipFill>
      <xdr:spPr>
        <a:xfrm>
          <a:off x="243840" y="596341200"/>
          <a:ext cx="0" cy="622300"/>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xdr:cNvPicPr>
          <a:picLocks noChangeAspect="1"/>
        </xdr:cNvPicPr>
      </xdr:nvPicPr>
      <xdr:blipFill>
        <a:blip r:embed="rId694" cstate="email"/>
        <a:stretch>
          <a:fillRect/>
        </a:stretch>
      </xdr:blipFill>
      <xdr:spPr>
        <a:xfrm>
          <a:off x="228600" y="710192255"/>
          <a:ext cx="15240" cy="633095"/>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xdr:cNvPicPr>
          <a:picLocks noChangeAspect="1"/>
        </xdr:cNvPicPr>
      </xdr:nvPicPr>
      <xdr:blipFill>
        <a:blip r:embed="rId615" cstate="email"/>
        <a:stretch>
          <a:fillRect/>
        </a:stretch>
      </xdr:blipFill>
      <xdr:spPr>
        <a:xfrm>
          <a:off x="243840" y="616578650"/>
          <a:ext cx="0" cy="608330"/>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xdr:cNvPicPr>
          <a:picLocks noChangeAspect="1"/>
        </xdr:cNvPicPr>
      </xdr:nvPicPr>
      <xdr:blipFill>
        <a:blip r:embed="rId654" cstate="email"/>
        <a:stretch>
          <a:fillRect/>
        </a:stretch>
      </xdr:blipFill>
      <xdr:spPr>
        <a:xfrm>
          <a:off x="227330" y="713687930"/>
          <a:ext cx="16510" cy="671195"/>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xdr:cNvPicPr>
          <a:picLocks noChangeAspect="1"/>
        </xdr:cNvPicPr>
      </xdr:nvPicPr>
      <xdr:blipFill>
        <a:blip r:embed="rId710" cstate="email"/>
        <a:stretch>
          <a:fillRect/>
        </a:stretch>
      </xdr:blipFill>
      <xdr:spPr>
        <a:xfrm>
          <a:off x="213360" y="717191860"/>
          <a:ext cx="30480"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xdr:cNvPicPr>
          <a:picLocks noChangeAspect="1"/>
        </xdr:cNvPicPr>
      </xdr:nvPicPr>
      <xdr:blipFill>
        <a:blip r:embed="rId711" cstate="email"/>
        <a:stretch>
          <a:fillRect/>
        </a:stretch>
      </xdr:blipFill>
      <xdr:spPr>
        <a:xfrm>
          <a:off x="243840" y="717880200"/>
          <a:ext cx="0" cy="626745"/>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xdr:cNvPicPr>
          <a:picLocks noChangeAspect="1"/>
        </xdr:cNvPicPr>
      </xdr:nvPicPr>
      <xdr:blipFill>
        <a:blip r:embed="rId712" cstate="email"/>
        <a:stretch>
          <a:fillRect/>
        </a:stretch>
      </xdr:blipFill>
      <xdr:spPr>
        <a:xfrm>
          <a:off x="243840" y="718566000"/>
          <a:ext cx="0" cy="631825"/>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xdr:cNvPicPr>
          <a:picLocks noChangeAspect="1"/>
        </xdr:cNvPicPr>
      </xdr:nvPicPr>
      <xdr:blipFill>
        <a:blip r:embed="rId713" cstate="email"/>
        <a:stretch>
          <a:fillRect/>
        </a:stretch>
      </xdr:blipFill>
      <xdr:spPr>
        <a:xfrm>
          <a:off x="172720" y="719261325"/>
          <a:ext cx="71120" cy="641350"/>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xdr:cNvPicPr>
          <a:picLocks noChangeAspect="1"/>
        </xdr:cNvPicPr>
      </xdr:nvPicPr>
      <xdr:blipFill>
        <a:blip r:embed="rId713" cstate="email"/>
        <a:stretch>
          <a:fillRect/>
        </a:stretch>
      </xdr:blipFill>
      <xdr:spPr>
        <a:xfrm>
          <a:off x="197485" y="719962365"/>
          <a:ext cx="46355" cy="641985"/>
        </a:xfrm>
        <a:prstGeom prst="rect">
          <a:avLst/>
        </a:prstGeom>
      </xdr:spPr>
    </xdr:pic>
    <xdr:clientData/>
  </xdr:twoCellAnchor>
  <xdr:twoCellAnchor editAs="oneCell">
    <xdr:from>
      <xdr:col>1</xdr:col>
      <xdr:colOff>101600</xdr:colOff>
      <xdr:row>1032</xdr:row>
      <xdr:rowOff>42848</xdr:rowOff>
    </xdr:from>
    <xdr:to>
      <xdr:col>2</xdr:col>
      <xdr:colOff>0</xdr:colOff>
      <xdr:row>1032</xdr:row>
      <xdr:rowOff>663707</xdr:rowOff>
    </xdr:to>
    <xdr:pic>
      <xdr:nvPicPr>
        <xdr:cNvPr id="885" name="Picture 884"/>
        <xdr:cNvPicPr>
          <a:picLocks noChangeAspect="1"/>
        </xdr:cNvPicPr>
      </xdr:nvPicPr>
      <xdr:blipFill>
        <a:blip r:embed="rId714" cstate="email"/>
        <a:stretch>
          <a:fillRect/>
        </a:stretch>
      </xdr:blipFill>
      <xdr:spPr>
        <a:xfrm>
          <a:off x="223520" y="720665945"/>
          <a:ext cx="20320" cy="621030"/>
        </a:xfrm>
        <a:prstGeom prst="rect">
          <a:avLst/>
        </a:prstGeom>
      </xdr:spPr>
    </xdr:pic>
    <xdr:clientData/>
  </xdr:twoCellAnchor>
  <xdr:twoCellAnchor editAs="oneCell">
    <xdr:from>
      <xdr:col>1</xdr:col>
      <xdr:colOff>101600</xdr:colOff>
      <xdr:row>1033</xdr:row>
      <xdr:rowOff>38100</xdr:rowOff>
    </xdr:from>
    <xdr:to>
      <xdr:col>2</xdr:col>
      <xdr:colOff>0</xdr:colOff>
      <xdr:row>1033</xdr:row>
      <xdr:rowOff>658959</xdr:rowOff>
    </xdr:to>
    <xdr:pic>
      <xdr:nvPicPr>
        <xdr:cNvPr id="886" name="Picture 885"/>
        <xdr:cNvPicPr>
          <a:picLocks noChangeAspect="1"/>
        </xdr:cNvPicPr>
      </xdr:nvPicPr>
      <xdr:blipFill>
        <a:blip r:embed="rId714" cstate="email"/>
        <a:stretch>
          <a:fillRect/>
        </a:stretch>
      </xdr:blipFill>
      <xdr:spPr>
        <a:xfrm>
          <a:off x="223520" y="721360000"/>
          <a:ext cx="20320" cy="620395"/>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xdr:cNvPicPr>
          <a:picLocks noChangeAspect="1"/>
        </xdr:cNvPicPr>
      </xdr:nvPicPr>
      <xdr:blipFill>
        <a:blip r:embed="rId715" cstate="email"/>
        <a:stretch>
          <a:fillRect/>
        </a:stretch>
      </xdr:blipFill>
      <xdr:spPr>
        <a:xfrm>
          <a:off x="223520" y="722071200"/>
          <a:ext cx="20320" cy="62484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xdr:cNvPicPr>
          <a:picLocks noChangeAspect="1"/>
        </xdr:cNvPicPr>
      </xdr:nvPicPr>
      <xdr:blipFill>
        <a:blip r:embed="rId716" cstate="email"/>
        <a:stretch>
          <a:fillRect/>
        </a:stretch>
      </xdr:blipFill>
      <xdr:spPr>
        <a:xfrm>
          <a:off x="236220" y="722782400"/>
          <a:ext cx="7620" cy="598170"/>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xdr:cNvPicPr>
          <a:picLocks noChangeAspect="1"/>
        </xdr:cNvPicPr>
      </xdr:nvPicPr>
      <xdr:blipFill>
        <a:blip r:embed="rId717" cstate="email"/>
        <a:stretch>
          <a:fillRect/>
        </a:stretch>
      </xdr:blipFill>
      <xdr:spPr>
        <a:xfrm>
          <a:off x="236220" y="723452325"/>
          <a:ext cx="7620" cy="638175"/>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xdr:cNvPicPr>
          <a:picLocks noChangeAspect="1"/>
        </xdr:cNvPicPr>
      </xdr:nvPicPr>
      <xdr:blipFill>
        <a:blip r:embed="rId718" cstate="email"/>
        <a:stretch>
          <a:fillRect/>
        </a:stretch>
      </xdr:blipFill>
      <xdr:spPr>
        <a:xfrm>
          <a:off x="223520" y="724154000"/>
          <a:ext cx="20320" cy="637540"/>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xdr:cNvPicPr>
          <a:picLocks noChangeAspect="1"/>
        </xdr:cNvPicPr>
      </xdr:nvPicPr>
      <xdr:blipFill>
        <a:blip r:embed="rId719" cstate="email"/>
        <a:stretch>
          <a:fillRect/>
        </a:stretch>
      </xdr:blipFill>
      <xdr:spPr>
        <a:xfrm>
          <a:off x="198120" y="724839800"/>
          <a:ext cx="45720" cy="637540"/>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xdr:cNvPicPr>
          <a:picLocks noChangeAspect="1"/>
        </xdr:cNvPicPr>
      </xdr:nvPicPr>
      <xdr:blipFill>
        <a:blip r:embed="rId720" cstate="email"/>
        <a:stretch>
          <a:fillRect/>
        </a:stretch>
      </xdr:blipFill>
      <xdr:spPr>
        <a:xfrm>
          <a:off x="177165" y="725579575"/>
          <a:ext cx="66675" cy="584835"/>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xdr:cNvPicPr>
          <a:picLocks noChangeAspect="1"/>
        </xdr:cNvPicPr>
      </xdr:nvPicPr>
      <xdr:blipFill>
        <a:blip r:embed="rId720" cstate="email"/>
        <a:stretch>
          <a:fillRect/>
        </a:stretch>
      </xdr:blipFill>
      <xdr:spPr>
        <a:xfrm>
          <a:off x="233045" y="726278075"/>
          <a:ext cx="10795" cy="584835"/>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xdr:cNvPicPr>
          <a:picLocks noChangeAspect="1"/>
        </xdr:cNvPicPr>
      </xdr:nvPicPr>
      <xdr:blipFill>
        <a:blip r:embed="rId720" cstate="email"/>
        <a:stretch>
          <a:fillRect/>
        </a:stretch>
      </xdr:blipFill>
      <xdr:spPr>
        <a:xfrm>
          <a:off x="243840" y="726954350"/>
          <a:ext cx="0" cy="584835"/>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xdr:cNvPicPr>
          <a:picLocks noChangeAspect="1"/>
        </xdr:cNvPicPr>
      </xdr:nvPicPr>
      <xdr:blipFill>
        <a:blip r:embed="rId721" cstate="email"/>
        <a:stretch>
          <a:fillRect/>
        </a:stretch>
      </xdr:blipFill>
      <xdr:spPr>
        <a:xfrm>
          <a:off x="233045" y="727640785"/>
          <a:ext cx="10795" cy="63563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xdr:cNvPicPr>
          <a:picLocks noChangeAspect="1"/>
        </xdr:cNvPicPr>
      </xdr:nvPicPr>
      <xdr:blipFill>
        <a:blip r:embed="rId722" cstate="email"/>
        <a:stretch>
          <a:fillRect/>
        </a:stretch>
      </xdr:blipFill>
      <xdr:spPr>
        <a:xfrm>
          <a:off x="166370" y="728339920"/>
          <a:ext cx="77470" cy="645160"/>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xdr:cNvPicPr>
          <a:picLocks noChangeAspect="1"/>
        </xdr:cNvPicPr>
      </xdr:nvPicPr>
      <xdr:blipFill>
        <a:blip r:embed="rId723" cstate="email"/>
        <a:stretch>
          <a:fillRect/>
        </a:stretch>
      </xdr:blipFill>
      <xdr:spPr>
        <a:xfrm>
          <a:off x="188595" y="729060645"/>
          <a:ext cx="55245" cy="643255"/>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xdr:cNvPicPr>
          <a:picLocks noChangeAspect="1"/>
        </xdr:cNvPicPr>
      </xdr:nvPicPr>
      <xdr:blipFill>
        <a:blip r:embed="rId724" cstate="email"/>
        <a:stretch>
          <a:fillRect/>
        </a:stretch>
      </xdr:blipFill>
      <xdr:spPr>
        <a:xfrm>
          <a:off x="177165" y="729750890"/>
          <a:ext cx="66675" cy="621030"/>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xdr:cNvPicPr>
          <a:picLocks noChangeAspect="1"/>
        </xdr:cNvPicPr>
      </xdr:nvPicPr>
      <xdr:blipFill>
        <a:blip r:embed="rId725" cstate="email"/>
        <a:stretch>
          <a:fillRect/>
        </a:stretch>
      </xdr:blipFill>
      <xdr:spPr>
        <a:xfrm>
          <a:off x="199390" y="730435420"/>
          <a:ext cx="44450" cy="621030"/>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xdr:cNvPicPr>
          <a:picLocks noChangeAspect="1"/>
        </xdr:cNvPicPr>
      </xdr:nvPicPr>
      <xdr:blipFill>
        <a:blip r:embed="rId726" cstate="email"/>
        <a:stretch>
          <a:fillRect/>
        </a:stretch>
      </xdr:blipFill>
      <xdr:spPr>
        <a:xfrm>
          <a:off x="188595" y="731156145"/>
          <a:ext cx="55245" cy="621030"/>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xdr:cNvPicPr>
          <a:picLocks noChangeAspect="1"/>
        </xdr:cNvPicPr>
      </xdr:nvPicPr>
      <xdr:blipFill>
        <a:blip r:embed="rId727" cstate="email"/>
        <a:stretch>
          <a:fillRect/>
        </a:stretch>
      </xdr:blipFill>
      <xdr:spPr>
        <a:xfrm>
          <a:off x="188595" y="731841945"/>
          <a:ext cx="55245" cy="625475"/>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xdr:cNvPicPr>
          <a:picLocks noChangeAspect="1"/>
        </xdr:cNvPicPr>
      </xdr:nvPicPr>
      <xdr:blipFill>
        <a:blip r:embed="rId727" cstate="email"/>
        <a:stretch>
          <a:fillRect/>
        </a:stretch>
      </xdr:blipFill>
      <xdr:spPr>
        <a:xfrm>
          <a:off x="188595" y="732520125"/>
          <a:ext cx="55245" cy="625475"/>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xdr:cNvPicPr>
          <a:picLocks noChangeAspect="1"/>
        </xdr:cNvPicPr>
      </xdr:nvPicPr>
      <xdr:blipFill>
        <a:blip r:embed="rId728" cstate="email"/>
        <a:stretch>
          <a:fillRect/>
        </a:stretch>
      </xdr:blipFill>
      <xdr:spPr>
        <a:xfrm>
          <a:off x="207010" y="733248470"/>
          <a:ext cx="36830" cy="625475"/>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xdr:cNvPicPr>
          <a:picLocks noChangeAspect="1"/>
        </xdr:cNvPicPr>
      </xdr:nvPicPr>
      <xdr:blipFill>
        <a:blip r:embed="rId729" cstate="email"/>
        <a:stretch>
          <a:fillRect/>
        </a:stretch>
      </xdr:blipFill>
      <xdr:spPr>
        <a:xfrm>
          <a:off x="233045" y="736733350"/>
          <a:ext cx="10795" cy="629920"/>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xdr:cNvPicPr>
          <a:picLocks noChangeAspect="1"/>
        </xdr:cNvPicPr>
      </xdr:nvPicPr>
      <xdr:blipFill>
        <a:blip r:embed="rId730" cstate="email"/>
        <a:stretch>
          <a:fillRect/>
        </a:stretch>
      </xdr:blipFill>
      <xdr:spPr>
        <a:xfrm>
          <a:off x="199390" y="734626420"/>
          <a:ext cx="44450" cy="630555"/>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xdr:cNvPicPr>
          <a:picLocks noChangeAspect="1"/>
        </xdr:cNvPicPr>
      </xdr:nvPicPr>
      <xdr:blipFill>
        <a:blip r:embed="rId731" cstate="email"/>
        <a:stretch>
          <a:fillRect/>
        </a:stretch>
      </xdr:blipFill>
      <xdr:spPr>
        <a:xfrm>
          <a:off x="218440" y="735343970"/>
          <a:ext cx="25400" cy="629920"/>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xdr:cNvPicPr>
          <a:picLocks noChangeAspect="1"/>
        </xdr:cNvPicPr>
      </xdr:nvPicPr>
      <xdr:blipFill>
        <a:blip r:embed="rId729" cstate="email"/>
        <a:stretch>
          <a:fillRect/>
        </a:stretch>
      </xdr:blipFill>
      <xdr:spPr>
        <a:xfrm>
          <a:off x="236855" y="736027230"/>
          <a:ext cx="6985" cy="630555"/>
        </a:xfrm>
        <a:prstGeom prst="rect">
          <a:avLst/>
        </a:prstGeom>
      </xdr:spPr>
    </xdr:pic>
    <xdr:clientData/>
  </xdr:twoCellAnchor>
  <xdr:twoCellAnchor editAs="oneCell">
    <xdr:from>
      <xdr:col>1</xdr:col>
      <xdr:colOff>100262</xdr:colOff>
      <xdr:row>1051</xdr:row>
      <xdr:rowOff>53202</xdr:rowOff>
    </xdr:from>
    <xdr:to>
      <xdr:col>2</xdr:col>
      <xdr:colOff>0</xdr:colOff>
      <xdr:row>1052</xdr:row>
      <xdr:rowOff>2502</xdr:rowOff>
    </xdr:to>
    <xdr:pic>
      <xdr:nvPicPr>
        <xdr:cNvPr id="908" name="Picture 907"/>
        <xdr:cNvPicPr>
          <a:picLocks noChangeAspect="1"/>
        </xdr:cNvPicPr>
      </xdr:nvPicPr>
      <xdr:blipFill>
        <a:blip r:embed="rId732" cstate="email"/>
        <a:stretch>
          <a:fillRect/>
        </a:stretch>
      </xdr:blipFill>
      <xdr:spPr>
        <a:xfrm>
          <a:off x="221615" y="733947605"/>
          <a:ext cx="22225" cy="647700"/>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xdr:cNvPicPr>
          <a:picLocks noChangeAspect="1"/>
        </xdr:cNvPicPr>
      </xdr:nvPicPr>
      <xdr:blipFill>
        <a:blip r:embed="rId733" cstate="email"/>
        <a:stretch>
          <a:fillRect/>
        </a:stretch>
      </xdr:blipFill>
      <xdr:spPr>
        <a:xfrm>
          <a:off x="210820" y="737398195"/>
          <a:ext cx="33020" cy="662940"/>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xdr:cNvPicPr>
          <a:picLocks noChangeAspect="1"/>
        </xdr:cNvPicPr>
      </xdr:nvPicPr>
      <xdr:blipFill>
        <a:blip r:embed="rId734" cstate="email"/>
        <a:stretch>
          <a:fillRect/>
        </a:stretch>
      </xdr:blipFill>
      <xdr:spPr>
        <a:xfrm>
          <a:off x="221615" y="738118920"/>
          <a:ext cx="22225"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xdr:cNvPicPr>
          <a:picLocks noChangeAspect="1"/>
        </xdr:cNvPicPr>
      </xdr:nvPicPr>
      <xdr:blipFill>
        <a:blip r:embed="rId735" cstate="email"/>
        <a:stretch>
          <a:fillRect/>
        </a:stretch>
      </xdr:blipFill>
      <xdr:spPr>
        <a:xfrm>
          <a:off x="166370" y="738837740"/>
          <a:ext cx="77470" cy="640080"/>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xdr:cNvPicPr>
          <a:picLocks noChangeAspect="1"/>
        </xdr:cNvPicPr>
      </xdr:nvPicPr>
      <xdr:blipFill>
        <a:blip r:embed="rId736" cstate="email"/>
        <a:stretch>
          <a:fillRect/>
        </a:stretch>
      </xdr:blipFill>
      <xdr:spPr>
        <a:xfrm>
          <a:off x="229870" y="739515920"/>
          <a:ext cx="13970" cy="635635"/>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xdr:cNvPicPr>
          <a:picLocks noChangeAspect="1"/>
        </xdr:cNvPicPr>
      </xdr:nvPicPr>
      <xdr:blipFill>
        <a:blip r:embed="rId737" cstate="email"/>
        <a:stretch>
          <a:fillRect/>
        </a:stretch>
      </xdr:blipFill>
      <xdr:spPr>
        <a:xfrm>
          <a:off x="243840" y="740225850"/>
          <a:ext cx="0" cy="635635"/>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xdr:cNvPicPr>
          <a:picLocks noChangeAspect="1"/>
        </xdr:cNvPicPr>
      </xdr:nvPicPr>
      <xdr:blipFill>
        <a:blip r:embed="rId737" cstate="email"/>
        <a:stretch>
          <a:fillRect/>
        </a:stretch>
      </xdr:blipFill>
      <xdr:spPr>
        <a:xfrm>
          <a:off x="243840" y="740909745"/>
          <a:ext cx="0" cy="635635"/>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xdr:cNvPicPr>
          <a:picLocks noChangeAspect="1"/>
        </xdr:cNvPicPr>
      </xdr:nvPicPr>
      <xdr:blipFill>
        <a:blip r:embed="rId738" cstate="email"/>
        <a:stretch>
          <a:fillRect/>
        </a:stretch>
      </xdr:blipFill>
      <xdr:spPr>
        <a:xfrm>
          <a:off x="231775" y="741633010"/>
          <a:ext cx="12065" cy="607695"/>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xdr:cNvPicPr>
          <a:picLocks noChangeAspect="1"/>
        </xdr:cNvPicPr>
      </xdr:nvPicPr>
      <xdr:blipFill>
        <a:blip r:embed="rId739" cstate="email"/>
        <a:stretch>
          <a:fillRect/>
        </a:stretch>
      </xdr:blipFill>
      <xdr:spPr>
        <a:xfrm>
          <a:off x="218440" y="742320715"/>
          <a:ext cx="25400" cy="612775"/>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xdr:cNvPicPr>
          <a:picLocks noChangeAspect="1"/>
        </xdr:cNvPicPr>
      </xdr:nvPicPr>
      <xdr:blipFill>
        <a:blip r:embed="rId740" cstate="email"/>
        <a:stretch>
          <a:fillRect/>
        </a:stretch>
      </xdr:blipFill>
      <xdr:spPr>
        <a:xfrm>
          <a:off x="176530" y="743025565"/>
          <a:ext cx="67310" cy="624205"/>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xdr:cNvPicPr>
          <a:picLocks noChangeAspect="1"/>
        </xdr:cNvPicPr>
      </xdr:nvPicPr>
      <xdr:blipFill>
        <a:blip r:embed="rId741" cstate="email"/>
        <a:stretch>
          <a:fillRect/>
        </a:stretch>
      </xdr:blipFill>
      <xdr:spPr>
        <a:xfrm>
          <a:off x="176530" y="743715175"/>
          <a:ext cx="67310" cy="64833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xdr:cNvPicPr>
          <a:picLocks noChangeAspect="1"/>
        </xdr:cNvPicPr>
      </xdr:nvPicPr>
      <xdr:blipFill>
        <a:blip r:embed="rId742" cstate="email"/>
        <a:stretch>
          <a:fillRect/>
        </a:stretch>
      </xdr:blipFill>
      <xdr:spPr>
        <a:xfrm>
          <a:off x="218440" y="744421930"/>
          <a:ext cx="25400" cy="590550"/>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xdr:cNvPicPr>
          <a:picLocks noChangeAspect="1"/>
        </xdr:cNvPicPr>
      </xdr:nvPicPr>
      <xdr:blipFill>
        <a:blip r:embed="rId743" cstate="email"/>
        <a:stretch>
          <a:fillRect/>
        </a:stretch>
      </xdr:blipFill>
      <xdr:spPr>
        <a:xfrm>
          <a:off x="243840" y="745126145"/>
          <a:ext cx="0" cy="640715"/>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xdr:cNvPicPr>
          <a:picLocks noChangeAspect="1"/>
        </xdr:cNvPicPr>
      </xdr:nvPicPr>
      <xdr:blipFill>
        <a:blip r:embed="rId744" cstate="email"/>
        <a:stretch>
          <a:fillRect/>
        </a:stretch>
      </xdr:blipFill>
      <xdr:spPr>
        <a:xfrm>
          <a:off x="218440" y="745832900"/>
          <a:ext cx="25400" cy="591185"/>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xdr:cNvPicPr>
          <a:picLocks noChangeAspect="1"/>
        </xdr:cNvPicPr>
      </xdr:nvPicPr>
      <xdr:blipFill>
        <a:blip r:embed="rId745" cstate="email"/>
        <a:stretch>
          <a:fillRect/>
        </a:stretch>
      </xdr:blipFill>
      <xdr:spPr>
        <a:xfrm>
          <a:off x="243840" y="746518065"/>
          <a:ext cx="0" cy="629285"/>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xdr:cNvPicPr>
          <a:picLocks noChangeAspect="1"/>
        </xdr:cNvPicPr>
      </xdr:nvPicPr>
      <xdr:blipFill>
        <a:blip r:embed="rId746" cstate="email"/>
        <a:stretch>
          <a:fillRect/>
        </a:stretch>
      </xdr:blipFill>
      <xdr:spPr>
        <a:xfrm>
          <a:off x="210820" y="747195610"/>
          <a:ext cx="33020" cy="641350"/>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xdr:cNvPicPr>
          <a:picLocks noChangeAspect="1"/>
        </xdr:cNvPicPr>
      </xdr:nvPicPr>
      <xdr:blipFill>
        <a:blip r:embed="rId747" cstate="email"/>
        <a:stretch>
          <a:fillRect/>
        </a:stretch>
      </xdr:blipFill>
      <xdr:spPr>
        <a:xfrm>
          <a:off x="236220" y="747910620"/>
          <a:ext cx="7620" cy="653415"/>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xdr:cNvPicPr>
          <a:picLocks noChangeAspect="1"/>
        </xdr:cNvPicPr>
      </xdr:nvPicPr>
      <xdr:blipFill>
        <a:blip r:embed="rId748" cstate="email"/>
        <a:stretch>
          <a:fillRect/>
        </a:stretch>
      </xdr:blipFill>
      <xdr:spPr>
        <a:xfrm>
          <a:off x="243840" y="748623725"/>
          <a:ext cx="0" cy="587375"/>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xdr:cNvPicPr>
          <a:picLocks noChangeAspect="1"/>
        </xdr:cNvPicPr>
      </xdr:nvPicPr>
      <xdr:blipFill>
        <a:blip r:embed="rId749" cstate="email"/>
        <a:stretch>
          <a:fillRect/>
        </a:stretch>
      </xdr:blipFill>
      <xdr:spPr>
        <a:xfrm>
          <a:off x="210820" y="749312700"/>
          <a:ext cx="33020" cy="604520"/>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xdr:cNvPicPr>
          <a:picLocks noChangeAspect="1"/>
        </xdr:cNvPicPr>
      </xdr:nvPicPr>
      <xdr:blipFill>
        <a:blip r:embed="rId750" cstate="email"/>
        <a:stretch>
          <a:fillRect/>
        </a:stretch>
      </xdr:blipFill>
      <xdr:spPr>
        <a:xfrm>
          <a:off x="217170" y="750011200"/>
          <a:ext cx="2667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xdr:cNvPicPr>
          <a:picLocks noChangeAspect="1"/>
        </xdr:cNvPicPr>
      </xdr:nvPicPr>
      <xdr:blipFill>
        <a:blip r:embed="rId751" cstate="email"/>
        <a:stretch>
          <a:fillRect/>
        </a:stretch>
      </xdr:blipFill>
      <xdr:spPr>
        <a:xfrm>
          <a:off x="210820" y="750714780"/>
          <a:ext cx="33020" cy="642620"/>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xdr:cNvPicPr>
          <a:picLocks noChangeAspect="1"/>
        </xdr:cNvPicPr>
      </xdr:nvPicPr>
      <xdr:blipFill>
        <a:blip r:embed="rId752" cstate="email"/>
        <a:stretch>
          <a:fillRect/>
        </a:stretch>
      </xdr:blipFill>
      <xdr:spPr>
        <a:xfrm>
          <a:off x="243840" y="751392960"/>
          <a:ext cx="0" cy="637540"/>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xdr:cNvPicPr>
          <a:picLocks noChangeAspect="1"/>
        </xdr:cNvPicPr>
      </xdr:nvPicPr>
      <xdr:blipFill>
        <a:blip r:embed="rId753" cstate="email"/>
        <a:stretch>
          <a:fillRect/>
        </a:stretch>
      </xdr:blipFill>
      <xdr:spPr>
        <a:xfrm>
          <a:off x="243840" y="752119400"/>
          <a:ext cx="0" cy="611505"/>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xdr:cNvPicPr>
          <a:picLocks noChangeAspect="1"/>
        </xdr:cNvPicPr>
      </xdr:nvPicPr>
      <xdr:blipFill>
        <a:blip r:embed="rId754" cstate="email"/>
        <a:stretch>
          <a:fillRect/>
        </a:stretch>
      </xdr:blipFill>
      <xdr:spPr>
        <a:xfrm>
          <a:off x="243840" y="752805200"/>
          <a:ext cx="0" cy="626110"/>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xdr:cNvPicPr>
          <a:picLocks noChangeAspect="1"/>
        </xdr:cNvPicPr>
      </xdr:nvPicPr>
      <xdr:blipFill>
        <a:blip r:embed="rId754" cstate="email"/>
        <a:stretch>
          <a:fillRect/>
        </a:stretch>
      </xdr:blipFill>
      <xdr:spPr>
        <a:xfrm>
          <a:off x="243840" y="753503700"/>
          <a:ext cx="0" cy="626110"/>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xdr:cNvPicPr>
          <a:picLocks noChangeAspect="1"/>
        </xdr:cNvPicPr>
      </xdr:nvPicPr>
      <xdr:blipFill>
        <a:blip r:embed="rId755" cstate="email"/>
        <a:stretch>
          <a:fillRect/>
        </a:stretch>
      </xdr:blipFill>
      <xdr:spPr>
        <a:xfrm>
          <a:off x="182880" y="754193310"/>
          <a:ext cx="60960" cy="63500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xdr:cNvPicPr>
          <a:picLocks noChangeAspect="1"/>
        </xdr:cNvPicPr>
      </xdr:nvPicPr>
      <xdr:blipFill>
        <a:blip r:embed="rId756" cstate="email"/>
        <a:stretch>
          <a:fillRect/>
        </a:stretch>
      </xdr:blipFill>
      <xdr:spPr>
        <a:xfrm>
          <a:off x="229870" y="754891175"/>
          <a:ext cx="13970" cy="607695"/>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xdr:cNvPicPr>
          <a:picLocks noChangeAspect="1"/>
        </xdr:cNvPicPr>
      </xdr:nvPicPr>
      <xdr:blipFill>
        <a:blip r:embed="rId757" cstate="email"/>
        <a:stretch>
          <a:fillRect/>
        </a:stretch>
      </xdr:blipFill>
      <xdr:spPr>
        <a:xfrm>
          <a:off x="243840" y="755602375"/>
          <a:ext cx="0" cy="607695"/>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xdr:cNvPicPr>
          <a:picLocks noChangeAspect="1"/>
        </xdr:cNvPicPr>
      </xdr:nvPicPr>
      <xdr:blipFill>
        <a:blip r:embed="rId758" cstate="email"/>
        <a:stretch>
          <a:fillRect/>
        </a:stretch>
      </xdr:blipFill>
      <xdr:spPr>
        <a:xfrm>
          <a:off x="243840" y="756284365"/>
          <a:ext cx="0" cy="62230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xdr:cNvPicPr>
          <a:picLocks noChangeAspect="1"/>
        </xdr:cNvPicPr>
      </xdr:nvPicPr>
      <xdr:blipFill>
        <a:blip r:embed="rId759" cstate="email"/>
        <a:stretch>
          <a:fillRect/>
        </a:stretch>
      </xdr:blipFill>
      <xdr:spPr>
        <a:xfrm>
          <a:off x="243840" y="756965085"/>
          <a:ext cx="0" cy="621665"/>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xdr:cNvPicPr>
          <a:picLocks noChangeAspect="1"/>
        </xdr:cNvPicPr>
      </xdr:nvPicPr>
      <xdr:blipFill>
        <a:blip r:embed="rId759" cstate="email"/>
        <a:stretch>
          <a:fillRect/>
        </a:stretch>
      </xdr:blipFill>
      <xdr:spPr>
        <a:xfrm>
          <a:off x="243840" y="757692160"/>
          <a:ext cx="0" cy="621665"/>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xdr:cNvPicPr>
          <a:picLocks noChangeAspect="1"/>
        </xdr:cNvPicPr>
      </xdr:nvPicPr>
      <xdr:blipFill>
        <a:blip r:embed="rId759" cstate="email"/>
        <a:stretch>
          <a:fillRect/>
        </a:stretch>
      </xdr:blipFill>
      <xdr:spPr>
        <a:xfrm>
          <a:off x="243840" y="758372880"/>
          <a:ext cx="0" cy="621665"/>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xdr:cNvPicPr>
          <a:picLocks noChangeAspect="1"/>
        </xdr:cNvPicPr>
      </xdr:nvPicPr>
      <xdr:blipFill>
        <a:blip r:embed="rId760" cstate="email"/>
        <a:stretch>
          <a:fillRect/>
        </a:stretch>
      </xdr:blipFill>
      <xdr:spPr>
        <a:xfrm>
          <a:off x="229870" y="759102495"/>
          <a:ext cx="13970" cy="640715"/>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xdr:cNvPicPr>
          <a:picLocks noChangeAspect="1"/>
        </xdr:cNvPicPr>
      </xdr:nvPicPr>
      <xdr:blipFill>
        <a:blip r:embed="rId761" cstate="email"/>
        <a:stretch>
          <a:fillRect/>
        </a:stretch>
      </xdr:blipFill>
      <xdr:spPr>
        <a:xfrm>
          <a:off x="229870" y="759821315"/>
          <a:ext cx="13970" cy="568325"/>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xdr:cNvPicPr>
          <a:picLocks noChangeAspect="1"/>
        </xdr:cNvPicPr>
      </xdr:nvPicPr>
      <xdr:blipFill>
        <a:blip r:embed="rId762" cstate="email"/>
        <a:stretch>
          <a:fillRect/>
        </a:stretch>
      </xdr:blipFill>
      <xdr:spPr>
        <a:xfrm>
          <a:off x="229870" y="760514735"/>
          <a:ext cx="13970" cy="594995"/>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xdr:cNvPicPr>
          <a:picLocks noChangeAspect="1"/>
        </xdr:cNvPicPr>
      </xdr:nvPicPr>
      <xdr:blipFill>
        <a:blip r:embed="rId763" cstate="email"/>
        <a:stretch>
          <a:fillRect/>
        </a:stretch>
      </xdr:blipFill>
      <xdr:spPr>
        <a:xfrm>
          <a:off x="243840" y="761177040"/>
          <a:ext cx="0" cy="594360"/>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xdr:cNvPicPr>
          <a:picLocks noChangeAspect="1"/>
        </xdr:cNvPicPr>
      </xdr:nvPicPr>
      <xdr:blipFill>
        <a:blip r:embed="rId764" cstate="email"/>
        <a:stretch>
          <a:fillRect/>
        </a:stretch>
      </xdr:blipFill>
      <xdr:spPr>
        <a:xfrm>
          <a:off x="196850" y="761911735"/>
          <a:ext cx="46990" cy="573405"/>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xdr:cNvPicPr>
          <a:picLocks noChangeAspect="1"/>
        </xdr:cNvPicPr>
      </xdr:nvPicPr>
      <xdr:blipFill>
        <a:blip r:embed="rId765" cstate="email"/>
        <a:stretch>
          <a:fillRect/>
        </a:stretch>
      </xdr:blipFill>
      <xdr:spPr>
        <a:xfrm>
          <a:off x="183515" y="762584835"/>
          <a:ext cx="60325" cy="593725"/>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xdr:cNvPicPr>
          <a:picLocks noChangeAspect="1"/>
        </xdr:cNvPicPr>
      </xdr:nvPicPr>
      <xdr:blipFill>
        <a:blip r:embed="rId766" cstate="email"/>
        <a:stretch>
          <a:fillRect/>
        </a:stretch>
      </xdr:blipFill>
      <xdr:spPr>
        <a:xfrm>
          <a:off x="236855" y="763275080"/>
          <a:ext cx="6985" cy="629920"/>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xdr:cNvPicPr>
          <a:picLocks noChangeAspect="1"/>
        </xdr:cNvPicPr>
      </xdr:nvPicPr>
      <xdr:blipFill>
        <a:blip r:embed="rId767" cstate="email"/>
        <a:stretch>
          <a:fillRect/>
        </a:stretch>
      </xdr:blipFill>
      <xdr:spPr>
        <a:xfrm>
          <a:off x="243840" y="763969135"/>
          <a:ext cx="0" cy="626110"/>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xdr:cNvPicPr>
          <a:picLocks noChangeAspect="1"/>
        </xdr:cNvPicPr>
      </xdr:nvPicPr>
      <xdr:blipFill>
        <a:blip r:embed="rId768" cstate="email"/>
        <a:stretch>
          <a:fillRect/>
        </a:stretch>
      </xdr:blipFill>
      <xdr:spPr>
        <a:xfrm>
          <a:off x="243840" y="764705735"/>
          <a:ext cx="0" cy="584200"/>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xdr:cNvPicPr>
          <a:picLocks noChangeAspect="1"/>
        </xdr:cNvPicPr>
      </xdr:nvPicPr>
      <xdr:blipFill>
        <a:blip r:embed="rId769" cstate="email"/>
        <a:stretch>
          <a:fillRect/>
        </a:stretch>
      </xdr:blipFill>
      <xdr:spPr>
        <a:xfrm>
          <a:off x="243840" y="765366770"/>
          <a:ext cx="0" cy="638810"/>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xdr:cNvPicPr>
          <a:picLocks noChangeAspect="1"/>
        </xdr:cNvPicPr>
      </xdr:nvPicPr>
      <xdr:blipFill>
        <a:blip r:embed="rId770" cstate="email"/>
        <a:stretch>
          <a:fillRect/>
        </a:stretch>
      </xdr:blipFill>
      <xdr:spPr>
        <a:xfrm>
          <a:off x="243840" y="766064000"/>
          <a:ext cx="0"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xdr:cNvPicPr>
          <a:picLocks noChangeAspect="1"/>
        </xdr:cNvPicPr>
      </xdr:nvPicPr>
      <xdr:blipFill>
        <a:blip r:embed="rId770" cstate="email"/>
        <a:stretch>
          <a:fillRect/>
        </a:stretch>
      </xdr:blipFill>
      <xdr:spPr>
        <a:xfrm>
          <a:off x="243840" y="766775200"/>
          <a:ext cx="0"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xdr:cNvPicPr>
          <a:picLocks noChangeAspect="1"/>
        </xdr:cNvPicPr>
      </xdr:nvPicPr>
      <xdr:blipFill>
        <a:blip r:embed="rId770" cstate="email"/>
        <a:stretch>
          <a:fillRect/>
        </a:stretch>
      </xdr:blipFill>
      <xdr:spPr>
        <a:xfrm>
          <a:off x="243840" y="767448300"/>
          <a:ext cx="0"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xdr:cNvPicPr>
          <a:picLocks noChangeAspect="1"/>
        </xdr:cNvPicPr>
      </xdr:nvPicPr>
      <xdr:blipFill>
        <a:blip r:embed="rId771" cstate="email"/>
        <a:stretch>
          <a:fillRect/>
        </a:stretch>
      </xdr:blipFill>
      <xdr:spPr>
        <a:xfrm>
          <a:off x="243840" y="768172835"/>
          <a:ext cx="0" cy="621665"/>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xdr:cNvPicPr>
          <a:picLocks noChangeAspect="1"/>
        </xdr:cNvPicPr>
      </xdr:nvPicPr>
      <xdr:blipFill>
        <a:blip r:embed="rId771" cstate="email"/>
        <a:stretch>
          <a:fillRect/>
        </a:stretch>
      </xdr:blipFill>
      <xdr:spPr>
        <a:xfrm>
          <a:off x="243840" y="768883400"/>
          <a:ext cx="0" cy="621030"/>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xdr:cNvPicPr>
          <a:picLocks noChangeAspect="1"/>
        </xdr:cNvPicPr>
      </xdr:nvPicPr>
      <xdr:blipFill>
        <a:blip r:embed="rId771" cstate="email"/>
        <a:stretch>
          <a:fillRect/>
        </a:stretch>
      </xdr:blipFill>
      <xdr:spPr>
        <a:xfrm>
          <a:off x="243840" y="769556500"/>
          <a:ext cx="0" cy="621030"/>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xdr:cNvPicPr>
          <a:picLocks noChangeAspect="1"/>
        </xdr:cNvPicPr>
      </xdr:nvPicPr>
      <xdr:blipFill>
        <a:blip r:embed="rId772" cstate="email"/>
        <a:stretch>
          <a:fillRect/>
        </a:stretch>
      </xdr:blipFill>
      <xdr:spPr>
        <a:xfrm>
          <a:off x="243840" y="770286115"/>
          <a:ext cx="0" cy="629285"/>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xdr:cNvPicPr>
          <a:picLocks noChangeAspect="1"/>
        </xdr:cNvPicPr>
      </xdr:nvPicPr>
      <xdr:blipFill>
        <a:blip r:embed="rId773" cstate="email"/>
        <a:stretch>
          <a:fillRect/>
        </a:stretch>
      </xdr:blipFill>
      <xdr:spPr>
        <a:xfrm>
          <a:off x="243840" y="770928100"/>
          <a:ext cx="0"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xdr:cNvPicPr>
          <a:picLocks noChangeAspect="1"/>
        </xdr:cNvPicPr>
      </xdr:nvPicPr>
      <xdr:blipFill>
        <a:blip r:embed="rId774" cstate="email"/>
        <a:stretch>
          <a:fillRect/>
        </a:stretch>
      </xdr:blipFill>
      <xdr:spPr>
        <a:xfrm>
          <a:off x="243840" y="771652000"/>
          <a:ext cx="0" cy="636270"/>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xdr:cNvPicPr>
          <a:picLocks noChangeAspect="1"/>
        </xdr:cNvPicPr>
      </xdr:nvPicPr>
      <xdr:blipFill>
        <a:blip r:embed="rId775" cstate="email"/>
        <a:stretch>
          <a:fillRect/>
        </a:stretch>
      </xdr:blipFill>
      <xdr:spPr>
        <a:xfrm>
          <a:off x="223520" y="772350500"/>
          <a:ext cx="20320" cy="636270"/>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xdr:cNvPicPr>
          <a:picLocks noChangeAspect="1"/>
        </xdr:cNvPicPr>
      </xdr:nvPicPr>
      <xdr:blipFill>
        <a:blip r:embed="rId774" cstate="email"/>
        <a:stretch>
          <a:fillRect/>
        </a:stretch>
      </xdr:blipFill>
      <xdr:spPr>
        <a:xfrm>
          <a:off x="243840" y="773036300"/>
          <a:ext cx="0" cy="636270"/>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xdr:cNvPicPr>
          <a:picLocks noChangeAspect="1"/>
        </xdr:cNvPicPr>
      </xdr:nvPicPr>
      <xdr:blipFill>
        <a:blip r:embed="rId774" cstate="email"/>
        <a:stretch>
          <a:fillRect/>
        </a:stretch>
      </xdr:blipFill>
      <xdr:spPr>
        <a:xfrm>
          <a:off x="243840" y="773709400"/>
          <a:ext cx="0" cy="636270"/>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xdr:cNvPicPr>
          <a:picLocks noChangeAspect="1"/>
        </xdr:cNvPicPr>
      </xdr:nvPicPr>
      <xdr:blipFill>
        <a:blip r:embed="rId776" cstate="email"/>
        <a:stretch>
          <a:fillRect/>
        </a:stretch>
      </xdr:blipFill>
      <xdr:spPr>
        <a:xfrm>
          <a:off x="198120" y="774471400"/>
          <a:ext cx="4572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xdr:cNvPicPr>
          <a:picLocks noChangeAspect="1"/>
        </xdr:cNvPicPr>
      </xdr:nvPicPr>
      <xdr:blipFill>
        <a:blip r:embed="rId777" cstate="email"/>
        <a:stretch>
          <a:fillRect/>
        </a:stretch>
      </xdr:blipFill>
      <xdr:spPr>
        <a:xfrm>
          <a:off x="223520" y="775144500"/>
          <a:ext cx="20320"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xdr:cNvPicPr>
          <a:picLocks noChangeAspect="1"/>
        </xdr:cNvPicPr>
      </xdr:nvPicPr>
      <xdr:blipFill>
        <a:blip r:embed="rId778" cstate="email"/>
        <a:stretch>
          <a:fillRect/>
        </a:stretch>
      </xdr:blipFill>
      <xdr:spPr>
        <a:xfrm>
          <a:off x="243840" y="775855700"/>
          <a:ext cx="0"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xdr:cNvPicPr>
          <a:picLocks noChangeAspect="1"/>
        </xdr:cNvPicPr>
      </xdr:nvPicPr>
      <xdr:blipFill>
        <a:blip r:embed="rId778" cstate="email"/>
        <a:stretch>
          <a:fillRect/>
        </a:stretch>
      </xdr:blipFill>
      <xdr:spPr>
        <a:xfrm>
          <a:off x="243840" y="776528800"/>
          <a:ext cx="0"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xdr:cNvPicPr>
          <a:picLocks noChangeAspect="1"/>
        </xdr:cNvPicPr>
      </xdr:nvPicPr>
      <xdr:blipFill>
        <a:blip r:embed="rId779" cstate="email"/>
        <a:stretch>
          <a:fillRect/>
        </a:stretch>
      </xdr:blipFill>
      <xdr:spPr>
        <a:xfrm>
          <a:off x="243840" y="777265400"/>
          <a:ext cx="0" cy="643255"/>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xdr:cNvPicPr>
          <a:picLocks noChangeAspect="1"/>
        </xdr:cNvPicPr>
      </xdr:nvPicPr>
      <xdr:blipFill>
        <a:blip r:embed="rId780" cstate="email"/>
        <a:stretch>
          <a:fillRect/>
        </a:stretch>
      </xdr:blipFill>
      <xdr:spPr>
        <a:xfrm>
          <a:off x="243840" y="778624300"/>
          <a:ext cx="0" cy="643255"/>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xdr:cNvPicPr>
          <a:picLocks noChangeAspect="1"/>
        </xdr:cNvPicPr>
      </xdr:nvPicPr>
      <xdr:blipFill>
        <a:blip r:embed="rId780" cstate="email"/>
        <a:stretch>
          <a:fillRect/>
        </a:stretch>
      </xdr:blipFill>
      <xdr:spPr>
        <a:xfrm>
          <a:off x="243840" y="779335500"/>
          <a:ext cx="0" cy="643255"/>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xdr:cNvPicPr>
          <a:picLocks noChangeAspect="1"/>
        </xdr:cNvPicPr>
      </xdr:nvPicPr>
      <xdr:blipFill>
        <a:blip r:embed="rId780" cstate="email"/>
        <a:stretch>
          <a:fillRect/>
        </a:stretch>
      </xdr:blipFill>
      <xdr:spPr>
        <a:xfrm>
          <a:off x="243840" y="777938500"/>
          <a:ext cx="0" cy="643255"/>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xdr:cNvPicPr>
          <a:picLocks noChangeAspect="1"/>
        </xdr:cNvPicPr>
      </xdr:nvPicPr>
      <xdr:blipFill>
        <a:blip r:embed="rId781" cstate="email"/>
        <a:stretch>
          <a:fillRect/>
        </a:stretch>
      </xdr:blipFill>
      <xdr:spPr>
        <a:xfrm>
          <a:off x="243840" y="780034000"/>
          <a:ext cx="0" cy="624205"/>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xdr:cNvPicPr>
          <a:picLocks noChangeAspect="1"/>
        </xdr:cNvPicPr>
      </xdr:nvPicPr>
      <xdr:blipFill>
        <a:blip r:embed="rId782" cstate="email"/>
        <a:stretch>
          <a:fillRect/>
        </a:stretch>
      </xdr:blipFill>
      <xdr:spPr>
        <a:xfrm>
          <a:off x="236220" y="780719800"/>
          <a:ext cx="7620" cy="678180"/>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xdr:cNvPicPr>
          <a:picLocks noChangeAspect="1"/>
        </xdr:cNvPicPr>
      </xdr:nvPicPr>
      <xdr:blipFill>
        <a:blip r:embed="rId783" cstate="email"/>
        <a:stretch>
          <a:fillRect/>
        </a:stretch>
      </xdr:blipFill>
      <xdr:spPr>
        <a:xfrm>
          <a:off x="198120" y="781443700"/>
          <a:ext cx="45720" cy="636905"/>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xdr:cNvPicPr>
          <a:picLocks noChangeAspect="1"/>
        </xdr:cNvPicPr>
      </xdr:nvPicPr>
      <xdr:blipFill>
        <a:blip r:embed="rId784" cstate="email"/>
        <a:stretch>
          <a:fillRect/>
        </a:stretch>
      </xdr:blipFill>
      <xdr:spPr>
        <a:xfrm>
          <a:off x="223520" y="782135215"/>
          <a:ext cx="20320" cy="641985"/>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xdr:cNvPicPr>
          <a:picLocks noChangeAspect="1"/>
        </xdr:cNvPicPr>
      </xdr:nvPicPr>
      <xdr:blipFill>
        <a:blip r:embed="rId785" cstate="email"/>
        <a:stretch>
          <a:fillRect/>
        </a:stretch>
      </xdr:blipFill>
      <xdr:spPr>
        <a:xfrm>
          <a:off x="198120" y="782815300"/>
          <a:ext cx="45720" cy="648335"/>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xdr:cNvPicPr>
          <a:picLocks noChangeAspect="1"/>
        </xdr:cNvPicPr>
      </xdr:nvPicPr>
      <xdr:blipFill>
        <a:blip r:embed="rId786" cstate="email"/>
        <a:stretch>
          <a:fillRect/>
        </a:stretch>
      </xdr:blipFill>
      <xdr:spPr>
        <a:xfrm>
          <a:off x="236220" y="783527770"/>
          <a:ext cx="7620" cy="644525"/>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xdr:cNvPicPr>
          <a:picLocks noChangeAspect="1"/>
        </xdr:cNvPicPr>
      </xdr:nvPicPr>
      <xdr:blipFill>
        <a:blip r:embed="rId787" cstate="email"/>
        <a:stretch>
          <a:fillRect/>
        </a:stretch>
      </xdr:blipFill>
      <xdr:spPr>
        <a:xfrm>
          <a:off x="243840" y="784237700"/>
          <a:ext cx="0"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xdr:cNvPicPr>
          <a:picLocks noChangeAspect="1"/>
        </xdr:cNvPicPr>
      </xdr:nvPicPr>
      <xdr:blipFill>
        <a:blip r:embed="rId788" cstate="email"/>
        <a:stretch>
          <a:fillRect/>
        </a:stretch>
      </xdr:blipFill>
      <xdr:spPr>
        <a:xfrm>
          <a:off x="223520" y="785625175"/>
          <a:ext cx="20320" cy="664210"/>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xdr:cNvPicPr>
          <a:picLocks noChangeAspect="1"/>
        </xdr:cNvPicPr>
      </xdr:nvPicPr>
      <xdr:blipFill>
        <a:blip r:embed="rId789" cstate="email"/>
        <a:stretch>
          <a:fillRect/>
        </a:stretch>
      </xdr:blipFill>
      <xdr:spPr>
        <a:xfrm>
          <a:off x="243840" y="784923500"/>
          <a:ext cx="0"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xdr:cNvPicPr>
          <a:picLocks noChangeAspect="1"/>
        </xdr:cNvPicPr>
      </xdr:nvPicPr>
      <xdr:blipFill>
        <a:blip r:embed="rId790" cstate="email"/>
        <a:stretch>
          <a:fillRect/>
        </a:stretch>
      </xdr:blipFill>
      <xdr:spPr>
        <a:xfrm>
          <a:off x="210820" y="786307800"/>
          <a:ext cx="33020" cy="663575"/>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xdr:cNvPicPr>
          <a:picLocks noChangeAspect="1"/>
        </xdr:cNvPicPr>
      </xdr:nvPicPr>
      <xdr:blipFill>
        <a:blip r:embed="rId788" cstate="email"/>
        <a:stretch>
          <a:fillRect/>
        </a:stretch>
      </xdr:blipFill>
      <xdr:spPr>
        <a:xfrm>
          <a:off x="223520" y="786993600"/>
          <a:ext cx="20320" cy="663575"/>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xdr:cNvPicPr>
          <a:picLocks noChangeAspect="1"/>
        </xdr:cNvPicPr>
      </xdr:nvPicPr>
      <xdr:blipFill>
        <a:blip r:embed="rId791" cstate="email"/>
        <a:stretch>
          <a:fillRect/>
        </a:stretch>
      </xdr:blipFill>
      <xdr:spPr>
        <a:xfrm>
          <a:off x="210820" y="787730200"/>
          <a:ext cx="33020" cy="629920"/>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xdr:cNvPicPr>
          <a:picLocks noChangeAspect="1"/>
        </xdr:cNvPicPr>
      </xdr:nvPicPr>
      <xdr:blipFill>
        <a:blip r:embed="rId792" cstate="email"/>
        <a:stretch>
          <a:fillRect/>
        </a:stretch>
      </xdr:blipFill>
      <xdr:spPr>
        <a:xfrm>
          <a:off x="243840" y="806580810"/>
          <a:ext cx="0" cy="650240"/>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xdr:cNvPicPr>
          <a:picLocks noChangeAspect="1"/>
        </xdr:cNvPicPr>
      </xdr:nvPicPr>
      <xdr:blipFill>
        <a:blip r:embed="rId793" cstate="email"/>
        <a:stretch>
          <a:fillRect/>
        </a:stretch>
      </xdr:blipFill>
      <xdr:spPr>
        <a:xfrm>
          <a:off x="243840" y="807976540"/>
          <a:ext cx="0" cy="626110"/>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xdr:cNvPicPr>
          <a:picLocks noChangeAspect="1"/>
        </xdr:cNvPicPr>
      </xdr:nvPicPr>
      <xdr:blipFill>
        <a:blip r:embed="rId793" cstate="email"/>
        <a:stretch>
          <a:fillRect/>
        </a:stretch>
      </xdr:blipFill>
      <xdr:spPr>
        <a:xfrm>
          <a:off x="243840" y="808666150"/>
          <a:ext cx="0" cy="626745"/>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xdr:cNvPicPr>
          <a:picLocks noChangeAspect="1"/>
        </xdr:cNvPicPr>
      </xdr:nvPicPr>
      <xdr:blipFill>
        <a:blip r:embed="rId793" cstate="email"/>
        <a:stretch>
          <a:fillRect/>
        </a:stretch>
      </xdr:blipFill>
      <xdr:spPr>
        <a:xfrm>
          <a:off x="243840" y="809421800"/>
          <a:ext cx="0" cy="626745"/>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xdr:cNvPicPr>
          <a:picLocks noChangeAspect="1"/>
        </xdr:cNvPicPr>
      </xdr:nvPicPr>
      <xdr:blipFill>
        <a:blip r:embed="rId792" cstate="email"/>
        <a:stretch>
          <a:fillRect/>
        </a:stretch>
      </xdr:blipFill>
      <xdr:spPr>
        <a:xfrm>
          <a:off x="243840" y="807262800"/>
          <a:ext cx="0" cy="649605"/>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xdr:cNvPicPr>
          <a:picLocks noChangeAspect="1"/>
        </xdr:cNvPicPr>
      </xdr:nvPicPr>
      <xdr:blipFill>
        <a:blip r:embed="rId793" cstate="email"/>
        <a:stretch>
          <a:fillRect/>
        </a:stretch>
      </xdr:blipFill>
      <xdr:spPr>
        <a:xfrm>
          <a:off x="243840" y="810079660"/>
          <a:ext cx="0" cy="626110"/>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xdr:cNvPicPr>
          <a:picLocks noChangeAspect="1"/>
        </xdr:cNvPicPr>
      </xdr:nvPicPr>
      <xdr:blipFill>
        <a:blip r:embed="rId794" cstate="email"/>
        <a:stretch>
          <a:fillRect/>
        </a:stretch>
      </xdr:blipFill>
      <xdr:spPr>
        <a:xfrm>
          <a:off x="243840" y="810787685"/>
          <a:ext cx="0" cy="607060"/>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xdr:cNvPicPr>
          <a:picLocks noChangeAspect="1"/>
        </xdr:cNvPicPr>
      </xdr:nvPicPr>
      <xdr:blipFill>
        <a:blip r:embed="rId794" cstate="email"/>
        <a:stretch>
          <a:fillRect/>
        </a:stretch>
      </xdr:blipFill>
      <xdr:spPr>
        <a:xfrm>
          <a:off x="243840" y="811467135"/>
          <a:ext cx="0" cy="606425"/>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xdr:cNvPicPr>
          <a:picLocks noChangeAspect="1"/>
        </xdr:cNvPicPr>
      </xdr:nvPicPr>
      <xdr:blipFill>
        <a:blip r:embed="rId794" cstate="email"/>
        <a:stretch>
          <a:fillRect/>
        </a:stretch>
      </xdr:blipFill>
      <xdr:spPr>
        <a:xfrm>
          <a:off x="243840" y="812155475"/>
          <a:ext cx="0" cy="607060"/>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xdr:cNvPicPr>
          <a:picLocks noChangeAspect="1"/>
        </xdr:cNvPicPr>
      </xdr:nvPicPr>
      <xdr:blipFill>
        <a:blip r:embed="rId794" cstate="email"/>
        <a:stretch>
          <a:fillRect/>
        </a:stretch>
      </xdr:blipFill>
      <xdr:spPr>
        <a:xfrm>
          <a:off x="243840" y="812864135"/>
          <a:ext cx="0" cy="606425"/>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xdr:cNvPicPr>
          <a:picLocks noChangeAspect="1"/>
        </xdr:cNvPicPr>
      </xdr:nvPicPr>
      <xdr:blipFill>
        <a:blip r:embed="rId794" cstate="email"/>
        <a:stretch>
          <a:fillRect/>
        </a:stretch>
      </xdr:blipFill>
      <xdr:spPr>
        <a:xfrm>
          <a:off x="243840" y="813562635"/>
          <a:ext cx="0" cy="606425"/>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xdr:cNvPicPr>
          <a:picLocks noChangeAspect="1"/>
        </xdr:cNvPicPr>
      </xdr:nvPicPr>
      <xdr:blipFill>
        <a:blip r:embed="rId795" cstate="email"/>
        <a:stretch>
          <a:fillRect/>
        </a:stretch>
      </xdr:blipFill>
      <xdr:spPr>
        <a:xfrm>
          <a:off x="243840" y="814252880"/>
          <a:ext cx="0" cy="647700"/>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xdr:cNvPicPr>
          <a:picLocks noChangeAspect="1"/>
        </xdr:cNvPicPr>
      </xdr:nvPicPr>
      <xdr:blipFill>
        <a:blip r:embed="rId795" cstate="email"/>
        <a:stretch>
          <a:fillRect/>
        </a:stretch>
      </xdr:blipFill>
      <xdr:spPr>
        <a:xfrm>
          <a:off x="243840" y="814959635"/>
          <a:ext cx="0" cy="647700"/>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xdr:cNvPicPr>
          <a:picLocks noChangeAspect="1"/>
        </xdr:cNvPicPr>
      </xdr:nvPicPr>
      <xdr:blipFill>
        <a:blip r:embed="rId795" cstate="email"/>
        <a:stretch>
          <a:fillRect/>
        </a:stretch>
      </xdr:blipFill>
      <xdr:spPr>
        <a:xfrm>
          <a:off x="243840" y="815647975"/>
          <a:ext cx="0" cy="648335"/>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xdr:cNvPicPr>
          <a:picLocks noChangeAspect="1"/>
        </xdr:cNvPicPr>
      </xdr:nvPicPr>
      <xdr:blipFill>
        <a:blip r:embed="rId795" cstate="email"/>
        <a:stretch>
          <a:fillRect/>
        </a:stretch>
      </xdr:blipFill>
      <xdr:spPr>
        <a:xfrm>
          <a:off x="243840" y="816356635"/>
          <a:ext cx="0" cy="647700"/>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xdr:cNvPicPr>
          <a:picLocks noChangeAspect="1"/>
        </xdr:cNvPicPr>
      </xdr:nvPicPr>
      <xdr:blipFill>
        <a:blip r:embed="rId796" cstate="email"/>
        <a:stretch>
          <a:fillRect/>
        </a:stretch>
      </xdr:blipFill>
      <xdr:spPr>
        <a:xfrm>
          <a:off x="243840" y="817036720"/>
          <a:ext cx="0" cy="676910"/>
        </a:xfrm>
        <a:prstGeom prst="rect">
          <a:avLst/>
        </a:prstGeom>
      </xdr:spPr>
    </xdr:pic>
    <xdr:clientData/>
  </xdr:twoCellAnchor>
  <xdr:twoCellAnchor editAs="oneCell">
    <xdr:from>
      <xdr:col>1</xdr:col>
      <xdr:colOff>172721</xdr:colOff>
      <xdr:row>1171</xdr:row>
      <xdr:rowOff>40640</xdr:rowOff>
    </xdr:from>
    <xdr:to>
      <xdr:col>2</xdr:col>
      <xdr:colOff>50801</xdr:colOff>
      <xdr:row>1171</xdr:row>
      <xdr:rowOff>653143</xdr:rowOff>
    </xdr:to>
    <xdr:pic>
      <xdr:nvPicPr>
        <xdr:cNvPr id="998" name="Picture 997"/>
        <xdr:cNvPicPr>
          <a:picLocks noChangeAspect="1"/>
        </xdr:cNvPicPr>
      </xdr:nvPicPr>
      <xdr:blipFill>
        <a:blip r:embed="rId797" cstate="email"/>
        <a:stretch>
          <a:fillRect/>
        </a:stretch>
      </xdr:blipFill>
      <xdr:spPr>
        <a:xfrm>
          <a:off x="243840" y="817755540"/>
          <a:ext cx="50800" cy="612140"/>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xdr:cNvPicPr>
          <a:picLocks noChangeAspect="1"/>
        </xdr:cNvPicPr>
      </xdr:nvPicPr>
      <xdr:blipFill>
        <a:blip r:embed="rId798" cstate="email"/>
        <a:stretch>
          <a:fillRect/>
        </a:stretch>
      </xdr:blipFill>
      <xdr:spPr>
        <a:xfrm>
          <a:off x="243840" y="818454040"/>
          <a:ext cx="0"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xdr:cNvPicPr>
          <a:picLocks noChangeAspect="1"/>
        </xdr:cNvPicPr>
      </xdr:nvPicPr>
      <xdr:blipFill>
        <a:blip r:embed="rId799" cstate="email"/>
        <a:stretch>
          <a:fillRect/>
        </a:stretch>
      </xdr:blipFill>
      <xdr:spPr>
        <a:xfrm>
          <a:off x="243840" y="819162065"/>
          <a:ext cx="0" cy="630555"/>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xdr:cNvPicPr>
          <a:picLocks noChangeAspect="1"/>
        </xdr:cNvPicPr>
      </xdr:nvPicPr>
      <xdr:blipFill>
        <a:blip r:embed="rId800" cstate="email"/>
        <a:stretch>
          <a:fillRect/>
        </a:stretch>
      </xdr:blipFill>
      <xdr:spPr>
        <a:xfrm>
          <a:off x="243840" y="821237880"/>
          <a:ext cx="0" cy="623570"/>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xdr:cNvPicPr>
          <a:picLocks noChangeAspect="1"/>
        </xdr:cNvPicPr>
      </xdr:nvPicPr>
      <xdr:blipFill>
        <a:blip r:embed="rId801" cstate="email"/>
        <a:stretch>
          <a:fillRect/>
        </a:stretch>
      </xdr:blipFill>
      <xdr:spPr>
        <a:xfrm>
          <a:off x="243840" y="819839610"/>
          <a:ext cx="0" cy="64135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xdr:cNvPicPr>
          <a:picLocks noChangeAspect="1"/>
        </xdr:cNvPicPr>
      </xdr:nvPicPr>
      <xdr:blipFill>
        <a:blip r:embed="rId801" cstate="email"/>
        <a:stretch>
          <a:fillRect/>
        </a:stretch>
      </xdr:blipFill>
      <xdr:spPr>
        <a:xfrm>
          <a:off x="243840" y="820548270"/>
          <a:ext cx="0" cy="64135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xdr:cNvPicPr>
          <a:picLocks noChangeAspect="1"/>
        </xdr:cNvPicPr>
      </xdr:nvPicPr>
      <xdr:blipFill>
        <a:blip r:embed="rId802" cstate="email"/>
        <a:stretch>
          <a:fillRect/>
        </a:stretch>
      </xdr:blipFill>
      <xdr:spPr>
        <a:xfrm>
          <a:off x="243840" y="821952890"/>
          <a:ext cx="0" cy="65722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xdr:cNvPicPr>
          <a:picLocks noChangeAspect="1"/>
        </xdr:cNvPicPr>
      </xdr:nvPicPr>
      <xdr:blipFill>
        <a:blip r:embed="rId802" cstate="email"/>
        <a:stretch>
          <a:fillRect/>
        </a:stretch>
      </xdr:blipFill>
      <xdr:spPr>
        <a:xfrm>
          <a:off x="243840" y="822625990"/>
          <a:ext cx="0" cy="65722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xdr:cNvPicPr>
          <a:picLocks noChangeAspect="1"/>
        </xdr:cNvPicPr>
      </xdr:nvPicPr>
      <xdr:blipFill>
        <a:blip r:embed="rId803" cstate="email"/>
        <a:stretch>
          <a:fillRect/>
        </a:stretch>
      </xdr:blipFill>
      <xdr:spPr>
        <a:xfrm>
          <a:off x="243840" y="823353700"/>
          <a:ext cx="0"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xdr:cNvPicPr>
          <a:picLocks noChangeAspect="1"/>
        </xdr:cNvPicPr>
      </xdr:nvPicPr>
      <xdr:blipFill>
        <a:blip r:embed="rId804" cstate="email"/>
        <a:stretch>
          <a:fillRect/>
        </a:stretch>
      </xdr:blipFill>
      <xdr:spPr>
        <a:xfrm>
          <a:off x="243840" y="824062360"/>
          <a:ext cx="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xdr:cNvPicPr>
          <a:picLocks noChangeAspect="1"/>
        </xdr:cNvPicPr>
      </xdr:nvPicPr>
      <xdr:blipFill>
        <a:blip r:embed="rId805" cstate="email"/>
        <a:stretch>
          <a:fillRect/>
        </a:stretch>
      </xdr:blipFill>
      <xdr:spPr>
        <a:xfrm>
          <a:off x="243840" y="824753875"/>
          <a:ext cx="0" cy="63182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xdr:cNvPicPr>
          <a:picLocks noChangeAspect="1"/>
        </xdr:cNvPicPr>
      </xdr:nvPicPr>
      <xdr:blipFill>
        <a:blip r:embed="rId805" cstate="email"/>
        <a:stretch>
          <a:fillRect/>
        </a:stretch>
      </xdr:blipFill>
      <xdr:spPr>
        <a:xfrm>
          <a:off x="243840" y="825444120"/>
          <a:ext cx="0" cy="63182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xdr:cNvPicPr>
          <a:picLocks noChangeAspect="1"/>
        </xdr:cNvPicPr>
      </xdr:nvPicPr>
      <xdr:blipFill>
        <a:blip r:embed="rId805" cstate="email"/>
        <a:stretch>
          <a:fillRect/>
        </a:stretch>
      </xdr:blipFill>
      <xdr:spPr>
        <a:xfrm>
          <a:off x="121920" y="826096900"/>
          <a:ext cx="121920" cy="63182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xdr:cNvPicPr>
          <a:picLocks noChangeAspect="1"/>
        </xdr:cNvPicPr>
      </xdr:nvPicPr>
      <xdr:blipFill>
        <a:blip r:embed="rId805" cstate="email"/>
        <a:stretch>
          <a:fillRect/>
        </a:stretch>
      </xdr:blipFill>
      <xdr:spPr>
        <a:xfrm>
          <a:off x="121920" y="826795400"/>
          <a:ext cx="121920" cy="63182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xdr:cNvPicPr>
          <a:picLocks noChangeAspect="1"/>
        </xdr:cNvPicPr>
      </xdr:nvPicPr>
      <xdr:blipFill>
        <a:blip r:embed="rId806" cstate="email"/>
        <a:stretch>
          <a:fillRect/>
        </a:stretch>
      </xdr:blipFill>
      <xdr:spPr>
        <a:xfrm>
          <a:off x="208280" y="827530095"/>
          <a:ext cx="35560" cy="650240"/>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xdr:cNvPicPr>
          <a:picLocks noChangeAspect="1"/>
        </xdr:cNvPicPr>
      </xdr:nvPicPr>
      <xdr:blipFill>
        <a:blip r:embed="rId807" cstate="email"/>
        <a:stretch>
          <a:fillRect/>
        </a:stretch>
      </xdr:blipFill>
      <xdr:spPr>
        <a:xfrm>
          <a:off x="121920" y="828192400"/>
          <a:ext cx="121920" cy="650240"/>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xdr:cNvPicPr>
          <a:picLocks noChangeAspect="1"/>
        </xdr:cNvPicPr>
      </xdr:nvPicPr>
      <xdr:blipFill>
        <a:blip r:embed="rId807" cstate="email"/>
        <a:stretch>
          <a:fillRect/>
        </a:stretch>
      </xdr:blipFill>
      <xdr:spPr>
        <a:xfrm>
          <a:off x="121920" y="828890900"/>
          <a:ext cx="121920" cy="650240"/>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xdr:cNvPicPr>
          <a:picLocks noChangeAspect="1"/>
        </xdr:cNvPicPr>
      </xdr:nvPicPr>
      <xdr:blipFill>
        <a:blip r:embed="rId808" cstate="email"/>
        <a:stretch>
          <a:fillRect/>
        </a:stretch>
      </xdr:blipFill>
      <xdr:spPr>
        <a:xfrm>
          <a:off x="169545" y="829628770"/>
          <a:ext cx="74295" cy="642620"/>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xdr:cNvPicPr>
          <a:picLocks noChangeAspect="1"/>
        </xdr:cNvPicPr>
      </xdr:nvPicPr>
      <xdr:blipFill>
        <a:blip r:embed="rId809" cstate="email"/>
        <a:stretch>
          <a:fillRect/>
        </a:stretch>
      </xdr:blipFill>
      <xdr:spPr>
        <a:xfrm>
          <a:off x="160020" y="830319650"/>
          <a:ext cx="83820" cy="651510"/>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xdr:cNvPicPr>
          <a:picLocks noChangeAspect="1"/>
        </xdr:cNvPicPr>
      </xdr:nvPicPr>
      <xdr:blipFill>
        <a:blip r:embed="rId810" cstate="email"/>
        <a:stretch>
          <a:fillRect/>
        </a:stretch>
      </xdr:blipFill>
      <xdr:spPr>
        <a:xfrm>
          <a:off x="189230" y="831024500"/>
          <a:ext cx="54610" cy="644525"/>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xdr:cNvPicPr>
          <a:picLocks noChangeAspect="1"/>
        </xdr:cNvPicPr>
      </xdr:nvPicPr>
      <xdr:blipFill>
        <a:blip r:embed="rId811" cstate="email"/>
        <a:stretch>
          <a:fillRect/>
        </a:stretch>
      </xdr:blipFill>
      <xdr:spPr>
        <a:xfrm>
          <a:off x="172720" y="831725540"/>
          <a:ext cx="71120" cy="652780"/>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xdr:cNvPicPr>
          <a:picLocks noChangeAspect="1"/>
        </xdr:cNvPicPr>
      </xdr:nvPicPr>
      <xdr:blipFill>
        <a:blip r:embed="rId811" cstate="email"/>
        <a:stretch>
          <a:fillRect/>
        </a:stretch>
      </xdr:blipFill>
      <xdr:spPr>
        <a:xfrm>
          <a:off x="121920" y="832383400"/>
          <a:ext cx="121920" cy="652780"/>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xdr:cNvPicPr>
          <a:picLocks noChangeAspect="1"/>
        </xdr:cNvPicPr>
      </xdr:nvPicPr>
      <xdr:blipFill>
        <a:blip r:embed="rId811" cstate="email"/>
        <a:stretch>
          <a:fillRect/>
        </a:stretch>
      </xdr:blipFill>
      <xdr:spPr>
        <a:xfrm>
          <a:off x="121920" y="833081900"/>
          <a:ext cx="121920" cy="652780"/>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xdr:cNvPicPr>
          <a:picLocks noChangeAspect="1"/>
        </xdr:cNvPicPr>
      </xdr:nvPicPr>
      <xdr:blipFill>
        <a:blip r:embed="rId812" cstate="email"/>
        <a:stretch>
          <a:fillRect/>
        </a:stretch>
      </xdr:blipFill>
      <xdr:spPr>
        <a:xfrm>
          <a:off x="182880" y="833836280"/>
          <a:ext cx="60960" cy="593725"/>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xdr:cNvPicPr>
          <a:picLocks noChangeAspect="1"/>
        </xdr:cNvPicPr>
      </xdr:nvPicPr>
      <xdr:blipFill>
        <a:blip r:embed="rId812" cstate="email"/>
        <a:stretch>
          <a:fillRect/>
        </a:stretch>
      </xdr:blipFill>
      <xdr:spPr>
        <a:xfrm>
          <a:off x="182880" y="834544940"/>
          <a:ext cx="60960" cy="593725"/>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xdr:cNvPicPr>
          <a:picLocks noChangeAspect="1"/>
        </xdr:cNvPicPr>
      </xdr:nvPicPr>
      <xdr:blipFill>
        <a:blip r:embed="rId812" cstate="email"/>
        <a:stretch>
          <a:fillRect/>
        </a:stretch>
      </xdr:blipFill>
      <xdr:spPr>
        <a:xfrm>
          <a:off x="142240" y="835223120"/>
          <a:ext cx="101600" cy="593725"/>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xdr:cNvPicPr>
          <a:picLocks noChangeAspect="1"/>
        </xdr:cNvPicPr>
      </xdr:nvPicPr>
      <xdr:blipFill>
        <a:blip r:embed="rId813" cstate="email"/>
        <a:stretch>
          <a:fillRect/>
        </a:stretch>
      </xdr:blipFill>
      <xdr:spPr>
        <a:xfrm>
          <a:off x="162560" y="835922890"/>
          <a:ext cx="81280" cy="643890"/>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xdr:cNvPicPr>
          <a:picLocks noChangeAspect="1"/>
        </xdr:cNvPicPr>
      </xdr:nvPicPr>
      <xdr:blipFill>
        <a:blip r:embed="rId813" cstate="email"/>
        <a:stretch>
          <a:fillRect/>
        </a:stretch>
      </xdr:blipFill>
      <xdr:spPr>
        <a:xfrm>
          <a:off x="121920" y="836574400"/>
          <a:ext cx="121920" cy="643255"/>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xdr:cNvPicPr>
          <a:picLocks noChangeAspect="1"/>
        </xdr:cNvPicPr>
      </xdr:nvPicPr>
      <xdr:blipFill>
        <a:blip r:embed="rId813" cstate="email"/>
        <a:stretch>
          <a:fillRect/>
        </a:stretch>
      </xdr:blipFill>
      <xdr:spPr>
        <a:xfrm>
          <a:off x="121920" y="837272900"/>
          <a:ext cx="121920" cy="643255"/>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xdr:cNvPicPr>
          <a:picLocks noChangeAspect="1"/>
        </xdr:cNvPicPr>
      </xdr:nvPicPr>
      <xdr:blipFill>
        <a:blip r:embed="rId814" cstate="email"/>
        <a:stretch>
          <a:fillRect/>
        </a:stretch>
      </xdr:blipFill>
      <xdr:spPr>
        <a:xfrm>
          <a:off x="182880" y="837994260"/>
          <a:ext cx="60960" cy="647065"/>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xdr:cNvPicPr>
          <a:picLocks noChangeAspect="1"/>
        </xdr:cNvPicPr>
      </xdr:nvPicPr>
      <xdr:blipFill>
        <a:blip r:embed="rId815" cstate="email"/>
        <a:stretch>
          <a:fillRect/>
        </a:stretch>
      </xdr:blipFill>
      <xdr:spPr>
        <a:xfrm>
          <a:off x="203200" y="838694665"/>
          <a:ext cx="40640" cy="645795"/>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xdr:cNvPicPr>
          <a:picLocks noChangeAspect="1"/>
        </xdr:cNvPicPr>
      </xdr:nvPicPr>
      <xdr:blipFill>
        <a:blip r:embed="rId816" cstate="email"/>
        <a:stretch>
          <a:fillRect/>
        </a:stretch>
      </xdr:blipFill>
      <xdr:spPr>
        <a:xfrm>
          <a:off x="213360" y="839407135"/>
          <a:ext cx="30480" cy="628650"/>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xdr:cNvPicPr>
          <a:picLocks noChangeAspect="1"/>
        </xdr:cNvPicPr>
      </xdr:nvPicPr>
      <xdr:blipFill>
        <a:blip r:embed="rId817" cstate="email"/>
        <a:stretch>
          <a:fillRect/>
        </a:stretch>
      </xdr:blipFill>
      <xdr:spPr>
        <a:xfrm>
          <a:off x="182880" y="840105635"/>
          <a:ext cx="60960" cy="628650"/>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xdr:cNvPicPr>
          <a:picLocks noChangeAspect="1"/>
        </xdr:cNvPicPr>
      </xdr:nvPicPr>
      <xdr:blipFill>
        <a:blip r:embed="rId817" cstate="email"/>
        <a:stretch>
          <a:fillRect/>
        </a:stretch>
      </xdr:blipFill>
      <xdr:spPr>
        <a:xfrm>
          <a:off x="182880" y="840804135"/>
          <a:ext cx="60960" cy="628650"/>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xdr:cNvPicPr>
          <a:picLocks noChangeAspect="1"/>
        </xdr:cNvPicPr>
      </xdr:nvPicPr>
      <xdr:blipFill>
        <a:blip r:embed="rId818" cstate="email"/>
        <a:stretch>
          <a:fillRect/>
        </a:stretch>
      </xdr:blipFill>
      <xdr:spPr>
        <a:xfrm>
          <a:off x="172720" y="841481045"/>
          <a:ext cx="71120" cy="658495"/>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xdr:cNvPicPr>
          <a:picLocks noChangeAspect="1"/>
        </xdr:cNvPicPr>
      </xdr:nvPicPr>
      <xdr:blipFill>
        <a:blip r:embed="rId819" cstate="email"/>
        <a:stretch>
          <a:fillRect/>
        </a:stretch>
      </xdr:blipFill>
      <xdr:spPr>
        <a:xfrm>
          <a:off x="162560" y="842203040"/>
          <a:ext cx="81280" cy="638810"/>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xdr:cNvPicPr>
          <a:picLocks noChangeAspect="1"/>
        </xdr:cNvPicPr>
      </xdr:nvPicPr>
      <xdr:blipFill>
        <a:blip r:embed="rId820" cstate="email"/>
        <a:stretch>
          <a:fillRect/>
        </a:stretch>
      </xdr:blipFill>
      <xdr:spPr>
        <a:xfrm>
          <a:off x="162560" y="842901540"/>
          <a:ext cx="81280" cy="635000"/>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xdr:cNvPicPr>
          <a:picLocks noChangeAspect="1"/>
        </xdr:cNvPicPr>
      </xdr:nvPicPr>
      <xdr:blipFill>
        <a:blip r:embed="rId820" cstate="email"/>
        <a:stretch>
          <a:fillRect/>
        </a:stretch>
      </xdr:blipFill>
      <xdr:spPr>
        <a:xfrm>
          <a:off x="162560" y="843589880"/>
          <a:ext cx="81280" cy="635000"/>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xdr:cNvPicPr>
          <a:picLocks noChangeAspect="1"/>
        </xdr:cNvPicPr>
      </xdr:nvPicPr>
      <xdr:blipFill>
        <a:blip r:embed="rId820" cstate="email"/>
        <a:stretch>
          <a:fillRect/>
        </a:stretch>
      </xdr:blipFill>
      <xdr:spPr>
        <a:xfrm>
          <a:off x="162560" y="844298540"/>
          <a:ext cx="81280" cy="635000"/>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xdr:cNvPicPr>
          <a:picLocks noChangeAspect="1"/>
        </xdr:cNvPicPr>
      </xdr:nvPicPr>
      <xdr:blipFill>
        <a:blip r:embed="rId821" cstate="email"/>
        <a:stretch>
          <a:fillRect/>
        </a:stretch>
      </xdr:blipFill>
      <xdr:spPr>
        <a:xfrm>
          <a:off x="182880" y="844997040"/>
          <a:ext cx="60960" cy="639445"/>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xdr:cNvPicPr>
          <a:picLocks noChangeAspect="1"/>
        </xdr:cNvPicPr>
      </xdr:nvPicPr>
      <xdr:blipFill>
        <a:blip r:embed="rId821" cstate="email"/>
        <a:stretch>
          <a:fillRect/>
        </a:stretch>
      </xdr:blipFill>
      <xdr:spPr>
        <a:xfrm>
          <a:off x="182880" y="847092540"/>
          <a:ext cx="60960" cy="639445"/>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xdr:cNvPicPr>
          <a:picLocks noChangeAspect="1"/>
        </xdr:cNvPicPr>
      </xdr:nvPicPr>
      <xdr:blipFill>
        <a:blip r:embed="rId822" cstate="email"/>
        <a:stretch>
          <a:fillRect/>
        </a:stretch>
      </xdr:blipFill>
      <xdr:spPr>
        <a:xfrm>
          <a:off x="203200" y="849876380"/>
          <a:ext cx="40640" cy="639445"/>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xdr:cNvPicPr>
          <a:picLocks noChangeAspect="1"/>
        </xdr:cNvPicPr>
      </xdr:nvPicPr>
      <xdr:blipFill>
        <a:blip r:embed="rId823" cstate="email"/>
        <a:stretch>
          <a:fillRect/>
        </a:stretch>
      </xdr:blipFill>
      <xdr:spPr>
        <a:xfrm>
          <a:off x="185420" y="850574880"/>
          <a:ext cx="58420"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xdr:cNvPicPr>
          <a:picLocks noChangeAspect="1"/>
        </xdr:cNvPicPr>
      </xdr:nvPicPr>
      <xdr:blipFill>
        <a:blip r:embed="rId824" cstate="email"/>
        <a:stretch>
          <a:fillRect/>
        </a:stretch>
      </xdr:blipFill>
      <xdr:spPr>
        <a:xfrm>
          <a:off x="152400" y="851242900"/>
          <a:ext cx="91440"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xdr:cNvPicPr>
          <a:picLocks noChangeAspect="1"/>
        </xdr:cNvPicPr>
      </xdr:nvPicPr>
      <xdr:blipFill>
        <a:blip r:embed="rId825" cstate="email"/>
        <a:stretch>
          <a:fillRect/>
        </a:stretch>
      </xdr:blipFill>
      <xdr:spPr>
        <a:xfrm>
          <a:off x="172720" y="851982040"/>
          <a:ext cx="71120"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xdr:cNvPicPr>
          <a:picLocks noChangeAspect="1"/>
        </xdr:cNvPicPr>
      </xdr:nvPicPr>
      <xdr:blipFill>
        <a:blip r:embed="rId824" cstate="email"/>
        <a:stretch>
          <a:fillRect/>
        </a:stretch>
      </xdr:blipFill>
      <xdr:spPr>
        <a:xfrm>
          <a:off x="152400" y="852670380"/>
          <a:ext cx="91440"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xdr:cNvPicPr>
          <a:picLocks noChangeAspect="1"/>
        </xdr:cNvPicPr>
      </xdr:nvPicPr>
      <xdr:blipFill>
        <a:blip r:embed="rId826" cstate="email"/>
        <a:stretch>
          <a:fillRect/>
        </a:stretch>
      </xdr:blipFill>
      <xdr:spPr>
        <a:xfrm>
          <a:off x="193040" y="845685380"/>
          <a:ext cx="50800" cy="639445"/>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xdr:cNvPicPr>
          <a:picLocks noChangeAspect="1"/>
        </xdr:cNvPicPr>
      </xdr:nvPicPr>
      <xdr:blipFill>
        <a:blip r:embed="rId827" cstate="email"/>
        <a:stretch>
          <a:fillRect/>
        </a:stretch>
      </xdr:blipFill>
      <xdr:spPr>
        <a:xfrm>
          <a:off x="172720" y="846383880"/>
          <a:ext cx="71120" cy="639445"/>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xdr:cNvPicPr>
          <a:picLocks noChangeAspect="1"/>
        </xdr:cNvPicPr>
      </xdr:nvPicPr>
      <xdr:blipFill>
        <a:blip r:embed="rId828" cstate="email"/>
        <a:stretch>
          <a:fillRect/>
        </a:stretch>
      </xdr:blipFill>
      <xdr:spPr>
        <a:xfrm>
          <a:off x="121920" y="847750400"/>
          <a:ext cx="121920" cy="639445"/>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xdr:cNvPicPr>
          <a:picLocks noChangeAspect="1"/>
        </xdr:cNvPicPr>
      </xdr:nvPicPr>
      <xdr:blipFill>
        <a:blip r:embed="rId828" cstate="email"/>
        <a:stretch>
          <a:fillRect/>
        </a:stretch>
      </xdr:blipFill>
      <xdr:spPr>
        <a:xfrm>
          <a:off x="121920" y="848448900"/>
          <a:ext cx="121920" cy="639445"/>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xdr:cNvPicPr>
          <a:picLocks noChangeAspect="1"/>
        </xdr:cNvPicPr>
      </xdr:nvPicPr>
      <xdr:blipFill>
        <a:blip r:embed="rId829" cstate="email"/>
        <a:stretch>
          <a:fillRect/>
        </a:stretch>
      </xdr:blipFill>
      <xdr:spPr>
        <a:xfrm>
          <a:off x="162560" y="853378405"/>
          <a:ext cx="81280" cy="635635"/>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xdr:cNvPicPr>
          <a:picLocks noChangeAspect="1"/>
        </xdr:cNvPicPr>
      </xdr:nvPicPr>
      <xdr:blipFill>
        <a:blip r:embed="rId830" cstate="email"/>
        <a:stretch>
          <a:fillRect/>
        </a:stretch>
      </xdr:blipFill>
      <xdr:spPr>
        <a:xfrm>
          <a:off x="142240" y="854085795"/>
          <a:ext cx="101600" cy="62738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xdr:cNvPicPr>
          <a:picLocks noChangeAspect="1"/>
        </xdr:cNvPicPr>
      </xdr:nvPicPr>
      <xdr:blipFill>
        <a:blip r:embed="rId831" cstate="email"/>
        <a:stretch>
          <a:fillRect/>
        </a:stretch>
      </xdr:blipFill>
      <xdr:spPr>
        <a:xfrm>
          <a:off x="182880" y="854765880"/>
          <a:ext cx="60960"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xdr:cNvPicPr>
          <a:picLocks noChangeAspect="1"/>
        </xdr:cNvPicPr>
      </xdr:nvPicPr>
      <xdr:blipFill>
        <a:blip r:embed="rId832" cstate="email"/>
        <a:stretch>
          <a:fillRect/>
        </a:stretch>
      </xdr:blipFill>
      <xdr:spPr>
        <a:xfrm>
          <a:off x="162560" y="856854395"/>
          <a:ext cx="81280" cy="663575"/>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xdr:cNvPicPr>
          <a:picLocks noChangeAspect="1"/>
        </xdr:cNvPicPr>
      </xdr:nvPicPr>
      <xdr:blipFill>
        <a:blip r:embed="rId833" cstate="email"/>
        <a:stretch>
          <a:fillRect/>
        </a:stretch>
      </xdr:blipFill>
      <xdr:spPr>
        <a:xfrm>
          <a:off x="193040" y="855464380"/>
          <a:ext cx="50800"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xdr:cNvPicPr>
          <a:picLocks noChangeAspect="1"/>
        </xdr:cNvPicPr>
      </xdr:nvPicPr>
      <xdr:blipFill>
        <a:blip r:embed="rId834" cstate="email"/>
        <a:stretch>
          <a:fillRect/>
        </a:stretch>
      </xdr:blipFill>
      <xdr:spPr>
        <a:xfrm>
          <a:off x="203200" y="856162880"/>
          <a:ext cx="40640"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xdr:cNvPicPr>
          <a:picLocks noChangeAspect="1"/>
        </xdr:cNvPicPr>
      </xdr:nvPicPr>
      <xdr:blipFill>
        <a:blip r:embed="rId835" cstate="email"/>
        <a:stretch>
          <a:fillRect/>
        </a:stretch>
      </xdr:blipFill>
      <xdr:spPr>
        <a:xfrm>
          <a:off x="193040" y="857549720"/>
          <a:ext cx="50800" cy="663575"/>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xdr:cNvPicPr>
          <a:picLocks noChangeAspect="1"/>
        </xdr:cNvPicPr>
      </xdr:nvPicPr>
      <xdr:blipFill>
        <a:blip r:embed="rId836" cstate="email"/>
        <a:stretch>
          <a:fillRect/>
        </a:stretch>
      </xdr:blipFill>
      <xdr:spPr>
        <a:xfrm>
          <a:off x="213360" y="858268540"/>
          <a:ext cx="30480"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xdr:cNvPicPr>
          <a:picLocks noChangeAspect="1"/>
        </xdr:cNvPicPr>
      </xdr:nvPicPr>
      <xdr:blipFill>
        <a:blip r:embed="rId837" cstate="email"/>
        <a:stretch>
          <a:fillRect/>
        </a:stretch>
      </xdr:blipFill>
      <xdr:spPr>
        <a:xfrm>
          <a:off x="194945" y="858956880"/>
          <a:ext cx="48895" cy="645795"/>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xdr:cNvPicPr>
          <a:picLocks noChangeAspect="1"/>
        </xdr:cNvPicPr>
      </xdr:nvPicPr>
      <xdr:blipFill>
        <a:blip r:embed="rId838" cstate="email"/>
        <a:stretch>
          <a:fillRect/>
        </a:stretch>
      </xdr:blipFill>
      <xdr:spPr>
        <a:xfrm>
          <a:off x="121920" y="859624900"/>
          <a:ext cx="121920" cy="645795"/>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xdr:cNvPicPr>
          <a:picLocks noChangeAspect="1"/>
        </xdr:cNvPicPr>
      </xdr:nvPicPr>
      <xdr:blipFill>
        <a:blip r:embed="rId839" cstate="email"/>
        <a:stretch>
          <a:fillRect/>
        </a:stretch>
      </xdr:blipFill>
      <xdr:spPr>
        <a:xfrm>
          <a:off x="152400" y="860364040"/>
          <a:ext cx="91440" cy="645795"/>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xdr:cNvPicPr>
          <a:picLocks noChangeAspect="1"/>
        </xdr:cNvPicPr>
      </xdr:nvPicPr>
      <xdr:blipFill>
        <a:blip r:embed="rId840" cstate="email"/>
        <a:stretch>
          <a:fillRect/>
        </a:stretch>
      </xdr:blipFill>
      <xdr:spPr>
        <a:xfrm>
          <a:off x="142240" y="861062540"/>
          <a:ext cx="101600" cy="645795"/>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xdr:cNvPicPr>
          <a:picLocks noChangeAspect="1"/>
        </xdr:cNvPicPr>
      </xdr:nvPicPr>
      <xdr:blipFill>
        <a:blip r:embed="rId841" cstate="email"/>
        <a:stretch>
          <a:fillRect/>
        </a:stretch>
      </xdr:blipFill>
      <xdr:spPr>
        <a:xfrm>
          <a:off x="153670" y="861750880"/>
          <a:ext cx="90170" cy="654685"/>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xdr:cNvPicPr>
          <a:picLocks noChangeAspect="1"/>
        </xdr:cNvPicPr>
      </xdr:nvPicPr>
      <xdr:blipFill>
        <a:blip r:embed="rId842" cstate="email"/>
        <a:stretch>
          <a:fillRect/>
        </a:stretch>
      </xdr:blipFill>
      <xdr:spPr>
        <a:xfrm>
          <a:off x="152400" y="862449380"/>
          <a:ext cx="91440" cy="654685"/>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xdr:cNvPicPr>
          <a:picLocks noChangeAspect="1"/>
        </xdr:cNvPicPr>
      </xdr:nvPicPr>
      <xdr:blipFill>
        <a:blip r:embed="rId843" cstate="email"/>
        <a:stretch>
          <a:fillRect/>
        </a:stretch>
      </xdr:blipFill>
      <xdr:spPr>
        <a:xfrm>
          <a:off x="121920" y="863117400"/>
          <a:ext cx="121920" cy="654685"/>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xdr:cNvPicPr>
          <a:picLocks noChangeAspect="1"/>
        </xdr:cNvPicPr>
      </xdr:nvPicPr>
      <xdr:blipFill>
        <a:blip r:embed="rId844" cstate="email"/>
        <a:stretch>
          <a:fillRect/>
        </a:stretch>
      </xdr:blipFill>
      <xdr:spPr>
        <a:xfrm>
          <a:off x="162560" y="863866700"/>
          <a:ext cx="81280"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xdr:cNvPicPr>
          <a:picLocks noChangeAspect="1"/>
        </xdr:cNvPicPr>
      </xdr:nvPicPr>
      <xdr:blipFill>
        <a:blip r:embed="rId845" cstate="email"/>
        <a:stretch>
          <a:fillRect/>
        </a:stretch>
      </xdr:blipFill>
      <xdr:spPr>
        <a:xfrm>
          <a:off x="162560" y="865966010"/>
          <a:ext cx="81280" cy="626110"/>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xdr:cNvPicPr>
          <a:picLocks noChangeAspect="1"/>
        </xdr:cNvPicPr>
      </xdr:nvPicPr>
      <xdr:blipFill>
        <a:blip r:embed="rId845" cstate="email"/>
        <a:stretch>
          <a:fillRect/>
        </a:stretch>
      </xdr:blipFill>
      <xdr:spPr>
        <a:xfrm>
          <a:off x="162560" y="866664510"/>
          <a:ext cx="81280" cy="626110"/>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xdr:cNvPicPr>
          <a:picLocks noChangeAspect="1"/>
        </xdr:cNvPicPr>
      </xdr:nvPicPr>
      <xdr:blipFill>
        <a:blip r:embed="rId846" cstate="email"/>
        <a:stretch>
          <a:fillRect/>
        </a:stretch>
      </xdr:blipFill>
      <xdr:spPr>
        <a:xfrm>
          <a:off x="162560" y="865236395"/>
          <a:ext cx="81280" cy="659765"/>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xdr:cNvPicPr>
          <a:picLocks noChangeAspect="1"/>
        </xdr:cNvPicPr>
      </xdr:nvPicPr>
      <xdr:blipFill>
        <a:blip r:embed="rId846" cstate="email"/>
        <a:stretch>
          <a:fillRect/>
        </a:stretch>
      </xdr:blipFill>
      <xdr:spPr>
        <a:xfrm>
          <a:off x="162560" y="864544880"/>
          <a:ext cx="81280" cy="659765"/>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xdr:cNvPicPr>
          <a:picLocks noChangeAspect="1"/>
        </xdr:cNvPicPr>
      </xdr:nvPicPr>
      <xdr:blipFill>
        <a:blip r:embed="rId847" cstate="email"/>
        <a:stretch>
          <a:fillRect/>
        </a:stretch>
      </xdr:blipFill>
      <xdr:spPr>
        <a:xfrm>
          <a:off x="162560" y="870148755"/>
          <a:ext cx="81280" cy="623570"/>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xdr:cNvPicPr>
          <a:picLocks noChangeAspect="1"/>
        </xdr:cNvPicPr>
      </xdr:nvPicPr>
      <xdr:blipFill>
        <a:blip r:embed="rId848" cstate="email"/>
        <a:stretch>
          <a:fillRect/>
        </a:stretch>
      </xdr:blipFill>
      <xdr:spPr>
        <a:xfrm>
          <a:off x="167005" y="872249335"/>
          <a:ext cx="76835" cy="642620"/>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xdr:cNvPicPr>
          <a:picLocks noChangeAspect="1"/>
        </xdr:cNvPicPr>
      </xdr:nvPicPr>
      <xdr:blipFill>
        <a:blip r:embed="rId849" cstate="email"/>
        <a:stretch>
          <a:fillRect/>
        </a:stretch>
      </xdr:blipFill>
      <xdr:spPr>
        <a:xfrm>
          <a:off x="127635" y="871533690"/>
          <a:ext cx="116205" cy="648335"/>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xdr:cNvPicPr>
          <a:picLocks noChangeAspect="1"/>
        </xdr:cNvPicPr>
      </xdr:nvPicPr>
      <xdr:blipFill>
        <a:blip r:embed="rId850" cstate="email"/>
        <a:stretch>
          <a:fillRect/>
        </a:stretch>
      </xdr:blipFill>
      <xdr:spPr>
        <a:xfrm>
          <a:off x="236220" y="881988330"/>
          <a:ext cx="7620" cy="68580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xdr:cNvPicPr>
          <a:picLocks noChangeAspect="1"/>
        </xdr:cNvPicPr>
      </xdr:nvPicPr>
      <xdr:blipFill>
        <a:blip r:embed="rId851" cstate="email"/>
        <a:stretch>
          <a:fillRect/>
        </a:stretch>
      </xdr:blipFill>
      <xdr:spPr>
        <a:xfrm>
          <a:off x="239395" y="882701435"/>
          <a:ext cx="4445" cy="687070"/>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xdr:cNvPicPr>
          <a:picLocks noChangeAspect="1"/>
        </xdr:cNvPicPr>
      </xdr:nvPicPr>
      <xdr:blipFill>
        <a:blip r:embed="rId852" cstate="email"/>
        <a:stretch>
          <a:fillRect/>
        </a:stretch>
      </xdr:blipFill>
      <xdr:spPr>
        <a:xfrm>
          <a:off x="213360" y="881320310"/>
          <a:ext cx="30480" cy="633095"/>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xdr:cNvPicPr>
          <a:picLocks noChangeAspect="1"/>
        </xdr:cNvPicPr>
      </xdr:nvPicPr>
      <xdr:blipFill>
        <a:blip r:embed="rId853" cstate="email"/>
        <a:stretch>
          <a:fillRect/>
        </a:stretch>
      </xdr:blipFill>
      <xdr:spPr>
        <a:xfrm>
          <a:off x="167640" y="880602760"/>
          <a:ext cx="76200" cy="663575"/>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xdr:cNvPicPr>
          <a:picLocks noChangeAspect="1"/>
        </xdr:cNvPicPr>
      </xdr:nvPicPr>
      <xdr:blipFill>
        <a:blip r:embed="rId854" cstate="email"/>
        <a:stretch>
          <a:fillRect/>
        </a:stretch>
      </xdr:blipFill>
      <xdr:spPr>
        <a:xfrm>
          <a:off x="149225" y="885482735"/>
          <a:ext cx="94615" cy="673735"/>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xdr:cNvPicPr>
          <a:picLocks noChangeAspect="1"/>
        </xdr:cNvPicPr>
      </xdr:nvPicPr>
      <xdr:blipFill>
        <a:blip r:embed="rId855" cstate="email"/>
        <a:stretch>
          <a:fillRect/>
        </a:stretch>
      </xdr:blipFill>
      <xdr:spPr>
        <a:xfrm>
          <a:off x="189865" y="888288800"/>
          <a:ext cx="53975" cy="650240"/>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xdr:cNvPicPr>
          <a:picLocks noChangeAspect="1"/>
        </xdr:cNvPicPr>
      </xdr:nvPicPr>
      <xdr:blipFill>
        <a:blip r:embed="rId856" cstate="email"/>
        <a:stretch>
          <a:fillRect/>
        </a:stretch>
      </xdr:blipFill>
      <xdr:spPr>
        <a:xfrm>
          <a:off x="176530" y="887592205"/>
          <a:ext cx="67310" cy="650240"/>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xdr:cNvPicPr>
          <a:picLocks noChangeAspect="1"/>
        </xdr:cNvPicPr>
      </xdr:nvPicPr>
      <xdr:blipFill>
        <a:blip r:embed="rId857" cstate="email"/>
        <a:stretch>
          <a:fillRect/>
        </a:stretch>
      </xdr:blipFill>
      <xdr:spPr>
        <a:xfrm>
          <a:off x="164465" y="886196475"/>
          <a:ext cx="79375" cy="678180"/>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xdr:cNvPicPr>
          <a:picLocks noChangeAspect="1"/>
        </xdr:cNvPicPr>
      </xdr:nvPicPr>
      <xdr:blipFill>
        <a:blip r:embed="rId858" cstate="email"/>
        <a:stretch>
          <a:fillRect/>
        </a:stretch>
      </xdr:blipFill>
      <xdr:spPr>
        <a:xfrm>
          <a:off x="176530" y="886884180"/>
          <a:ext cx="67310" cy="673735"/>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xdr:cNvPicPr>
          <a:picLocks noChangeAspect="1"/>
        </xdr:cNvPicPr>
      </xdr:nvPicPr>
      <xdr:blipFill>
        <a:blip r:embed="rId859" cstate="email"/>
        <a:stretch>
          <a:fillRect/>
        </a:stretch>
      </xdr:blipFill>
      <xdr:spPr>
        <a:xfrm>
          <a:off x="161290" y="888986030"/>
          <a:ext cx="82550" cy="663575"/>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xdr:cNvPicPr>
          <a:picLocks noChangeAspect="1"/>
        </xdr:cNvPicPr>
      </xdr:nvPicPr>
      <xdr:blipFill>
        <a:blip r:embed="rId860" cstate="email"/>
        <a:stretch>
          <a:fillRect/>
        </a:stretch>
      </xdr:blipFill>
      <xdr:spPr>
        <a:xfrm>
          <a:off x="179070" y="890391285"/>
          <a:ext cx="64770" cy="631825"/>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xdr:cNvPicPr>
          <a:picLocks noChangeAspect="1"/>
        </xdr:cNvPicPr>
      </xdr:nvPicPr>
      <xdr:blipFill>
        <a:blip r:embed="rId861" cstate="email"/>
        <a:stretch>
          <a:fillRect/>
        </a:stretch>
      </xdr:blipFill>
      <xdr:spPr>
        <a:xfrm>
          <a:off x="201930" y="891796540"/>
          <a:ext cx="41910" cy="650875"/>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xdr:cNvPicPr>
          <a:picLocks noChangeAspect="1"/>
        </xdr:cNvPicPr>
      </xdr:nvPicPr>
      <xdr:blipFill>
        <a:blip r:embed="rId862" cstate="email"/>
        <a:stretch>
          <a:fillRect/>
        </a:stretch>
      </xdr:blipFill>
      <xdr:spPr>
        <a:xfrm>
          <a:off x="141605" y="893193540"/>
          <a:ext cx="102235" cy="640715"/>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xdr:cNvPicPr>
          <a:picLocks noChangeAspect="1"/>
        </xdr:cNvPicPr>
      </xdr:nvPicPr>
      <xdr:blipFill>
        <a:blip r:embed="rId862" cstate="email"/>
        <a:stretch>
          <a:fillRect/>
        </a:stretch>
      </xdr:blipFill>
      <xdr:spPr>
        <a:xfrm>
          <a:off x="146050" y="892495040"/>
          <a:ext cx="97790" cy="640715"/>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xdr:cNvPicPr>
          <a:picLocks noChangeAspect="1"/>
        </xdr:cNvPicPr>
      </xdr:nvPicPr>
      <xdr:blipFill>
        <a:blip r:embed="rId863" cstate="email"/>
        <a:stretch>
          <a:fillRect/>
        </a:stretch>
      </xdr:blipFill>
      <xdr:spPr>
        <a:xfrm>
          <a:off x="137795" y="884803920"/>
          <a:ext cx="106045" cy="6191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xdr:cNvPicPr>
          <a:picLocks noChangeAspect="1"/>
        </xdr:cNvPicPr>
      </xdr:nvPicPr>
      <xdr:blipFill>
        <a:blip r:embed="rId864" cstate="email"/>
        <a:stretch>
          <a:fillRect/>
        </a:stretch>
      </xdr:blipFill>
      <xdr:spPr>
        <a:xfrm>
          <a:off x="235585" y="884104785"/>
          <a:ext cx="8255" cy="665480"/>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xdr:cNvPicPr>
          <a:picLocks noChangeAspect="1"/>
        </xdr:cNvPicPr>
      </xdr:nvPicPr>
      <xdr:blipFill>
        <a:blip r:embed="rId865" cstate="email"/>
        <a:stretch>
          <a:fillRect/>
        </a:stretch>
      </xdr:blipFill>
      <xdr:spPr>
        <a:xfrm>
          <a:off x="199390" y="883406285"/>
          <a:ext cx="44450" cy="663575"/>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xdr:cNvPicPr>
          <a:picLocks noChangeAspect="1"/>
        </xdr:cNvPicPr>
      </xdr:nvPicPr>
      <xdr:blipFill>
        <a:blip r:embed="rId866" cstate="email"/>
        <a:stretch>
          <a:fillRect/>
        </a:stretch>
      </xdr:blipFill>
      <xdr:spPr>
        <a:xfrm>
          <a:off x="158750" y="879897275"/>
          <a:ext cx="85090" cy="674370"/>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xdr:cNvPicPr>
          <a:picLocks noChangeAspect="1"/>
        </xdr:cNvPicPr>
      </xdr:nvPicPr>
      <xdr:blipFill>
        <a:blip r:embed="rId867" cstate="email"/>
        <a:stretch>
          <a:fillRect/>
        </a:stretch>
      </xdr:blipFill>
      <xdr:spPr>
        <a:xfrm>
          <a:off x="170180" y="879231795"/>
          <a:ext cx="73660" cy="634365"/>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xdr:cNvPicPr>
          <a:picLocks noChangeAspect="1"/>
        </xdr:cNvPicPr>
      </xdr:nvPicPr>
      <xdr:blipFill>
        <a:blip r:embed="rId867" cstate="email"/>
        <a:stretch>
          <a:fillRect/>
        </a:stretch>
      </xdr:blipFill>
      <xdr:spPr>
        <a:xfrm>
          <a:off x="157480" y="878521230"/>
          <a:ext cx="86360" cy="634365"/>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xdr:cNvPicPr>
          <a:picLocks noChangeAspect="1"/>
        </xdr:cNvPicPr>
      </xdr:nvPicPr>
      <xdr:blipFill>
        <a:blip r:embed="rId868" cstate="email"/>
        <a:stretch>
          <a:fillRect/>
        </a:stretch>
      </xdr:blipFill>
      <xdr:spPr>
        <a:xfrm>
          <a:off x="160655" y="877826540"/>
          <a:ext cx="83185" cy="645160"/>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xdr:cNvPicPr>
          <a:picLocks noChangeAspect="1"/>
        </xdr:cNvPicPr>
      </xdr:nvPicPr>
      <xdr:blipFill>
        <a:blip r:embed="rId869" cstate="email"/>
        <a:stretch>
          <a:fillRect/>
        </a:stretch>
      </xdr:blipFill>
      <xdr:spPr>
        <a:xfrm>
          <a:off x="162560" y="877117880"/>
          <a:ext cx="81280" cy="651510"/>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xdr:cNvPicPr>
          <a:picLocks noChangeAspect="1"/>
        </xdr:cNvPicPr>
      </xdr:nvPicPr>
      <xdr:blipFill>
        <a:blip r:embed="rId870" cstate="email"/>
        <a:stretch>
          <a:fillRect/>
        </a:stretch>
      </xdr:blipFill>
      <xdr:spPr>
        <a:xfrm>
          <a:off x="189230" y="876417475"/>
          <a:ext cx="54610" cy="640715"/>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xdr:cNvPicPr>
          <a:picLocks noChangeAspect="1"/>
        </xdr:cNvPicPr>
      </xdr:nvPicPr>
      <xdr:blipFill>
        <a:blip r:embed="rId871" cstate="email"/>
        <a:stretch>
          <a:fillRect/>
        </a:stretch>
      </xdr:blipFill>
      <xdr:spPr>
        <a:xfrm>
          <a:off x="145415" y="875728500"/>
          <a:ext cx="98425" cy="595630"/>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xdr:cNvPicPr>
          <a:picLocks noChangeAspect="1"/>
        </xdr:cNvPicPr>
      </xdr:nvPicPr>
      <xdr:blipFill>
        <a:blip r:embed="rId871" cstate="email"/>
        <a:stretch>
          <a:fillRect/>
        </a:stretch>
      </xdr:blipFill>
      <xdr:spPr>
        <a:xfrm>
          <a:off x="155575" y="875063655"/>
          <a:ext cx="88265" cy="595630"/>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xdr:cNvPicPr>
          <a:picLocks noChangeAspect="1"/>
        </xdr:cNvPicPr>
      </xdr:nvPicPr>
      <xdr:blipFill>
        <a:blip r:embed="rId871" cstate="email"/>
        <a:stretch>
          <a:fillRect/>
        </a:stretch>
      </xdr:blipFill>
      <xdr:spPr>
        <a:xfrm>
          <a:off x="165100" y="874339755"/>
          <a:ext cx="78740" cy="595630"/>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xdr:cNvPicPr>
          <a:picLocks noChangeAspect="1"/>
        </xdr:cNvPicPr>
      </xdr:nvPicPr>
      <xdr:blipFill>
        <a:blip r:embed="rId871" cstate="email"/>
        <a:stretch>
          <a:fillRect/>
        </a:stretch>
      </xdr:blipFill>
      <xdr:spPr>
        <a:xfrm>
          <a:off x="187325" y="873651415"/>
          <a:ext cx="56515" cy="595630"/>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xdr:cNvPicPr>
          <a:picLocks noChangeAspect="1"/>
        </xdr:cNvPicPr>
      </xdr:nvPicPr>
      <xdr:blipFill>
        <a:blip r:embed="rId828" cstate="email"/>
        <a:stretch>
          <a:fillRect/>
        </a:stretch>
      </xdr:blipFill>
      <xdr:spPr>
        <a:xfrm>
          <a:off x="121920" y="849147400"/>
          <a:ext cx="121920" cy="639445"/>
        </a:xfrm>
        <a:prstGeom prst="rect">
          <a:avLst/>
        </a:prstGeom>
      </xdr:spPr>
    </xdr:pic>
    <xdr:clientData/>
  </xdr:twoCellAnchor>
</xdr:wsDr>
</file>

<file path=xl/tables/table1.xml><?xml version="1.0" encoding="utf-8"?>
<table xmlns="http://schemas.openxmlformats.org/spreadsheetml/2006/main" id="1" name="STOCK" displayName="STOCK" ref="A1:AC1673" totalsRowShown="0">
  <autoFilter ref="A1:AC1673">
    <filterColumn colId="3">
      <filters>
        <filter val="Partes-de-abajo /Lo-nuevo-de-HM/ Hombres"/>
        <filter val="Tops /Lo-nuevo-de-HM /Hombres"/>
        <filter val="Partes-de-abajo /Lo-nuevo-de-HM"/>
        <filter val="Tops /Lo-nuevo-de-HM"/>
      </filters>
    </filterColumn>
  </autoFilter>
  <tableColumns count="29">
    <tableColumn id="28" name="Code" dataDxfId="0"/>
    <tableColumn id="1" name="Foto" dataDxfId="1"/>
    <tableColumn id="3" name="Type" dataDxfId="2"/>
    <tableColumn id="4" name="Category" dataDxfId="3"/>
    <tableColumn id="5" name="Nombre del artículo" dataDxfId="4"/>
    <tableColumn id="6" name="Talla" dataDxfId="5"/>
    <tableColumn id="7" name="Brand" dataDxfId="6"/>
    <tableColumn id="12" name="Precio" dataDxfId="7"/>
    <tableColumn id="13" name="Pricing 1" dataDxfId="8"/>
    <tableColumn id="15" name="Entradas" dataDxfId="9"/>
    <tableColumn id="16" name="Salidas" dataDxfId="10"/>
    <tableColumn id="17" name="Stock Actual" dataDxfId="11"/>
    <tableColumn id="8" name="Comisión 10%" dataDxfId="12"/>
    <tableColumn id="18" name="Costo Unitario (MXN)" dataDxfId="13"/>
    <tableColumn id="19" name="USD -&gt; MXN" dataDxfId="14"/>
    <tableColumn id="20" name="Costo Unitario (USD)" dataDxfId="15"/>
    <tableColumn id="21" name="Peso (g)" dataDxfId="16"/>
    <tableColumn id="22" name="Precio Envío Kilogramo (USD)" dataDxfId="17"/>
    <tableColumn id="23" name="Costo Envío (USD)" dataDxfId="18"/>
    <tableColumn id="25" name="Costo total" dataDxfId="19"/>
    <tableColumn id="26" name="Precio Venta Ideal (x1.5)" dataDxfId="20"/>
    <tableColumn id="14" name="Precio Final" dataDxfId="21"/>
    <tableColumn id="27" name="Ganancia Unitaria" dataDxfId="22"/>
    <tableColumn id="9" name="Ganancia x Cant Ventas" dataDxfId="23"/>
    <tableColumn id="2" name="Detalles de la Compra" dataDxfId="24"/>
    <tableColumn id="11" name="Comisión Bazar 25%" dataDxfId="25"/>
    <tableColumn id="10" name="Gastos totales" dataDxfId="26"/>
    <tableColumn id="24" name="Valor Stock Actual" dataDxfId="27"/>
    <tableColumn id="29" name="Precio Promocion" dataDxfId="28"/>
  </tableColumns>
  <tableStyleInfo name="TableStyleLight17" showFirstColumn="0" showLastColumn="0" showRowStripes="1" showColumnStripes="0"/>
</table>
</file>

<file path=xl/tables/table2.xml><?xml version="1.0" encoding="utf-8"?>
<table xmlns="http://schemas.openxmlformats.org/spreadsheetml/2006/main" id="5" name="VENTAS" displayName="VENTAS" ref="A2:M1662" totalsRowShown="0">
  <autoFilter ref="A2:M1662"/>
  <tableColumns count="13">
    <tableColumn id="10" name="Fecha" dataDxfId="33"/>
    <tableColumn id="1" name="Detalle de compra" dataDxfId="34"/>
    <tableColumn id="2" name="Nombre del Cliente" dataDxfId="35"/>
    <tableColumn id="16" name="Nombre del Gestor" dataDxfId="36"/>
    <tableColumn id="3" name="Código del producto Vendido" dataDxfId="37"/>
    <tableColumn id="4" name="Descripcion" dataDxfId="38"/>
    <tableColumn id="5" name="Cantidad" dataDxfId="39"/>
    <tableColumn id="6" name="Precio Venta" dataDxfId="40"/>
    <tableColumn id="9" name="Total" dataDxfId="41"/>
    <tableColumn id="17" name="Comisión 10%" dataDxfId="42"/>
    <tableColumn id="7" name="Costo SIN Comision" dataDxfId="43"/>
    <tableColumn id="8" name="Ganancia" dataDxfId="44"/>
    <tableColumn id="11" name="Observaciones" dataDxfId="45"/>
  </tableColumns>
  <tableStyleInfo name="TableStyleMedium4" showFirstColumn="0" showLastColumn="0" showRowStripes="1" showColumnStripes="0"/>
</table>
</file>

<file path=xl/tables/table3.xml><?xml version="1.0" encoding="utf-8"?>
<table xmlns="http://schemas.openxmlformats.org/spreadsheetml/2006/main" id="3" name="VENTAS4" displayName="VENTAS4" ref="A1:C1303" totalsRowShown="0">
  <autoFilter ref="A1:C1303"/>
  <tableColumns count="3">
    <tableColumn id="3" name="Code" dataDxfId="46"/>
    <tableColumn id="1" name="Foto" dataDxfId="47"/>
    <tableColumn id="4" name="Descripcion" dataDxfId="48"/>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defRPr kumimoji="0" sz="1200" b="0" i="0" u="none" strike="noStrike" cap="none" spc="0" normalizeH="0" baseline="0">
            <a:ln>
              <a:noFill/>
            </a:ln>
            <a:solidFill>
              <a:srgbClr val="FFFFFF"/>
            </a:solidFill>
            <a:effectLst/>
            <a:uFillTx/>
            <a:latin typeface="Helvetica Neue Medium" panose="02000503000000020004"/>
            <a:ea typeface="Helvetica Neue Medium" panose="02000503000000020004"/>
            <a:cs typeface="Helvetica Neue Medium" panose="02000503000000020004"/>
            <a:sym typeface="Helvetica Neue Medium"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defRPr kumimoji="0" sz="1100" b="0" i="0" u="none" strike="noStrike" cap="none" spc="0" normalizeH="0" baseline="0">
            <a:ln>
              <a:noFill/>
            </a:ln>
            <a:solidFill>
              <a:srgbClr val="000000"/>
            </a:solidFill>
            <a:effectLst/>
            <a:uFillTx/>
            <a:latin typeface="+mn-lt"/>
            <a:ea typeface="+mn-ea"/>
            <a:cs typeface="+mn-cs"/>
            <a:sym typeface="Helvetica Neue"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1">
    <pageSetUpPr fitToPage="1"/>
  </sheetPr>
  <dimension ref="A1:AD1677"/>
  <sheetViews>
    <sheetView showGridLines="0" tabSelected="1" zoomScale="85" zoomScaleNormal="85" workbookViewId="0">
      <pane ySplit="1" topLeftCell="A2" activePane="bottomLeft" state="frozen"/>
      <selection/>
      <selection pane="bottomLeft" activeCell="D1546" sqref="D1546"/>
    </sheetView>
  </sheetViews>
  <sheetFormatPr defaultColWidth="8" defaultRowHeight="20" customHeight="1"/>
  <cols>
    <col min="1" max="1" width="93" style="80" customWidth="1"/>
    <col min="2" max="3" width="68" style="80" customWidth="1"/>
    <col min="4" max="4" width="163" style="81" customWidth="1"/>
    <col min="5" max="5" width="257" style="82" customWidth="1"/>
    <col min="6" max="6" width="104" style="82" customWidth="1"/>
    <col min="7" max="7" width="3" style="80" hidden="1" customWidth="1"/>
    <col min="8" max="9" width="70" style="80" customWidth="1"/>
    <col min="10" max="10" width="59" style="80" customWidth="1"/>
    <col min="11" max="11" width="70" style="80" customWidth="1"/>
    <col min="12" max="12" width="71" style="80" customWidth="1"/>
    <col min="13" max="13" width="70" style="80" customWidth="1"/>
    <col min="14" max="14" width="74" style="80" customWidth="1"/>
    <col min="15" max="15" width="53" style="83" customWidth="1"/>
    <col min="16" max="16" width="72" style="83" customWidth="1"/>
    <col min="17" max="17" width="70" style="80" customWidth="1"/>
    <col min="18" max="18" width="106" style="80" customWidth="1"/>
    <col min="19" max="19" width="60" style="83" customWidth="1"/>
    <col min="20" max="20" width="70" style="83" customWidth="1"/>
    <col min="21" max="21" width="94" style="84" customWidth="1"/>
    <col min="22" max="22" width="52" style="83" customWidth="1"/>
    <col min="23" max="23" width="74" style="83" customWidth="1"/>
    <col min="24" max="24" width="76" style="83" customWidth="1"/>
    <col min="25" max="25" width="213" style="85" customWidth="1"/>
    <col min="26" max="26" width="76" style="80" customWidth="1"/>
    <col min="27" max="28" width="70" style="80" customWidth="1"/>
    <col min="29" max="29" width="64" style="80" customWidth="1"/>
    <col min="30" max="16384" width="8" style="80"/>
  </cols>
  <sheetData>
    <row r="1" s="75" customFormat="1" ht="55" customHeight="1" spans="1:29">
      <c r="A1" s="86" t="s">
        <v>0</v>
      </c>
      <c r="B1" s="86" t="s">
        <v>1</v>
      </c>
      <c r="C1" s="87" t="s">
        <v>2</v>
      </c>
      <c r="D1" s="88" t="s">
        <v>3</v>
      </c>
      <c r="E1" s="88" t="s">
        <v>4</v>
      </c>
      <c r="F1" s="88" t="s">
        <v>5</v>
      </c>
      <c r="G1" s="88" t="s">
        <v>6</v>
      </c>
      <c r="H1" s="88" t="s">
        <v>7</v>
      </c>
      <c r="I1" s="89" t="s">
        <v>8</v>
      </c>
      <c r="J1" s="90" t="s">
        <v>9</v>
      </c>
      <c r="K1" s="90" t="s">
        <v>10</v>
      </c>
      <c r="L1" s="90" t="s">
        <v>11</v>
      </c>
      <c r="M1" s="88" t="s">
        <v>12</v>
      </c>
      <c r="N1" s="89" t="s">
        <v>13</v>
      </c>
      <c r="O1" s="89" t="s">
        <v>14</v>
      </c>
      <c r="P1" s="89" t="s">
        <v>15</v>
      </c>
      <c r="Q1" s="90" t="s">
        <v>16</v>
      </c>
      <c r="R1" s="89" t="s">
        <v>17</v>
      </c>
      <c r="S1" s="89" t="s">
        <v>18</v>
      </c>
      <c r="T1" s="89" t="s">
        <v>19</v>
      </c>
      <c r="U1" s="93" t="s">
        <v>20</v>
      </c>
      <c r="V1" s="89" t="s">
        <v>21</v>
      </c>
      <c r="W1" s="89" t="s">
        <v>22</v>
      </c>
      <c r="X1" s="89" t="s">
        <v>23</v>
      </c>
      <c r="Y1" s="88" t="s">
        <v>24</v>
      </c>
      <c r="Z1" s="89" t="s">
        <v>25</v>
      </c>
      <c r="AA1" s="89" t="s">
        <v>26</v>
      </c>
      <c r="AB1" s="89" t="s">
        <v>27</v>
      </c>
      <c r="AC1" s="89" t="s">
        <v>28</v>
      </c>
    </row>
    <row r="2" s="76" customFormat="1" ht="50" hidden="1" customHeight="1" spans="1:28">
      <c r="A2" s="76" t="s">
        <v>29</v>
      </c>
      <c r="B2" s="6"/>
      <c r="C2" s="76" t="s">
        <v>30</v>
      </c>
      <c r="D2" s="76" t="s">
        <v>31</v>
      </c>
      <c r="E2" s="76" t="s">
        <v>32</v>
      </c>
      <c r="F2" s="76" t="s">
        <v>33</v>
      </c>
      <c r="G2" s="76" t="s">
        <v>34</v>
      </c>
      <c r="H2" s="76">
        <f>STOCK[[#This Row],[Precio Final]]</f>
        <v>8</v>
      </c>
      <c r="I2" s="76">
        <f>STOCK[[#This Row],[Precio Venta Ideal (x1.5)]]</f>
        <v>7.70583333333333</v>
      </c>
      <c r="J2" s="91">
        <v>15</v>
      </c>
      <c r="K2" s="91">
        <f>SUMIFS(VENTAS[Cantidad],VENTAS[Código del producto Vendido],STOCK[[#This Row],[Code]])</f>
        <v>13</v>
      </c>
      <c r="L2" s="91">
        <v>0</v>
      </c>
      <c r="M2" s="76">
        <f>STOCK[[#This Row],[Precio Final]]*10%</f>
        <v>0.8</v>
      </c>
      <c r="N2" s="76">
        <v>49</v>
      </c>
      <c r="O2" s="76">
        <v>18</v>
      </c>
      <c r="P2" s="76">
        <v>2.72222222222222</v>
      </c>
      <c r="Q2" s="91">
        <v>95</v>
      </c>
      <c r="R2" s="76">
        <v>17</v>
      </c>
      <c r="S2" s="76">
        <f>STOCK[[#This Row],[Peso (g)]]*STOCK[[#This Row],[Precio Envío Kilogramo (USD)]]/1000</f>
        <v>1.615</v>
      </c>
      <c r="T2" s="76">
        <f>STOCK[[#This Row],[Costo Unitario (USD)]]+STOCK[[#This Row],[Costo Envío (USD)]]+STOCK[[#This Row],[Comisión 10%]]</f>
        <v>5.13722222222222</v>
      </c>
      <c r="U2" s="76">
        <f>STOCK[[#This Row],[Costo total]]*1.5</f>
        <v>7.70583333333333</v>
      </c>
      <c r="V2" s="76">
        <v>8</v>
      </c>
      <c r="W2" s="76">
        <f>STOCK[[#This Row],[Precio Final]]-STOCK[[#This Row],[Costo total]]</f>
        <v>2.86277777777778</v>
      </c>
      <c r="X2" s="76">
        <f>STOCK[[#This Row],[Ganancia Unitaria]]*STOCK[[#This Row],[Salidas]]</f>
        <v>37.2161111111111</v>
      </c>
      <c r="AA2" s="76">
        <f>STOCK[[#This Row],[Costo total]]*STOCK[[#This Row],[Entradas]]</f>
        <v>77.0583333333333</v>
      </c>
      <c r="AB2" s="76">
        <f>STOCK[[#This Row],[Stock Actual]]*STOCK[[#This Row],[Costo total]]</f>
        <v>0</v>
      </c>
    </row>
    <row r="3" s="77" customFormat="1" ht="50" hidden="1" customHeight="1" spans="1:28">
      <c r="A3" s="77" t="s">
        <v>35</v>
      </c>
      <c r="B3" s="6"/>
      <c r="C3" s="77" t="s">
        <v>30</v>
      </c>
      <c r="D3" s="77" t="s">
        <v>36</v>
      </c>
      <c r="E3" s="77" t="s">
        <v>37</v>
      </c>
      <c r="F3" s="77" t="s">
        <v>38</v>
      </c>
      <c r="G3" s="77" t="s">
        <v>34</v>
      </c>
      <c r="H3" s="77">
        <f>STOCK[[#This Row],[Precio Final]]</f>
        <v>28</v>
      </c>
      <c r="I3" s="77">
        <f>STOCK[[#This Row],[Precio Venta Ideal (x1.5)]]</f>
        <v>31.7566666666666</v>
      </c>
      <c r="J3" s="92">
        <v>1</v>
      </c>
      <c r="K3" s="92">
        <f>SUMIFS(VENTAS[Cantidad],VENTAS[Código del producto Vendido],STOCK[[#This Row],[Code]])</f>
        <v>1</v>
      </c>
      <c r="L3" s="92">
        <f>STOCK[[#This Row],[Entradas]]-STOCK[[#This Row],[Salidas]]</f>
        <v>0</v>
      </c>
      <c r="M3" s="77">
        <f>STOCK[[#This Row],[Precio Final]]*10%</f>
        <v>2.8</v>
      </c>
      <c r="N3" s="77">
        <v>245</v>
      </c>
      <c r="O3" s="77">
        <v>18</v>
      </c>
      <c r="P3" s="77">
        <v>13.6111111111111</v>
      </c>
      <c r="Q3" s="92">
        <v>280</v>
      </c>
      <c r="R3" s="77">
        <v>17</v>
      </c>
      <c r="S3" s="77">
        <f>STOCK[[#This Row],[Peso (g)]]*STOCK[[#This Row],[Precio Envío Kilogramo (USD)]]/1000</f>
        <v>4.76</v>
      </c>
      <c r="T3" s="76">
        <f>STOCK[[#This Row],[Costo Unitario (USD)]]+STOCK[[#This Row],[Costo Envío (USD)]]+STOCK[[#This Row],[Comisión 10%]]</f>
        <v>21.1711111111111</v>
      </c>
      <c r="U3" s="77">
        <f>STOCK[[#This Row],[Costo total]]*1.5</f>
        <v>31.7566666666666</v>
      </c>
      <c r="V3" s="77">
        <v>28</v>
      </c>
      <c r="W3" s="77">
        <f>STOCK[[#This Row],[Precio Final]]-STOCK[[#This Row],[Costo total]]</f>
        <v>6.8288888888889</v>
      </c>
      <c r="X3" s="77">
        <f>STOCK[[#This Row],[Ganancia Unitaria]]*STOCK[[#This Row],[Salidas]]</f>
        <v>6.8288888888889</v>
      </c>
      <c r="AA3" s="77">
        <f>STOCK[[#This Row],[Costo total]]*STOCK[[#This Row],[Entradas]]</f>
        <v>21.1711111111111</v>
      </c>
      <c r="AB3" s="77">
        <f>STOCK[[#This Row],[Stock Actual]]*STOCK[[#This Row],[Costo total]]</f>
        <v>0</v>
      </c>
    </row>
    <row r="4" s="76" customFormat="1" ht="50" hidden="1" customHeight="1" spans="1:28">
      <c r="A4" s="76" t="s">
        <v>39</v>
      </c>
      <c r="B4" s="6"/>
      <c r="C4" s="76" t="s">
        <v>30</v>
      </c>
      <c r="D4" s="76" t="s">
        <v>36</v>
      </c>
      <c r="E4" s="76" t="s">
        <v>37</v>
      </c>
      <c r="F4" s="76" t="s">
        <v>40</v>
      </c>
      <c r="G4" s="76" t="s">
        <v>34</v>
      </c>
      <c r="H4" s="76">
        <f>STOCK[[#This Row],[Precio Final]]</f>
        <v>28</v>
      </c>
      <c r="I4" s="76">
        <f>STOCK[[#This Row],[Precio Venta Ideal (x1.5)]]</f>
        <v>33.5416666666667</v>
      </c>
      <c r="J4" s="91">
        <v>3</v>
      </c>
      <c r="K4" s="91">
        <f>SUMIFS(VENTAS[Cantidad],VENTAS[Código del producto Vendido],STOCK[[#This Row],[Code]])</f>
        <v>3</v>
      </c>
      <c r="L4" s="91">
        <f>STOCK[[#This Row],[Entradas]]-STOCK[[#This Row],[Salidas]]</f>
        <v>0</v>
      </c>
      <c r="M4" s="76">
        <f>STOCK[[#This Row],[Precio Final]]*10%</f>
        <v>2.8</v>
      </c>
      <c r="N4" s="76">
        <v>245</v>
      </c>
      <c r="O4" s="76">
        <v>18</v>
      </c>
      <c r="P4" s="76">
        <v>13.6111111111111</v>
      </c>
      <c r="Q4" s="91">
        <v>350</v>
      </c>
      <c r="R4" s="76">
        <v>17</v>
      </c>
      <c r="S4" s="76">
        <f>STOCK[[#This Row],[Peso (g)]]*STOCK[[#This Row],[Precio Envío Kilogramo (USD)]]/1000</f>
        <v>5.95</v>
      </c>
      <c r="T4" s="76">
        <f>STOCK[[#This Row],[Costo Unitario (USD)]]+STOCK[[#This Row],[Costo Envío (USD)]]+STOCK[[#This Row],[Comisión 10%]]</f>
        <v>22.3611111111111</v>
      </c>
      <c r="U4" s="76">
        <f>STOCK[[#This Row],[Costo total]]*1.5</f>
        <v>33.5416666666667</v>
      </c>
      <c r="V4" s="76">
        <v>28</v>
      </c>
      <c r="W4" s="76">
        <f>STOCK[[#This Row],[Precio Final]]-STOCK[[#This Row],[Costo total]]</f>
        <v>5.6388888888889</v>
      </c>
      <c r="X4" s="76">
        <f>STOCK[[#This Row],[Ganancia Unitaria]]*STOCK[[#This Row],[Salidas]]</f>
        <v>16.9166666666667</v>
      </c>
      <c r="AA4" s="76">
        <f>STOCK[[#This Row],[Costo total]]*STOCK[[#This Row],[Entradas]]</f>
        <v>67.0833333333333</v>
      </c>
      <c r="AB4" s="76">
        <f>STOCK[[#This Row],[Stock Actual]]*STOCK[[#This Row],[Costo total]]</f>
        <v>0</v>
      </c>
    </row>
    <row r="5" s="77" customFormat="1" ht="50" hidden="1" customHeight="1" spans="1:28">
      <c r="A5" s="77" t="s">
        <v>41</v>
      </c>
      <c r="B5" s="6"/>
      <c r="C5" s="77" t="s">
        <v>30</v>
      </c>
      <c r="D5" s="77" t="s">
        <v>42</v>
      </c>
      <c r="E5" s="77" t="s">
        <v>43</v>
      </c>
      <c r="F5" s="77" t="s">
        <v>44</v>
      </c>
      <c r="G5" s="77" t="s">
        <v>34</v>
      </c>
      <c r="H5" s="77">
        <f>STOCK[[#This Row],[Precio Final]]</f>
        <v>30</v>
      </c>
      <c r="I5" s="77">
        <f>STOCK[[#This Row],[Precio Venta Ideal (x1.5)]]</f>
        <v>33.0033333333333</v>
      </c>
      <c r="J5" s="92">
        <v>1</v>
      </c>
      <c r="K5" s="92">
        <f>SUMIFS(VENTAS[Cantidad],VENTAS[Código del producto Vendido],STOCK[[#This Row],[Code]])</f>
        <v>1</v>
      </c>
      <c r="L5" s="92">
        <f>STOCK[[#This Row],[Entradas]]-STOCK[[#This Row],[Salidas]]</f>
        <v>0</v>
      </c>
      <c r="M5" s="77">
        <f>STOCK[[#This Row],[Precio Final]]*10%</f>
        <v>3</v>
      </c>
      <c r="N5" s="77">
        <v>238</v>
      </c>
      <c r="O5" s="77">
        <v>18</v>
      </c>
      <c r="P5" s="77">
        <v>13.2222222222222</v>
      </c>
      <c r="Q5" s="92">
        <v>340</v>
      </c>
      <c r="R5" s="77">
        <v>17</v>
      </c>
      <c r="S5" s="77">
        <f>STOCK[[#This Row],[Peso (g)]]*STOCK[[#This Row],[Precio Envío Kilogramo (USD)]]/1000</f>
        <v>5.78</v>
      </c>
      <c r="T5" s="76">
        <f>STOCK[[#This Row],[Costo Unitario (USD)]]+STOCK[[#This Row],[Costo Envío (USD)]]+STOCK[[#This Row],[Comisión 10%]]</f>
        <v>22.0022222222222</v>
      </c>
      <c r="U5" s="77">
        <f>STOCK[[#This Row],[Costo total]]*1.5</f>
        <v>33.0033333333333</v>
      </c>
      <c r="V5" s="77">
        <v>30</v>
      </c>
      <c r="W5" s="77">
        <f>STOCK[[#This Row],[Precio Final]]-STOCK[[#This Row],[Costo total]]</f>
        <v>7.9977777777778</v>
      </c>
      <c r="X5" s="77">
        <f>STOCK[[#This Row],[Ganancia Unitaria]]*STOCK[[#This Row],[Salidas]]</f>
        <v>7.9977777777778</v>
      </c>
      <c r="AA5" s="77">
        <f>STOCK[[#This Row],[Costo total]]*STOCK[[#This Row],[Entradas]]</f>
        <v>22.0022222222222</v>
      </c>
      <c r="AB5" s="77">
        <f>STOCK[[#This Row],[Stock Actual]]*STOCK[[#This Row],[Costo total]]</f>
        <v>0</v>
      </c>
    </row>
    <row r="6" s="76" customFormat="1" ht="50" hidden="1" customHeight="1" spans="1:28">
      <c r="A6" s="76" t="s">
        <v>45</v>
      </c>
      <c r="B6" s="6"/>
      <c r="C6" s="76" t="s">
        <v>30</v>
      </c>
      <c r="D6" s="76" t="s">
        <v>42</v>
      </c>
      <c r="E6" s="76" t="s">
        <v>46</v>
      </c>
      <c r="F6" s="76" t="s">
        <v>47</v>
      </c>
      <c r="G6" s="76" t="s">
        <v>34</v>
      </c>
      <c r="H6" s="76">
        <f>STOCK[[#This Row],[Precio Final]]</f>
        <v>30</v>
      </c>
      <c r="I6" s="76">
        <f>STOCK[[#This Row],[Precio Venta Ideal (x1.5)]]</f>
        <v>33.0033333333333</v>
      </c>
      <c r="J6" s="91">
        <v>1</v>
      </c>
      <c r="K6" s="91">
        <f>SUMIFS(VENTAS[Cantidad],VENTAS[Código del producto Vendido],STOCK[[#This Row],[Code]])</f>
        <v>1</v>
      </c>
      <c r="L6" s="91">
        <f>STOCK[[#This Row],[Entradas]]-STOCK[[#This Row],[Salidas]]</f>
        <v>0</v>
      </c>
      <c r="M6" s="76">
        <f>STOCK[[#This Row],[Precio Final]]*10%</f>
        <v>3</v>
      </c>
      <c r="N6" s="76">
        <v>238</v>
      </c>
      <c r="O6" s="76">
        <v>18</v>
      </c>
      <c r="P6" s="76">
        <v>13.2222222222222</v>
      </c>
      <c r="Q6" s="91">
        <v>340</v>
      </c>
      <c r="R6" s="76">
        <v>17</v>
      </c>
      <c r="S6" s="76">
        <f>STOCK[[#This Row],[Peso (g)]]*STOCK[[#This Row],[Precio Envío Kilogramo (USD)]]/1000</f>
        <v>5.78</v>
      </c>
      <c r="T6" s="76">
        <f>STOCK[[#This Row],[Costo Unitario (USD)]]+STOCK[[#This Row],[Costo Envío (USD)]]+STOCK[[#This Row],[Comisión 10%]]</f>
        <v>22.0022222222222</v>
      </c>
      <c r="U6" s="76">
        <f>STOCK[[#This Row],[Costo total]]*1.5</f>
        <v>33.0033333333333</v>
      </c>
      <c r="V6" s="76">
        <v>30</v>
      </c>
      <c r="W6" s="76">
        <f>STOCK[[#This Row],[Precio Final]]-STOCK[[#This Row],[Costo total]]</f>
        <v>7.9977777777778</v>
      </c>
      <c r="X6" s="76">
        <f>STOCK[[#This Row],[Ganancia Unitaria]]*STOCK[[#This Row],[Salidas]]</f>
        <v>7.9977777777778</v>
      </c>
      <c r="AA6" s="76">
        <f>STOCK[[#This Row],[Costo total]]*STOCK[[#This Row],[Entradas]]</f>
        <v>22.0022222222222</v>
      </c>
      <c r="AB6" s="76">
        <f>STOCK[[#This Row],[Stock Actual]]*STOCK[[#This Row],[Costo total]]</f>
        <v>0</v>
      </c>
    </row>
    <row r="7" s="77" customFormat="1" ht="50" hidden="1" customHeight="1" spans="1:28">
      <c r="A7" s="77" t="s">
        <v>48</v>
      </c>
      <c r="B7" s="6"/>
      <c r="C7" s="77" t="s">
        <v>30</v>
      </c>
      <c r="D7" s="77" t="s">
        <v>42</v>
      </c>
      <c r="E7" s="77" t="s">
        <v>46</v>
      </c>
      <c r="F7" s="77" t="s">
        <v>38</v>
      </c>
      <c r="G7" s="77" t="s">
        <v>34</v>
      </c>
      <c r="H7" s="77">
        <f>STOCK[[#This Row],[Precio Final]]</f>
        <v>30</v>
      </c>
      <c r="I7" s="77">
        <f>STOCK[[#This Row],[Precio Venta Ideal (x1.5)]]</f>
        <v>32.3658333333333</v>
      </c>
      <c r="J7" s="92">
        <v>1</v>
      </c>
      <c r="K7" s="92">
        <f>SUMIFS(VENTAS[Cantidad],VENTAS[Código del producto Vendido],STOCK[[#This Row],[Code]])</f>
        <v>1</v>
      </c>
      <c r="L7" s="92">
        <f>STOCK[[#This Row],[Entradas]]-STOCK[[#This Row],[Salidas]]</f>
        <v>0</v>
      </c>
      <c r="M7" s="77">
        <f>STOCK[[#This Row],[Precio Final]]*10%</f>
        <v>3</v>
      </c>
      <c r="N7" s="77">
        <v>238</v>
      </c>
      <c r="O7" s="77">
        <v>18</v>
      </c>
      <c r="P7" s="77">
        <v>13.2222222222222</v>
      </c>
      <c r="Q7" s="92">
        <v>315</v>
      </c>
      <c r="R7" s="77">
        <v>17</v>
      </c>
      <c r="S7" s="77">
        <f>STOCK[[#This Row],[Peso (g)]]*STOCK[[#This Row],[Precio Envío Kilogramo (USD)]]/1000</f>
        <v>5.355</v>
      </c>
      <c r="T7" s="76">
        <f>STOCK[[#This Row],[Costo Unitario (USD)]]+STOCK[[#This Row],[Costo Envío (USD)]]+STOCK[[#This Row],[Comisión 10%]]</f>
        <v>21.5772222222222</v>
      </c>
      <c r="U7" s="77">
        <f>STOCK[[#This Row],[Costo total]]*1.5</f>
        <v>32.3658333333333</v>
      </c>
      <c r="V7" s="77">
        <v>30</v>
      </c>
      <c r="W7" s="77">
        <f>STOCK[[#This Row],[Precio Final]]-STOCK[[#This Row],[Costo total]]</f>
        <v>8.4227777777778</v>
      </c>
      <c r="X7" s="77">
        <f>STOCK[[#This Row],[Ganancia Unitaria]]*STOCK[[#This Row],[Salidas]]</f>
        <v>8.4227777777778</v>
      </c>
      <c r="AA7" s="77">
        <f>STOCK[[#This Row],[Costo total]]*STOCK[[#This Row],[Entradas]]</f>
        <v>21.5772222222222</v>
      </c>
      <c r="AB7" s="77">
        <f>STOCK[[#This Row],[Stock Actual]]*STOCK[[#This Row],[Costo total]]</f>
        <v>0</v>
      </c>
    </row>
    <row r="8" s="76" customFormat="1" ht="50" hidden="1" customHeight="1" spans="1:28">
      <c r="A8" s="76" t="s">
        <v>49</v>
      </c>
      <c r="B8" s="6"/>
      <c r="C8" s="76" t="s">
        <v>30</v>
      </c>
      <c r="D8" s="76" t="s">
        <v>36</v>
      </c>
      <c r="E8" s="76" t="s">
        <v>50</v>
      </c>
      <c r="F8" s="76" t="s">
        <v>38</v>
      </c>
      <c r="G8" s="76" t="s">
        <v>34</v>
      </c>
      <c r="H8" s="76">
        <f>STOCK[[#This Row],[Precio Final]]</f>
        <v>15</v>
      </c>
      <c r="I8" s="76">
        <f>STOCK[[#This Row],[Precio Venta Ideal (x1.5)]]</f>
        <v>17.345</v>
      </c>
      <c r="J8" s="91">
        <v>2</v>
      </c>
      <c r="K8" s="91">
        <f>SUMIFS(VENTAS[Cantidad],VENTAS[Código del producto Vendido],STOCK[[#This Row],[Code]])</f>
        <v>2</v>
      </c>
      <c r="L8" s="91">
        <f>STOCK[[#This Row],[Entradas]]-STOCK[[#This Row],[Salidas]]</f>
        <v>0</v>
      </c>
      <c r="M8" s="76">
        <f>STOCK[[#This Row],[Precio Final]]*10%</f>
        <v>1.5</v>
      </c>
      <c r="N8" s="76">
        <v>123</v>
      </c>
      <c r="O8" s="76">
        <v>18</v>
      </c>
      <c r="P8" s="76">
        <v>6.83333333333333</v>
      </c>
      <c r="Q8" s="91">
        <v>190</v>
      </c>
      <c r="R8" s="76">
        <v>17</v>
      </c>
      <c r="S8" s="76">
        <f>STOCK[[#This Row],[Peso (g)]]*STOCK[[#This Row],[Precio Envío Kilogramo (USD)]]/1000</f>
        <v>3.23</v>
      </c>
      <c r="T8" s="76">
        <f>STOCK[[#This Row],[Costo Unitario (USD)]]+STOCK[[#This Row],[Costo Envío (USD)]]+STOCK[[#This Row],[Comisión 10%]]</f>
        <v>11.5633333333333</v>
      </c>
      <c r="U8" s="76">
        <f>STOCK[[#This Row],[Costo total]]*1.5</f>
        <v>17.345</v>
      </c>
      <c r="V8" s="76">
        <v>15</v>
      </c>
      <c r="W8" s="76">
        <f>STOCK[[#This Row],[Precio Final]]-STOCK[[#This Row],[Costo total]]</f>
        <v>3.43666666666667</v>
      </c>
      <c r="X8" s="76">
        <f>STOCK[[#This Row],[Ganancia Unitaria]]*STOCK[[#This Row],[Salidas]]</f>
        <v>6.87333333333334</v>
      </c>
      <c r="Y8" s="76" t="s">
        <v>51</v>
      </c>
      <c r="AA8" s="76">
        <f>STOCK[[#This Row],[Costo total]]*STOCK[[#This Row],[Entradas]]</f>
        <v>23.1266666666667</v>
      </c>
      <c r="AB8" s="76">
        <f>STOCK[[#This Row],[Stock Actual]]*STOCK[[#This Row],[Costo total]]</f>
        <v>0</v>
      </c>
    </row>
    <row r="9" s="77" customFormat="1" ht="50" hidden="1" customHeight="1" spans="1:28">
      <c r="A9" s="77" t="s">
        <v>52</v>
      </c>
      <c r="B9" s="6"/>
      <c r="C9" s="77" t="s">
        <v>30</v>
      </c>
      <c r="D9" s="77" t="s">
        <v>36</v>
      </c>
      <c r="E9" s="77" t="s">
        <v>53</v>
      </c>
      <c r="F9" s="77" t="s">
        <v>47</v>
      </c>
      <c r="G9" s="77" t="s">
        <v>34</v>
      </c>
      <c r="H9" s="77">
        <f>STOCK[[#This Row],[Precio Final]]</f>
        <v>15</v>
      </c>
      <c r="I9" s="77">
        <f>STOCK[[#This Row],[Precio Venta Ideal (x1.5)]]</f>
        <v>17.345</v>
      </c>
      <c r="J9" s="92">
        <v>2</v>
      </c>
      <c r="K9" s="92">
        <f>SUMIFS(VENTAS[Cantidad],VENTAS[Código del producto Vendido],STOCK[[#This Row],[Code]])</f>
        <v>2</v>
      </c>
      <c r="L9" s="92">
        <f>STOCK[[#This Row],[Entradas]]-STOCK[[#This Row],[Salidas]]</f>
        <v>0</v>
      </c>
      <c r="M9" s="77">
        <f>STOCK[[#This Row],[Precio Final]]*10%</f>
        <v>1.5</v>
      </c>
      <c r="N9" s="77">
        <v>123</v>
      </c>
      <c r="O9" s="77">
        <v>18</v>
      </c>
      <c r="P9" s="77">
        <v>6.83333333333333</v>
      </c>
      <c r="Q9" s="92">
        <v>190</v>
      </c>
      <c r="R9" s="77">
        <v>17</v>
      </c>
      <c r="S9" s="77">
        <f>STOCK[[#This Row],[Peso (g)]]*STOCK[[#This Row],[Precio Envío Kilogramo (USD)]]/1000</f>
        <v>3.23</v>
      </c>
      <c r="T9" s="76">
        <f>STOCK[[#This Row],[Costo Unitario (USD)]]+STOCK[[#This Row],[Costo Envío (USD)]]+STOCK[[#This Row],[Comisión 10%]]</f>
        <v>11.5633333333333</v>
      </c>
      <c r="U9" s="77">
        <f>STOCK[[#This Row],[Costo total]]*1.5</f>
        <v>17.345</v>
      </c>
      <c r="V9" s="77">
        <v>15</v>
      </c>
      <c r="W9" s="77">
        <f>STOCK[[#This Row],[Precio Final]]-STOCK[[#This Row],[Costo total]]</f>
        <v>3.43666666666667</v>
      </c>
      <c r="X9" s="77">
        <f>STOCK[[#This Row],[Ganancia Unitaria]]*STOCK[[#This Row],[Salidas]]</f>
        <v>6.87333333333334</v>
      </c>
      <c r="AA9" s="77">
        <f>STOCK[[#This Row],[Costo total]]*STOCK[[#This Row],[Entradas]]</f>
        <v>23.1266666666667</v>
      </c>
      <c r="AB9" s="77">
        <f>STOCK[[#This Row],[Stock Actual]]*STOCK[[#This Row],[Costo total]]</f>
        <v>0</v>
      </c>
    </row>
    <row r="10" s="76" customFormat="1" ht="50" hidden="1" customHeight="1" spans="1:28">
      <c r="A10" s="76" t="s">
        <v>54</v>
      </c>
      <c r="B10" s="6"/>
      <c r="C10" s="76" t="s">
        <v>30</v>
      </c>
      <c r="D10" s="76" t="s">
        <v>36</v>
      </c>
      <c r="E10" s="76" t="s">
        <v>55</v>
      </c>
      <c r="F10" s="76" t="s">
        <v>44</v>
      </c>
      <c r="G10" s="76" t="s">
        <v>34</v>
      </c>
      <c r="H10" s="76">
        <f>STOCK[[#This Row],[Precio Final]]</f>
        <v>15</v>
      </c>
      <c r="I10" s="76">
        <f>STOCK[[#This Row],[Precio Venta Ideal (x1.5)]]</f>
        <v>17.345</v>
      </c>
      <c r="J10" s="91">
        <v>2</v>
      </c>
      <c r="K10" s="91">
        <f>SUMIFS(VENTAS[Cantidad],VENTAS[Código del producto Vendido],STOCK[[#This Row],[Code]])</f>
        <v>2</v>
      </c>
      <c r="L10" s="91">
        <f>STOCK[[#This Row],[Entradas]]-STOCK[[#This Row],[Salidas]]</f>
        <v>0</v>
      </c>
      <c r="M10" s="76">
        <f>STOCK[[#This Row],[Precio Final]]*10%</f>
        <v>1.5</v>
      </c>
      <c r="N10" s="76">
        <v>123</v>
      </c>
      <c r="O10" s="76">
        <v>18</v>
      </c>
      <c r="P10" s="76">
        <v>6.83333333333333</v>
      </c>
      <c r="Q10" s="91">
        <v>190</v>
      </c>
      <c r="R10" s="76">
        <v>17</v>
      </c>
      <c r="S10" s="76">
        <f>STOCK[[#This Row],[Peso (g)]]*STOCK[[#This Row],[Precio Envío Kilogramo (USD)]]/1000</f>
        <v>3.23</v>
      </c>
      <c r="T10" s="76">
        <f>STOCK[[#This Row],[Costo Unitario (USD)]]+STOCK[[#This Row],[Costo Envío (USD)]]+STOCK[[#This Row],[Comisión 10%]]</f>
        <v>11.5633333333333</v>
      </c>
      <c r="U10" s="76">
        <f>STOCK[[#This Row],[Costo total]]*1.5</f>
        <v>17.345</v>
      </c>
      <c r="V10" s="76">
        <v>15</v>
      </c>
      <c r="W10" s="76">
        <f>STOCK[[#This Row],[Precio Final]]-STOCK[[#This Row],[Costo total]]</f>
        <v>3.43666666666667</v>
      </c>
      <c r="X10" s="76">
        <f>STOCK[[#This Row],[Ganancia Unitaria]]*STOCK[[#This Row],[Salidas]]</f>
        <v>6.87333333333334</v>
      </c>
      <c r="AA10" s="76">
        <f>STOCK[[#This Row],[Costo total]]*STOCK[[#This Row],[Entradas]]</f>
        <v>23.1266666666667</v>
      </c>
      <c r="AB10" s="76">
        <f>STOCK[[#This Row],[Stock Actual]]*STOCK[[#This Row],[Costo total]]</f>
        <v>0</v>
      </c>
    </row>
    <row r="11" s="77" customFormat="1" ht="50" hidden="1" customHeight="1" spans="1:28">
      <c r="A11" s="77" t="s">
        <v>56</v>
      </c>
      <c r="B11" s="6"/>
      <c r="C11" s="77" t="s">
        <v>30</v>
      </c>
      <c r="D11" s="77" t="s">
        <v>36</v>
      </c>
      <c r="E11" s="77" t="s">
        <v>57</v>
      </c>
      <c r="F11" s="77" t="s">
        <v>44</v>
      </c>
      <c r="G11" s="77" t="s">
        <v>34</v>
      </c>
      <c r="H11" s="77">
        <f>STOCK[[#This Row],[Precio Final]]</f>
        <v>28</v>
      </c>
      <c r="I11" s="77">
        <f>STOCK[[#This Row],[Precio Venta Ideal (x1.5)]]</f>
        <v>28.0750000000001</v>
      </c>
      <c r="J11" s="92">
        <v>1</v>
      </c>
      <c r="K11" s="92">
        <f>SUMIFS(VENTAS[Cantidad],VENTAS[Código del producto Vendido],STOCK[[#This Row],[Code]])</f>
        <v>1</v>
      </c>
      <c r="L11" s="92">
        <f>STOCK[[#This Row],[Entradas]]-STOCK[[#This Row],[Salidas]]</f>
        <v>0</v>
      </c>
      <c r="M11" s="77">
        <f>STOCK[[#This Row],[Precio Final]]*10%</f>
        <v>2.8</v>
      </c>
      <c r="N11" s="77">
        <v>210</v>
      </c>
      <c r="O11" s="77">
        <v>18</v>
      </c>
      <c r="P11" s="77">
        <v>11.6666666666667</v>
      </c>
      <c r="Q11" s="92">
        <v>250</v>
      </c>
      <c r="R11" s="77">
        <v>17</v>
      </c>
      <c r="S11" s="77">
        <f>STOCK[[#This Row],[Peso (g)]]*STOCK[[#This Row],[Precio Envío Kilogramo (USD)]]/1000</f>
        <v>4.25</v>
      </c>
      <c r="T11" s="76">
        <f>STOCK[[#This Row],[Costo Unitario (USD)]]+STOCK[[#This Row],[Costo Envío (USD)]]+STOCK[[#This Row],[Comisión 10%]]</f>
        <v>18.7166666666667</v>
      </c>
      <c r="U11" s="77">
        <f>STOCK[[#This Row],[Costo total]]*1.5</f>
        <v>28.0750000000001</v>
      </c>
      <c r="V11" s="77">
        <v>28</v>
      </c>
      <c r="W11" s="77">
        <f>STOCK[[#This Row],[Precio Final]]-STOCK[[#This Row],[Costo total]]</f>
        <v>9.2833333333333</v>
      </c>
      <c r="X11" s="77">
        <f>STOCK[[#This Row],[Ganancia Unitaria]]*STOCK[[#This Row],[Salidas]]</f>
        <v>9.2833333333333</v>
      </c>
      <c r="AA11" s="77">
        <f>STOCK[[#This Row],[Costo total]]*STOCK[[#This Row],[Entradas]]</f>
        <v>18.7166666666667</v>
      </c>
      <c r="AB11" s="77">
        <f>STOCK[[#This Row],[Stock Actual]]*STOCK[[#This Row],[Costo total]]</f>
        <v>0</v>
      </c>
    </row>
    <row r="12" s="76" customFormat="1" ht="50" hidden="1" customHeight="1" spans="1:28">
      <c r="A12" s="76" t="s">
        <v>58</v>
      </c>
      <c r="B12" s="6"/>
      <c r="C12" s="76" t="s">
        <v>30</v>
      </c>
      <c r="D12" s="76" t="s">
        <v>36</v>
      </c>
      <c r="E12" s="76" t="s">
        <v>59</v>
      </c>
      <c r="F12" s="76" t="s">
        <v>60</v>
      </c>
      <c r="G12" s="76" t="s">
        <v>34</v>
      </c>
      <c r="H12" s="76">
        <f>STOCK[[#This Row],[Precio Final]]</f>
        <v>25</v>
      </c>
      <c r="I12" s="76">
        <f>STOCK[[#This Row],[Precio Venta Ideal (x1.5)]]</f>
        <v>25.4925</v>
      </c>
      <c r="J12" s="91">
        <v>2</v>
      </c>
      <c r="K12" s="91">
        <f>SUMIFS(VENTAS[Cantidad],VENTAS[Código del producto Vendido],STOCK[[#This Row],[Code]])</f>
        <v>2</v>
      </c>
      <c r="L12" s="91">
        <f>STOCK[[#This Row],[Entradas]]-STOCK[[#This Row],[Salidas]]</f>
        <v>0</v>
      </c>
      <c r="M12" s="76">
        <f>STOCK[[#This Row],[Precio Final]]*10%</f>
        <v>2.5</v>
      </c>
      <c r="N12" s="76">
        <v>189</v>
      </c>
      <c r="O12" s="76">
        <v>18</v>
      </c>
      <c r="P12" s="76">
        <v>10.5</v>
      </c>
      <c r="Q12" s="91">
        <v>235</v>
      </c>
      <c r="R12" s="76">
        <v>17</v>
      </c>
      <c r="S12" s="76">
        <f>STOCK[[#This Row],[Peso (g)]]*STOCK[[#This Row],[Precio Envío Kilogramo (USD)]]/1000</f>
        <v>3.995</v>
      </c>
      <c r="T12" s="76">
        <f>STOCK[[#This Row],[Costo Unitario (USD)]]+STOCK[[#This Row],[Costo Envío (USD)]]+STOCK[[#This Row],[Comisión 10%]]</f>
        <v>16.995</v>
      </c>
      <c r="U12" s="76">
        <f>STOCK[[#This Row],[Costo total]]*1.5</f>
        <v>25.4925</v>
      </c>
      <c r="V12" s="76">
        <v>25</v>
      </c>
      <c r="W12" s="76">
        <f>STOCK[[#This Row],[Precio Final]]-STOCK[[#This Row],[Costo total]]</f>
        <v>8.005</v>
      </c>
      <c r="X12" s="76">
        <f>STOCK[[#This Row],[Ganancia Unitaria]]*STOCK[[#This Row],[Salidas]]</f>
        <v>16.01</v>
      </c>
      <c r="AA12" s="76">
        <f>STOCK[[#This Row],[Costo total]]*STOCK[[#This Row],[Entradas]]</f>
        <v>33.99</v>
      </c>
      <c r="AB12" s="76">
        <f>STOCK[[#This Row],[Stock Actual]]*STOCK[[#This Row],[Costo total]]</f>
        <v>0</v>
      </c>
    </row>
    <row r="13" s="77" customFormat="1" ht="50" hidden="1" customHeight="1" spans="1:28">
      <c r="A13" s="77" t="s">
        <v>61</v>
      </c>
      <c r="B13" s="6"/>
      <c r="C13" s="77" t="s">
        <v>30</v>
      </c>
      <c r="D13" s="77" t="s">
        <v>36</v>
      </c>
      <c r="E13" s="77" t="s">
        <v>59</v>
      </c>
      <c r="F13" s="77" t="s">
        <v>47</v>
      </c>
      <c r="G13" s="77" t="s">
        <v>34</v>
      </c>
      <c r="H13" s="77">
        <f>STOCK[[#This Row],[Precio Final]]</f>
        <v>22</v>
      </c>
      <c r="I13" s="77">
        <f>STOCK[[#This Row],[Precio Venta Ideal (x1.5)]]</f>
        <v>25.0425</v>
      </c>
      <c r="J13" s="92">
        <v>2</v>
      </c>
      <c r="K13" s="92">
        <f>SUMIFS(VENTAS[Cantidad],VENTAS[Código del producto Vendido],STOCK[[#This Row],[Code]])</f>
        <v>2</v>
      </c>
      <c r="L13" s="92">
        <f>STOCK[[#This Row],[Entradas]]-STOCK[[#This Row],[Salidas]]</f>
        <v>0</v>
      </c>
      <c r="M13" s="77">
        <f>STOCK[[#This Row],[Precio Final]]*10%</f>
        <v>2.2</v>
      </c>
      <c r="N13" s="77">
        <v>189</v>
      </c>
      <c r="O13" s="77">
        <v>18</v>
      </c>
      <c r="P13" s="77">
        <v>10.5</v>
      </c>
      <c r="Q13" s="92">
        <v>235</v>
      </c>
      <c r="R13" s="77">
        <v>17</v>
      </c>
      <c r="S13" s="77">
        <f>STOCK[[#This Row],[Peso (g)]]*STOCK[[#This Row],[Precio Envío Kilogramo (USD)]]/1000</f>
        <v>3.995</v>
      </c>
      <c r="T13" s="76">
        <f>STOCK[[#This Row],[Costo Unitario (USD)]]+STOCK[[#This Row],[Costo Envío (USD)]]+STOCK[[#This Row],[Comisión 10%]]</f>
        <v>16.695</v>
      </c>
      <c r="U13" s="77">
        <f>STOCK[[#This Row],[Costo total]]*1.5</f>
        <v>25.0425</v>
      </c>
      <c r="V13" s="77">
        <v>22</v>
      </c>
      <c r="W13" s="77">
        <f>STOCK[[#This Row],[Precio Final]]-STOCK[[#This Row],[Costo total]]</f>
        <v>5.305</v>
      </c>
      <c r="X13" s="77">
        <f>STOCK[[#This Row],[Ganancia Unitaria]]*STOCK[[#This Row],[Salidas]]</f>
        <v>10.61</v>
      </c>
      <c r="AA13" s="77">
        <f>STOCK[[#This Row],[Costo total]]*STOCK[[#This Row],[Entradas]]</f>
        <v>33.39</v>
      </c>
      <c r="AB13" s="77">
        <f>STOCK[[#This Row],[Stock Actual]]*STOCK[[#This Row],[Costo total]]</f>
        <v>0</v>
      </c>
    </row>
    <row r="14" s="76" customFormat="1" ht="50" hidden="1" customHeight="1" spans="1:28">
      <c r="A14" s="76" t="s">
        <v>62</v>
      </c>
      <c r="B14" s="6"/>
      <c r="C14" s="76" t="s">
        <v>30</v>
      </c>
      <c r="D14" s="76" t="s">
        <v>36</v>
      </c>
      <c r="E14" s="76" t="s">
        <v>63</v>
      </c>
      <c r="F14" s="76" t="s">
        <v>60</v>
      </c>
      <c r="G14" s="76" t="s">
        <v>34</v>
      </c>
      <c r="H14" s="76">
        <f>STOCK[[#This Row],[Precio Final]]</f>
        <v>17</v>
      </c>
      <c r="I14" s="76">
        <f>STOCK[[#This Row],[Precio Venta Ideal (x1.5)]]</f>
        <v>21.145</v>
      </c>
      <c r="J14" s="91">
        <v>1</v>
      </c>
      <c r="K14" s="91">
        <f>SUMIFS(VENTAS[Cantidad],VENTAS[Código del producto Vendido],STOCK[[#This Row],[Code]])</f>
        <v>1</v>
      </c>
      <c r="L14" s="91">
        <f>STOCK[[#This Row],[Entradas]]-STOCK[[#This Row],[Salidas]]</f>
        <v>0</v>
      </c>
      <c r="M14" s="76">
        <f>STOCK[[#This Row],[Precio Final]]*10%</f>
        <v>1.7</v>
      </c>
      <c r="N14" s="76">
        <v>165</v>
      </c>
      <c r="O14" s="76">
        <v>18</v>
      </c>
      <c r="P14" s="76">
        <v>9.16666666666667</v>
      </c>
      <c r="Q14" s="91">
        <v>190</v>
      </c>
      <c r="R14" s="76">
        <v>17</v>
      </c>
      <c r="S14" s="76">
        <f>STOCK[[#This Row],[Peso (g)]]*STOCK[[#This Row],[Precio Envío Kilogramo (USD)]]/1000</f>
        <v>3.23</v>
      </c>
      <c r="T14" s="76">
        <f>STOCK[[#This Row],[Costo Unitario (USD)]]+STOCK[[#This Row],[Costo Envío (USD)]]+STOCK[[#This Row],[Comisión 10%]]</f>
        <v>14.0966666666667</v>
      </c>
      <c r="U14" s="76">
        <f>STOCK[[#This Row],[Costo total]]*1.5</f>
        <v>21.145</v>
      </c>
      <c r="V14" s="76">
        <v>17</v>
      </c>
      <c r="W14" s="76">
        <f>STOCK[[#This Row],[Precio Final]]-STOCK[[#This Row],[Costo total]]</f>
        <v>2.90333333333333</v>
      </c>
      <c r="X14" s="76">
        <f>STOCK[[#This Row],[Ganancia Unitaria]]*STOCK[[#This Row],[Salidas]]</f>
        <v>2.90333333333333</v>
      </c>
      <c r="AA14" s="76">
        <f>STOCK[[#This Row],[Costo total]]*STOCK[[#This Row],[Entradas]]</f>
        <v>14.0966666666667</v>
      </c>
      <c r="AB14" s="76">
        <f>STOCK[[#This Row],[Stock Actual]]*STOCK[[#This Row],[Costo total]]</f>
        <v>0</v>
      </c>
    </row>
    <row r="15" s="77" customFormat="1" ht="50" hidden="1" customHeight="1" spans="1:28">
      <c r="A15" s="77" t="s">
        <v>64</v>
      </c>
      <c r="B15" s="6"/>
      <c r="C15" s="77" t="s">
        <v>30</v>
      </c>
      <c r="D15" s="77" t="s">
        <v>36</v>
      </c>
      <c r="E15" s="77" t="s">
        <v>65</v>
      </c>
      <c r="F15" s="77" t="s">
        <v>60</v>
      </c>
      <c r="G15" s="77" t="s">
        <v>34</v>
      </c>
      <c r="H15" s="77">
        <f>STOCK[[#This Row],[Precio Final]]</f>
        <v>22</v>
      </c>
      <c r="I15" s="77">
        <f>STOCK[[#This Row],[Precio Venta Ideal (x1.5)]]</f>
        <v>21.2575</v>
      </c>
      <c r="J15" s="92">
        <v>1</v>
      </c>
      <c r="K15" s="92">
        <f>SUMIFS(VENTAS[Cantidad],VENTAS[Código del producto Vendido],STOCK[[#This Row],[Code]])</f>
        <v>1</v>
      </c>
      <c r="L15" s="92">
        <f>STOCK[[#This Row],[Entradas]]-STOCK[[#This Row],[Salidas]]</f>
        <v>0</v>
      </c>
      <c r="M15" s="77">
        <f>STOCK[[#This Row],[Precio Final]]*10%</f>
        <v>2.2</v>
      </c>
      <c r="N15" s="77">
        <v>165</v>
      </c>
      <c r="O15" s="77">
        <v>18</v>
      </c>
      <c r="P15" s="77">
        <v>9.16666666666667</v>
      </c>
      <c r="Q15" s="92">
        <v>165</v>
      </c>
      <c r="R15" s="77">
        <v>17</v>
      </c>
      <c r="S15" s="77">
        <f>STOCK[[#This Row],[Peso (g)]]*STOCK[[#This Row],[Precio Envío Kilogramo (USD)]]/1000</f>
        <v>2.805</v>
      </c>
      <c r="T15" s="76">
        <f>STOCK[[#This Row],[Costo Unitario (USD)]]+STOCK[[#This Row],[Costo Envío (USD)]]+STOCK[[#This Row],[Comisión 10%]]</f>
        <v>14.1716666666667</v>
      </c>
      <c r="U15" s="77">
        <f>STOCK[[#This Row],[Costo total]]*1.5</f>
        <v>21.2575</v>
      </c>
      <c r="V15" s="77">
        <v>22</v>
      </c>
      <c r="W15" s="77">
        <f>STOCK[[#This Row],[Precio Final]]-STOCK[[#This Row],[Costo total]]</f>
        <v>7.82833333333333</v>
      </c>
      <c r="X15" s="77">
        <f>STOCK[[#This Row],[Ganancia Unitaria]]*STOCK[[#This Row],[Salidas]]</f>
        <v>7.82833333333333</v>
      </c>
      <c r="AA15" s="77">
        <f>STOCK[[#This Row],[Costo total]]*STOCK[[#This Row],[Entradas]]</f>
        <v>14.1716666666667</v>
      </c>
      <c r="AB15" s="77">
        <f>STOCK[[#This Row],[Stock Actual]]*STOCK[[#This Row],[Costo total]]</f>
        <v>0</v>
      </c>
    </row>
    <row r="16" s="76" customFormat="1" ht="50" hidden="1" customHeight="1" spans="1:28">
      <c r="A16" s="76" t="s">
        <v>66</v>
      </c>
      <c r="B16" s="6"/>
      <c r="C16" s="76" t="s">
        <v>30</v>
      </c>
      <c r="D16" s="76" t="s">
        <v>36</v>
      </c>
      <c r="E16" s="76" t="s">
        <v>67</v>
      </c>
      <c r="F16" s="76" t="s">
        <v>47</v>
      </c>
      <c r="G16" s="76" t="s">
        <v>34</v>
      </c>
      <c r="H16" s="76">
        <f>STOCK[[#This Row],[Precio Final]]</f>
        <v>18</v>
      </c>
      <c r="I16" s="76">
        <f>STOCK[[#This Row],[Precio Venta Ideal (x1.5)]]</f>
        <v>21.1625</v>
      </c>
      <c r="J16" s="91">
        <v>1</v>
      </c>
      <c r="K16" s="91">
        <f>SUMIFS(VENTAS[Cantidad],VENTAS[Código del producto Vendido],STOCK[[#This Row],[Code]])</f>
        <v>1</v>
      </c>
      <c r="L16" s="91">
        <f>STOCK[[#This Row],[Entradas]]-STOCK[[#This Row],[Salidas]]</f>
        <v>0</v>
      </c>
      <c r="M16" s="76">
        <f>STOCK[[#This Row],[Precio Final]]*10%</f>
        <v>1.8</v>
      </c>
      <c r="N16" s="76">
        <v>168</v>
      </c>
      <c r="O16" s="76">
        <v>18</v>
      </c>
      <c r="P16" s="76">
        <v>9.33333333333333</v>
      </c>
      <c r="Q16" s="91">
        <v>175</v>
      </c>
      <c r="R16" s="76">
        <v>17</v>
      </c>
      <c r="S16" s="76">
        <f>STOCK[[#This Row],[Peso (g)]]*STOCK[[#This Row],[Precio Envío Kilogramo (USD)]]/1000</f>
        <v>2.975</v>
      </c>
      <c r="T16" s="76">
        <f>STOCK[[#This Row],[Costo Unitario (USD)]]+STOCK[[#This Row],[Costo Envío (USD)]]+STOCK[[#This Row],[Comisión 10%]]</f>
        <v>14.1083333333333</v>
      </c>
      <c r="U16" s="76">
        <f>STOCK[[#This Row],[Costo total]]*1.5</f>
        <v>21.1625</v>
      </c>
      <c r="V16" s="76">
        <v>18</v>
      </c>
      <c r="W16" s="76">
        <f>STOCK[[#This Row],[Precio Final]]-STOCK[[#This Row],[Costo total]]</f>
        <v>3.89166666666667</v>
      </c>
      <c r="X16" s="76">
        <f>STOCK[[#This Row],[Ganancia Unitaria]]*STOCK[[#This Row],[Salidas]]</f>
        <v>3.89166666666667</v>
      </c>
      <c r="AA16" s="76">
        <f>STOCK[[#This Row],[Costo total]]*STOCK[[#This Row],[Entradas]]</f>
        <v>14.1083333333333</v>
      </c>
      <c r="AB16" s="76">
        <f>STOCK[[#This Row],[Stock Actual]]*STOCK[[#This Row],[Costo total]]</f>
        <v>0</v>
      </c>
    </row>
    <row r="17" s="77" customFormat="1" ht="50" hidden="1" customHeight="1" spans="1:28">
      <c r="A17" s="77" t="s">
        <v>68</v>
      </c>
      <c r="B17" s="6"/>
      <c r="C17" s="77" t="s">
        <v>30</v>
      </c>
      <c r="D17" s="77" t="s">
        <v>36</v>
      </c>
      <c r="E17" s="77" t="s">
        <v>67</v>
      </c>
      <c r="F17" s="77" t="s">
        <v>38</v>
      </c>
      <c r="G17" s="77" t="s">
        <v>34</v>
      </c>
      <c r="H17" s="77">
        <f>STOCK[[#This Row],[Precio Final]]</f>
        <v>18</v>
      </c>
      <c r="I17" s="77">
        <f>STOCK[[#This Row],[Precio Venta Ideal (x1.5)]]</f>
        <v>21.1625</v>
      </c>
      <c r="J17" s="92">
        <v>1</v>
      </c>
      <c r="K17" s="92">
        <f>SUMIFS(VENTAS[Cantidad],VENTAS[Código del producto Vendido],STOCK[[#This Row],[Code]])</f>
        <v>1</v>
      </c>
      <c r="L17" s="92">
        <f>STOCK[[#This Row],[Entradas]]-STOCK[[#This Row],[Salidas]]</f>
        <v>0</v>
      </c>
      <c r="M17" s="77">
        <f>STOCK[[#This Row],[Precio Final]]*10%</f>
        <v>1.8</v>
      </c>
      <c r="N17" s="77">
        <v>168</v>
      </c>
      <c r="O17" s="77">
        <v>18</v>
      </c>
      <c r="P17" s="77">
        <v>9.33333333333333</v>
      </c>
      <c r="Q17" s="92">
        <v>175</v>
      </c>
      <c r="R17" s="77">
        <v>17</v>
      </c>
      <c r="S17" s="77">
        <f>STOCK[[#This Row],[Peso (g)]]*STOCK[[#This Row],[Precio Envío Kilogramo (USD)]]/1000</f>
        <v>2.975</v>
      </c>
      <c r="T17" s="76">
        <f>STOCK[[#This Row],[Costo Unitario (USD)]]+STOCK[[#This Row],[Costo Envío (USD)]]+STOCK[[#This Row],[Comisión 10%]]</f>
        <v>14.1083333333333</v>
      </c>
      <c r="U17" s="77">
        <f>STOCK[[#This Row],[Costo total]]*1.5</f>
        <v>21.1625</v>
      </c>
      <c r="V17" s="77">
        <v>18</v>
      </c>
      <c r="W17" s="77">
        <f>STOCK[[#This Row],[Precio Final]]-STOCK[[#This Row],[Costo total]]</f>
        <v>3.89166666666667</v>
      </c>
      <c r="X17" s="77">
        <f>STOCK[[#This Row],[Ganancia Unitaria]]*STOCK[[#This Row],[Salidas]]</f>
        <v>3.89166666666667</v>
      </c>
      <c r="AA17" s="77">
        <f>STOCK[[#This Row],[Costo total]]*STOCK[[#This Row],[Entradas]]</f>
        <v>14.1083333333333</v>
      </c>
      <c r="AB17" s="77">
        <f>STOCK[[#This Row],[Stock Actual]]*STOCK[[#This Row],[Costo total]]</f>
        <v>0</v>
      </c>
    </row>
    <row r="18" s="76" customFormat="1" ht="50" hidden="1" customHeight="1" spans="1:28">
      <c r="A18" s="76" t="s">
        <v>69</v>
      </c>
      <c r="B18" s="6"/>
      <c r="C18" s="76" t="s">
        <v>30</v>
      </c>
      <c r="D18" s="76" t="s">
        <v>36</v>
      </c>
      <c r="E18" s="76" t="s">
        <v>70</v>
      </c>
      <c r="F18" s="76" t="s">
        <v>60</v>
      </c>
      <c r="G18" s="76" t="s">
        <v>34</v>
      </c>
      <c r="H18" s="76">
        <f>STOCK[[#This Row],[Precio Final]]</f>
        <v>25</v>
      </c>
      <c r="I18" s="76">
        <f>STOCK[[#This Row],[Precio Venta Ideal (x1.5)]]</f>
        <v>27.2766666666666</v>
      </c>
      <c r="J18" s="91">
        <v>1</v>
      </c>
      <c r="K18" s="91">
        <f>SUMIFS(VENTAS[Cantidad],VENTAS[Código del producto Vendido],STOCK[[#This Row],[Code]])</f>
        <v>1</v>
      </c>
      <c r="L18" s="91">
        <f>STOCK[[#This Row],[Entradas]]-STOCK[[#This Row],[Salidas]]</f>
        <v>0</v>
      </c>
      <c r="M18" s="76">
        <f>STOCK[[#This Row],[Precio Final]]*10%</f>
        <v>2.5</v>
      </c>
      <c r="N18" s="76">
        <v>215</v>
      </c>
      <c r="O18" s="76">
        <v>18</v>
      </c>
      <c r="P18" s="76">
        <v>11.9444444444444</v>
      </c>
      <c r="Q18" s="91">
        <v>220</v>
      </c>
      <c r="R18" s="76">
        <v>17</v>
      </c>
      <c r="S18" s="76">
        <f>STOCK[[#This Row],[Peso (g)]]*STOCK[[#This Row],[Precio Envío Kilogramo (USD)]]/1000</f>
        <v>3.74</v>
      </c>
      <c r="T18" s="76">
        <f>STOCK[[#This Row],[Costo Unitario (USD)]]+STOCK[[#This Row],[Costo Envío (USD)]]+STOCK[[#This Row],[Comisión 10%]]</f>
        <v>18.1844444444444</v>
      </c>
      <c r="U18" s="76">
        <f>STOCK[[#This Row],[Costo total]]*1.5</f>
        <v>27.2766666666666</v>
      </c>
      <c r="V18" s="76">
        <v>25</v>
      </c>
      <c r="W18" s="76">
        <f>STOCK[[#This Row],[Precio Final]]-STOCK[[#This Row],[Costo total]]</f>
        <v>6.8155555555556</v>
      </c>
      <c r="X18" s="76">
        <f>STOCK[[#This Row],[Ganancia Unitaria]]*STOCK[[#This Row],[Salidas]]</f>
        <v>6.8155555555556</v>
      </c>
      <c r="AA18" s="76">
        <f>STOCK[[#This Row],[Costo total]]*STOCK[[#This Row],[Entradas]]</f>
        <v>18.1844444444444</v>
      </c>
      <c r="AB18" s="76">
        <f>STOCK[[#This Row],[Stock Actual]]*STOCK[[#This Row],[Costo total]]</f>
        <v>0</v>
      </c>
    </row>
    <row r="19" s="77" customFormat="1" ht="50" hidden="1" customHeight="1" spans="1:28">
      <c r="A19" s="77" t="s">
        <v>71</v>
      </c>
      <c r="B19" s="6"/>
      <c r="C19" s="77" t="s">
        <v>30</v>
      </c>
      <c r="D19" s="77" t="s">
        <v>36</v>
      </c>
      <c r="E19" s="77" t="s">
        <v>72</v>
      </c>
      <c r="F19" s="77" t="s">
        <v>40</v>
      </c>
      <c r="G19" s="77" t="s">
        <v>34</v>
      </c>
      <c r="H19" s="77">
        <f>STOCK[[#This Row],[Precio Final]]</f>
        <v>25</v>
      </c>
      <c r="I19" s="77">
        <f>STOCK[[#This Row],[Precio Venta Ideal (x1.5)]]</f>
        <v>33.5083333333333</v>
      </c>
      <c r="J19" s="92">
        <v>1</v>
      </c>
      <c r="K19" s="92">
        <f>SUMIFS(VENTAS[Cantidad],VENTAS[Código del producto Vendido],STOCK[[#This Row],[Code]])</f>
        <v>1</v>
      </c>
      <c r="L19" s="92">
        <f>STOCK[[#This Row],[Entradas]]-STOCK[[#This Row],[Salidas]]</f>
        <v>0</v>
      </c>
      <c r="M19" s="77">
        <f>STOCK[[#This Row],[Precio Final]]*10%</f>
        <v>2.5</v>
      </c>
      <c r="N19" s="77">
        <v>250</v>
      </c>
      <c r="O19" s="77">
        <v>18</v>
      </c>
      <c r="P19" s="77">
        <v>13.8888888888889</v>
      </c>
      <c r="Q19" s="92">
        <v>350</v>
      </c>
      <c r="R19" s="77">
        <v>17</v>
      </c>
      <c r="S19" s="77">
        <f>STOCK[[#This Row],[Peso (g)]]*STOCK[[#This Row],[Precio Envío Kilogramo (USD)]]/1000</f>
        <v>5.95</v>
      </c>
      <c r="T19" s="76">
        <f>STOCK[[#This Row],[Costo Unitario (USD)]]+STOCK[[#This Row],[Costo Envío (USD)]]+STOCK[[#This Row],[Comisión 10%]]</f>
        <v>22.3388888888889</v>
      </c>
      <c r="U19" s="77">
        <f>STOCK[[#This Row],[Costo total]]*1.5</f>
        <v>33.5083333333333</v>
      </c>
      <c r="V19" s="77">
        <v>25</v>
      </c>
      <c r="W19" s="77">
        <f>STOCK[[#This Row],[Precio Final]]-STOCK[[#This Row],[Costo total]]</f>
        <v>2.6611111111111</v>
      </c>
      <c r="X19" s="77">
        <f>STOCK[[#This Row],[Ganancia Unitaria]]*STOCK[[#This Row],[Salidas]]</f>
        <v>2.6611111111111</v>
      </c>
      <c r="AA19" s="77">
        <f>STOCK[[#This Row],[Costo total]]*STOCK[[#This Row],[Entradas]]</f>
        <v>22.3388888888889</v>
      </c>
      <c r="AB19" s="77">
        <f>STOCK[[#This Row],[Stock Actual]]*STOCK[[#This Row],[Costo total]]</f>
        <v>0</v>
      </c>
    </row>
    <row r="20" s="76" customFormat="1" ht="50" hidden="1" customHeight="1" spans="1:28">
      <c r="A20" s="76" t="s">
        <v>73</v>
      </c>
      <c r="B20" s="6"/>
      <c r="C20" s="76" t="s">
        <v>30</v>
      </c>
      <c r="D20" s="76" t="s">
        <v>36</v>
      </c>
      <c r="E20" s="76" t="s">
        <v>74</v>
      </c>
      <c r="F20" s="76" t="s">
        <v>40</v>
      </c>
      <c r="G20" s="76" t="s">
        <v>34</v>
      </c>
      <c r="H20" s="76">
        <f>STOCK[[#This Row],[Precio Final]]</f>
        <v>28</v>
      </c>
      <c r="I20" s="76">
        <f>STOCK[[#This Row],[Precio Venta Ideal (x1.5)]]</f>
        <v>31.2808333333333</v>
      </c>
      <c r="J20" s="91">
        <v>2</v>
      </c>
      <c r="K20" s="91">
        <f>SUMIFS(VENTAS[Cantidad],VENTAS[Código del producto Vendido],STOCK[[#This Row],[Code]])</f>
        <v>2</v>
      </c>
      <c r="L20" s="91">
        <f>STOCK[[#This Row],[Entradas]]-STOCK[[#This Row],[Salidas]]</f>
        <v>0</v>
      </c>
      <c r="M20" s="76">
        <f>STOCK[[#This Row],[Precio Final]]*10%</f>
        <v>2.8</v>
      </c>
      <c r="N20" s="76">
        <v>250</v>
      </c>
      <c r="O20" s="76">
        <v>18</v>
      </c>
      <c r="P20" s="76">
        <v>13.8888888888889</v>
      </c>
      <c r="Q20" s="91">
        <v>245</v>
      </c>
      <c r="R20" s="76">
        <v>17</v>
      </c>
      <c r="S20" s="76">
        <f>STOCK[[#This Row],[Peso (g)]]*STOCK[[#This Row],[Precio Envío Kilogramo (USD)]]/1000</f>
        <v>4.165</v>
      </c>
      <c r="T20" s="76">
        <f>STOCK[[#This Row],[Costo Unitario (USD)]]+STOCK[[#This Row],[Costo Envío (USD)]]+STOCK[[#This Row],[Comisión 10%]]</f>
        <v>20.8538888888889</v>
      </c>
      <c r="U20" s="76">
        <f>STOCK[[#This Row],[Costo total]]*1.5</f>
        <v>31.2808333333333</v>
      </c>
      <c r="V20" s="76">
        <v>28</v>
      </c>
      <c r="W20" s="76">
        <f>STOCK[[#This Row],[Precio Final]]-STOCK[[#This Row],[Costo total]]</f>
        <v>7.1461111111111</v>
      </c>
      <c r="X20" s="76">
        <f>STOCK[[#This Row],[Ganancia Unitaria]]*STOCK[[#This Row],[Salidas]]</f>
        <v>14.2922222222222</v>
      </c>
      <c r="AA20" s="76">
        <f>STOCK[[#This Row],[Costo total]]*STOCK[[#This Row],[Entradas]]</f>
        <v>41.7077777777778</v>
      </c>
      <c r="AB20" s="76">
        <f>STOCK[[#This Row],[Stock Actual]]*STOCK[[#This Row],[Costo total]]</f>
        <v>0</v>
      </c>
    </row>
    <row r="21" s="77" customFormat="1" ht="50" hidden="1" customHeight="1" spans="1:28">
      <c r="A21" s="77" t="s">
        <v>75</v>
      </c>
      <c r="B21" s="6"/>
      <c r="C21" s="77" t="s">
        <v>30</v>
      </c>
      <c r="D21" s="77" t="s">
        <v>36</v>
      </c>
      <c r="E21" s="77" t="s">
        <v>76</v>
      </c>
      <c r="F21" s="77" t="s">
        <v>38</v>
      </c>
      <c r="G21" s="77" t="s">
        <v>34</v>
      </c>
      <c r="H21" s="77">
        <f>STOCK[[#This Row],[Precio Final]]</f>
        <v>15</v>
      </c>
      <c r="I21" s="77">
        <f>STOCK[[#This Row],[Precio Venta Ideal (x1.5)]]</f>
        <v>16.2908333333333</v>
      </c>
      <c r="J21" s="92">
        <v>2</v>
      </c>
      <c r="K21" s="92">
        <f>SUMIFS(VENTAS[Cantidad],VENTAS[Código del producto Vendido],STOCK[[#This Row],[Code]])</f>
        <v>2</v>
      </c>
      <c r="L21" s="92">
        <f>STOCK[[#This Row],[Entradas]]-STOCK[[#This Row],[Salidas]]</f>
        <v>0</v>
      </c>
      <c r="M21" s="77">
        <f>STOCK[[#This Row],[Precio Final]]*10%</f>
        <v>1.5</v>
      </c>
      <c r="N21" s="77">
        <v>118</v>
      </c>
      <c r="O21" s="77">
        <v>18</v>
      </c>
      <c r="P21" s="77">
        <v>6.55555555555556</v>
      </c>
      <c r="Q21" s="92">
        <v>165</v>
      </c>
      <c r="R21" s="77">
        <v>17</v>
      </c>
      <c r="S21" s="77">
        <f>STOCK[[#This Row],[Peso (g)]]*STOCK[[#This Row],[Precio Envío Kilogramo (USD)]]/1000</f>
        <v>2.805</v>
      </c>
      <c r="T21" s="76">
        <f>STOCK[[#This Row],[Costo Unitario (USD)]]+STOCK[[#This Row],[Costo Envío (USD)]]+STOCK[[#This Row],[Comisión 10%]]</f>
        <v>10.8605555555556</v>
      </c>
      <c r="U21" s="77">
        <f>STOCK[[#This Row],[Costo total]]*1.5</f>
        <v>16.2908333333333</v>
      </c>
      <c r="V21" s="77">
        <v>15</v>
      </c>
      <c r="W21" s="77">
        <f>STOCK[[#This Row],[Precio Final]]-STOCK[[#This Row],[Costo total]]</f>
        <v>4.13944444444444</v>
      </c>
      <c r="X21" s="77">
        <f>STOCK[[#This Row],[Ganancia Unitaria]]*STOCK[[#This Row],[Salidas]]</f>
        <v>8.27888888888888</v>
      </c>
      <c r="AA21" s="77">
        <f>STOCK[[#This Row],[Costo total]]*STOCK[[#This Row],[Entradas]]</f>
        <v>21.7211111111111</v>
      </c>
      <c r="AB21" s="77">
        <f>STOCK[[#This Row],[Stock Actual]]*STOCK[[#This Row],[Costo total]]</f>
        <v>0</v>
      </c>
    </row>
    <row r="22" s="76" customFormat="1" ht="50" hidden="1" customHeight="1" spans="1:28">
      <c r="A22" s="76" t="s">
        <v>77</v>
      </c>
      <c r="B22" s="6"/>
      <c r="C22" s="76" t="s">
        <v>30</v>
      </c>
      <c r="D22" s="76" t="s">
        <v>36</v>
      </c>
      <c r="E22" s="76" t="s">
        <v>78</v>
      </c>
      <c r="F22" s="76" t="s">
        <v>40</v>
      </c>
      <c r="G22" s="76" t="s">
        <v>34</v>
      </c>
      <c r="H22" s="76">
        <f>STOCK[[#This Row],[Precio Final]]</f>
        <v>22</v>
      </c>
      <c r="I22" s="76">
        <f>STOCK[[#This Row],[Precio Venta Ideal (x1.5)]]</f>
        <v>25.425</v>
      </c>
      <c r="J22" s="91">
        <v>1</v>
      </c>
      <c r="K22" s="91">
        <f>SUMIFS(VENTAS[Cantidad],VENTAS[Código del producto Vendido],STOCK[[#This Row],[Code]])</f>
        <v>1</v>
      </c>
      <c r="L22" s="91">
        <f>STOCK[[#This Row],[Entradas]]-STOCK[[#This Row],[Salidas]]</f>
        <v>0</v>
      </c>
      <c r="M22" s="76">
        <f>STOCK[[#This Row],[Precio Final]]*10%</f>
        <v>2.2</v>
      </c>
      <c r="N22" s="76">
        <v>189</v>
      </c>
      <c r="O22" s="76">
        <v>18</v>
      </c>
      <c r="P22" s="76">
        <v>10.5</v>
      </c>
      <c r="Q22" s="91">
        <v>250</v>
      </c>
      <c r="R22" s="76">
        <v>17</v>
      </c>
      <c r="S22" s="76">
        <f>STOCK[[#This Row],[Peso (g)]]*STOCK[[#This Row],[Precio Envío Kilogramo (USD)]]/1000</f>
        <v>4.25</v>
      </c>
      <c r="T22" s="76">
        <f>STOCK[[#This Row],[Costo Unitario (USD)]]+STOCK[[#This Row],[Costo Envío (USD)]]+STOCK[[#This Row],[Comisión 10%]]</f>
        <v>16.95</v>
      </c>
      <c r="U22" s="76">
        <f>STOCK[[#This Row],[Costo total]]*1.5</f>
        <v>25.425</v>
      </c>
      <c r="V22" s="76">
        <v>22</v>
      </c>
      <c r="W22" s="76">
        <f>STOCK[[#This Row],[Precio Final]]-STOCK[[#This Row],[Costo total]]</f>
        <v>5.05</v>
      </c>
      <c r="X22" s="76">
        <f>STOCK[[#This Row],[Ganancia Unitaria]]*STOCK[[#This Row],[Salidas]]</f>
        <v>5.05</v>
      </c>
      <c r="AA22" s="76">
        <f>STOCK[[#This Row],[Costo total]]*STOCK[[#This Row],[Entradas]]</f>
        <v>16.95</v>
      </c>
      <c r="AB22" s="76">
        <f>STOCK[[#This Row],[Stock Actual]]*STOCK[[#This Row],[Costo total]]</f>
        <v>0</v>
      </c>
    </row>
    <row r="23" s="77" customFormat="1" ht="50" hidden="1" customHeight="1" spans="1:28">
      <c r="A23" s="77" t="s">
        <v>79</v>
      </c>
      <c r="B23" s="6"/>
      <c r="C23" s="77" t="s">
        <v>30</v>
      </c>
      <c r="D23" s="77" t="s">
        <v>80</v>
      </c>
      <c r="E23" s="77" t="s">
        <v>76</v>
      </c>
      <c r="F23" s="77" t="s">
        <v>81</v>
      </c>
      <c r="G23" s="77" t="s">
        <v>34</v>
      </c>
      <c r="H23" s="77">
        <f>STOCK[[#This Row],[Precio Final]]</f>
        <v>15</v>
      </c>
      <c r="I23" s="77">
        <f>STOCK[[#This Row],[Precio Venta Ideal (x1.5)]]</f>
        <v>17.1833333333333</v>
      </c>
      <c r="J23" s="92">
        <v>2</v>
      </c>
      <c r="K23" s="92">
        <f>SUMIFS(VENTAS[Cantidad],VENTAS[Código del producto Vendido],STOCK[[#This Row],[Code]])</f>
        <v>2</v>
      </c>
      <c r="L23" s="92">
        <f>STOCK[[#This Row],[Entradas]]-STOCK[[#This Row],[Salidas]]</f>
        <v>0</v>
      </c>
      <c r="M23" s="77">
        <f>STOCK[[#This Row],[Precio Final]]*10%</f>
        <v>1.5</v>
      </c>
      <c r="N23" s="77">
        <v>118</v>
      </c>
      <c r="O23" s="77">
        <v>18</v>
      </c>
      <c r="P23" s="77">
        <v>6.55555555555556</v>
      </c>
      <c r="Q23" s="92">
        <v>200</v>
      </c>
      <c r="R23" s="77">
        <v>17</v>
      </c>
      <c r="S23" s="77">
        <f>STOCK[[#This Row],[Peso (g)]]*STOCK[[#This Row],[Precio Envío Kilogramo (USD)]]/1000</f>
        <v>3.4</v>
      </c>
      <c r="T23" s="76">
        <f>STOCK[[#This Row],[Costo Unitario (USD)]]+STOCK[[#This Row],[Costo Envío (USD)]]+STOCK[[#This Row],[Comisión 10%]]</f>
        <v>11.4555555555556</v>
      </c>
      <c r="U23" s="77">
        <f>STOCK[[#This Row],[Costo total]]*1.5</f>
        <v>17.1833333333333</v>
      </c>
      <c r="V23" s="77">
        <v>15</v>
      </c>
      <c r="W23" s="77">
        <f>STOCK[[#This Row],[Precio Final]]-STOCK[[#This Row],[Costo total]]</f>
        <v>3.54444444444444</v>
      </c>
      <c r="X23" s="77">
        <f>STOCK[[#This Row],[Ganancia Unitaria]]*STOCK[[#This Row],[Salidas]]</f>
        <v>7.08888888888888</v>
      </c>
      <c r="AA23" s="77">
        <f>STOCK[[#This Row],[Costo total]]*STOCK[[#This Row],[Entradas]]</f>
        <v>22.9111111111111</v>
      </c>
      <c r="AB23" s="77">
        <f>STOCK[[#This Row],[Stock Actual]]*STOCK[[#This Row],[Costo total]]</f>
        <v>0</v>
      </c>
    </row>
    <row r="24" s="76" customFormat="1" ht="50" hidden="1" customHeight="1" spans="1:28">
      <c r="A24" s="76" t="s">
        <v>82</v>
      </c>
      <c r="B24" s="6"/>
      <c r="C24" s="76" t="s">
        <v>30</v>
      </c>
      <c r="D24" s="76" t="s">
        <v>36</v>
      </c>
      <c r="E24" s="76" t="s">
        <v>83</v>
      </c>
      <c r="F24" s="76" t="s">
        <v>40</v>
      </c>
      <c r="G24" s="76" t="s">
        <v>34</v>
      </c>
      <c r="H24" s="76">
        <f>STOCK[[#This Row],[Precio Final]]</f>
        <v>15</v>
      </c>
      <c r="I24" s="76">
        <f>STOCK[[#This Row],[Precio Venta Ideal (x1.5)]]</f>
        <v>22.2475</v>
      </c>
      <c r="J24" s="91">
        <v>1</v>
      </c>
      <c r="K24" s="91">
        <f>SUMIFS(VENTAS[Cantidad],VENTAS[Código del producto Vendido],STOCK[[#This Row],[Code]])</f>
        <v>1</v>
      </c>
      <c r="L24" s="91">
        <f>STOCK[[#This Row],[Entradas]]-STOCK[[#This Row],[Salidas]]</f>
        <v>0</v>
      </c>
      <c r="M24" s="76">
        <f>STOCK[[#This Row],[Precio Final]]*10%</f>
        <v>1.5</v>
      </c>
      <c r="N24" s="76">
        <v>165</v>
      </c>
      <c r="O24" s="76">
        <v>18</v>
      </c>
      <c r="P24" s="76">
        <v>9.16666666666667</v>
      </c>
      <c r="Q24" s="91">
        <v>245</v>
      </c>
      <c r="R24" s="76">
        <v>17</v>
      </c>
      <c r="S24" s="76">
        <f>STOCK[[#This Row],[Peso (g)]]*STOCK[[#This Row],[Precio Envío Kilogramo (USD)]]/1000</f>
        <v>4.165</v>
      </c>
      <c r="T24" s="76">
        <f>STOCK[[#This Row],[Costo Unitario (USD)]]+STOCK[[#This Row],[Costo Envío (USD)]]+STOCK[[#This Row],[Comisión 10%]]</f>
        <v>14.8316666666667</v>
      </c>
      <c r="U24" s="76">
        <f>STOCK[[#This Row],[Costo total]]*1.5</f>
        <v>22.2475</v>
      </c>
      <c r="V24" s="76">
        <v>15</v>
      </c>
      <c r="W24" s="76">
        <f>STOCK[[#This Row],[Precio Final]]-STOCK[[#This Row],[Costo total]]</f>
        <v>0.168333333333329</v>
      </c>
      <c r="X24" s="76">
        <f>STOCK[[#This Row],[Ganancia Unitaria]]*STOCK[[#This Row],[Salidas]]</f>
        <v>0.168333333333329</v>
      </c>
      <c r="AA24" s="76">
        <f>STOCK[[#This Row],[Costo total]]*STOCK[[#This Row],[Entradas]]</f>
        <v>14.8316666666667</v>
      </c>
      <c r="AB24" s="76">
        <f>STOCK[[#This Row],[Stock Actual]]*STOCK[[#This Row],[Costo total]]</f>
        <v>0</v>
      </c>
    </row>
    <row r="25" s="77" customFormat="1" ht="50" hidden="1" customHeight="1" spans="1:28">
      <c r="A25" s="77" t="s">
        <v>84</v>
      </c>
      <c r="B25" s="6"/>
      <c r="C25" s="77" t="s">
        <v>30</v>
      </c>
      <c r="D25" s="77" t="s">
        <v>36</v>
      </c>
      <c r="E25" s="77" t="s">
        <v>85</v>
      </c>
      <c r="F25" s="77" t="s">
        <v>86</v>
      </c>
      <c r="G25" s="77" t="s">
        <v>34</v>
      </c>
      <c r="H25" s="77">
        <f>STOCK[[#This Row],[Precio Final]]</f>
        <v>18</v>
      </c>
      <c r="I25" s="77">
        <f>STOCK[[#This Row],[Precio Venta Ideal (x1.5)]]</f>
        <v>21.7458333333333</v>
      </c>
      <c r="J25" s="92">
        <v>1</v>
      </c>
      <c r="K25" s="92">
        <f>SUMIFS(VENTAS[Cantidad],VENTAS[Código del producto Vendido],STOCK[[#This Row],[Code]])</f>
        <v>1</v>
      </c>
      <c r="L25" s="92">
        <f>STOCK[[#This Row],[Entradas]]-STOCK[[#This Row],[Salidas]]</f>
        <v>0</v>
      </c>
      <c r="M25" s="77">
        <f>STOCK[[#This Row],[Precio Final]]*10%</f>
        <v>1.8</v>
      </c>
      <c r="N25" s="77">
        <v>175</v>
      </c>
      <c r="O25" s="77">
        <v>18</v>
      </c>
      <c r="P25" s="77">
        <v>9.72222222222222</v>
      </c>
      <c r="Q25" s="92">
        <v>175</v>
      </c>
      <c r="R25" s="77">
        <v>17</v>
      </c>
      <c r="S25" s="77">
        <f>STOCK[[#This Row],[Peso (g)]]*STOCK[[#This Row],[Precio Envío Kilogramo (USD)]]/1000</f>
        <v>2.975</v>
      </c>
      <c r="T25" s="76">
        <f>STOCK[[#This Row],[Costo Unitario (USD)]]+STOCK[[#This Row],[Costo Envío (USD)]]+STOCK[[#This Row],[Comisión 10%]]</f>
        <v>14.4972222222222</v>
      </c>
      <c r="U25" s="77">
        <f>STOCK[[#This Row],[Costo total]]*1.5</f>
        <v>21.7458333333333</v>
      </c>
      <c r="V25" s="77">
        <v>18</v>
      </c>
      <c r="W25" s="77">
        <f>STOCK[[#This Row],[Precio Final]]-STOCK[[#This Row],[Costo total]]</f>
        <v>3.50277777777778</v>
      </c>
      <c r="X25" s="77">
        <f>STOCK[[#This Row],[Ganancia Unitaria]]*STOCK[[#This Row],[Salidas]]</f>
        <v>3.50277777777778</v>
      </c>
      <c r="AA25" s="77">
        <f>STOCK[[#This Row],[Costo total]]*STOCK[[#This Row],[Entradas]]</f>
        <v>14.4972222222222</v>
      </c>
      <c r="AB25" s="77">
        <f>STOCK[[#This Row],[Stock Actual]]*STOCK[[#This Row],[Costo total]]</f>
        <v>0</v>
      </c>
    </row>
    <row r="26" s="76" customFormat="1" ht="50" hidden="1" customHeight="1" spans="1:28">
      <c r="A26" s="76" t="s">
        <v>87</v>
      </c>
      <c r="B26" s="6"/>
      <c r="C26" s="76" t="s">
        <v>30</v>
      </c>
      <c r="D26" s="76" t="s">
        <v>36</v>
      </c>
      <c r="E26" s="76" t="s">
        <v>67</v>
      </c>
      <c r="F26" s="76" t="s">
        <v>38</v>
      </c>
      <c r="G26" s="76" t="s">
        <v>34</v>
      </c>
      <c r="H26" s="76">
        <f>STOCK[[#This Row],[Precio Final]]</f>
        <v>18</v>
      </c>
      <c r="I26" s="76">
        <f>STOCK[[#This Row],[Precio Venta Ideal (x1.5)]]</f>
        <v>21.7458333333333</v>
      </c>
      <c r="J26" s="91">
        <v>1</v>
      </c>
      <c r="K26" s="91">
        <f>SUMIFS(VENTAS[Cantidad],VENTAS[Código del producto Vendido],STOCK[[#This Row],[Code]])</f>
        <v>1</v>
      </c>
      <c r="L26" s="91">
        <f>STOCK[[#This Row],[Entradas]]-STOCK[[#This Row],[Salidas]]</f>
        <v>0</v>
      </c>
      <c r="M26" s="76">
        <f>STOCK[[#This Row],[Precio Final]]*10%</f>
        <v>1.8</v>
      </c>
      <c r="N26" s="76">
        <v>175</v>
      </c>
      <c r="O26" s="76">
        <v>18</v>
      </c>
      <c r="P26" s="76">
        <v>9.72222222222222</v>
      </c>
      <c r="Q26" s="91">
        <v>175</v>
      </c>
      <c r="R26" s="76">
        <v>17</v>
      </c>
      <c r="S26" s="76">
        <f>STOCK[[#This Row],[Peso (g)]]*STOCK[[#This Row],[Precio Envío Kilogramo (USD)]]/1000</f>
        <v>2.975</v>
      </c>
      <c r="T26" s="76">
        <f>STOCK[[#This Row],[Costo Unitario (USD)]]+STOCK[[#This Row],[Costo Envío (USD)]]+STOCK[[#This Row],[Comisión 10%]]</f>
        <v>14.4972222222222</v>
      </c>
      <c r="U26" s="76">
        <f>STOCK[[#This Row],[Costo total]]*1.5</f>
        <v>21.7458333333333</v>
      </c>
      <c r="V26" s="76">
        <v>18</v>
      </c>
      <c r="W26" s="76">
        <f>STOCK[[#This Row],[Precio Final]]-STOCK[[#This Row],[Costo total]]</f>
        <v>3.50277777777778</v>
      </c>
      <c r="X26" s="76">
        <f>STOCK[[#This Row],[Ganancia Unitaria]]*STOCK[[#This Row],[Salidas]]</f>
        <v>3.50277777777778</v>
      </c>
      <c r="AA26" s="76">
        <f>STOCK[[#This Row],[Costo total]]*STOCK[[#This Row],[Entradas]]</f>
        <v>14.4972222222222</v>
      </c>
      <c r="AB26" s="76">
        <f>STOCK[[#This Row],[Stock Actual]]*STOCK[[#This Row],[Costo total]]</f>
        <v>0</v>
      </c>
    </row>
    <row r="27" s="77" customFormat="1" ht="50" hidden="1" customHeight="1" spans="1:28">
      <c r="A27" s="77" t="s">
        <v>88</v>
      </c>
      <c r="B27" s="6"/>
      <c r="C27" s="77" t="s">
        <v>30</v>
      </c>
      <c r="D27" s="77" t="s">
        <v>36</v>
      </c>
      <c r="E27" s="77" t="s">
        <v>89</v>
      </c>
      <c r="F27" s="77" t="s">
        <v>90</v>
      </c>
      <c r="G27" s="77" t="s">
        <v>34</v>
      </c>
      <c r="H27" s="77">
        <f>STOCK[[#This Row],[Precio Final]]</f>
        <v>28</v>
      </c>
      <c r="I27" s="77">
        <f>STOCK[[#This Row],[Precio Venta Ideal (x1.5)]]</f>
        <v>35.8208333333334</v>
      </c>
      <c r="J27" s="92">
        <v>1</v>
      </c>
      <c r="K27" s="92">
        <f>SUMIFS(VENTAS[Cantidad],VENTAS[Código del producto Vendido],STOCK[[#This Row],[Code]])</f>
        <v>1</v>
      </c>
      <c r="L27" s="92">
        <f>STOCK[[#This Row],[Entradas]]-STOCK[[#This Row],[Salidas]]</f>
        <v>0</v>
      </c>
      <c r="M27" s="77">
        <f>STOCK[[#This Row],[Precio Final]]*10%</f>
        <v>2.8</v>
      </c>
      <c r="N27" s="77">
        <v>280</v>
      </c>
      <c r="O27" s="77">
        <v>18</v>
      </c>
      <c r="P27" s="77">
        <v>15.5555555555556</v>
      </c>
      <c r="Q27" s="92">
        <v>325</v>
      </c>
      <c r="R27" s="77">
        <v>17</v>
      </c>
      <c r="S27" s="77">
        <f>STOCK[[#This Row],[Peso (g)]]*STOCK[[#This Row],[Precio Envío Kilogramo (USD)]]/1000</f>
        <v>5.525</v>
      </c>
      <c r="T27" s="76">
        <f>STOCK[[#This Row],[Costo Unitario (USD)]]+STOCK[[#This Row],[Costo Envío (USD)]]+STOCK[[#This Row],[Comisión 10%]]</f>
        <v>23.8805555555556</v>
      </c>
      <c r="U27" s="77">
        <f>STOCK[[#This Row],[Costo total]]*1.5</f>
        <v>35.8208333333334</v>
      </c>
      <c r="V27" s="77">
        <v>28</v>
      </c>
      <c r="W27" s="77">
        <f>STOCK[[#This Row],[Precio Final]]-STOCK[[#This Row],[Costo total]]</f>
        <v>4.1194444444444</v>
      </c>
      <c r="X27" s="77">
        <f>STOCK[[#This Row],[Ganancia Unitaria]]*STOCK[[#This Row],[Salidas]]</f>
        <v>4.1194444444444</v>
      </c>
      <c r="AA27" s="77">
        <f>STOCK[[#This Row],[Costo total]]*STOCK[[#This Row],[Entradas]]</f>
        <v>23.8805555555556</v>
      </c>
      <c r="AB27" s="77">
        <f>STOCK[[#This Row],[Stock Actual]]*STOCK[[#This Row],[Costo total]]</f>
        <v>0</v>
      </c>
    </row>
    <row r="28" s="76" customFormat="1" ht="50" hidden="1" customHeight="1" spans="1:28">
      <c r="A28" s="76" t="s">
        <v>91</v>
      </c>
      <c r="B28" s="6"/>
      <c r="C28" s="76" t="s">
        <v>30</v>
      </c>
      <c r="D28" s="76" t="s">
        <v>36</v>
      </c>
      <c r="E28" s="76" t="s">
        <v>92</v>
      </c>
      <c r="F28" s="76" t="s">
        <v>47</v>
      </c>
      <c r="G28" s="76" t="s">
        <v>34</v>
      </c>
      <c r="H28" s="76">
        <f>STOCK[[#This Row],[Precio Final]]</f>
        <v>22</v>
      </c>
      <c r="I28" s="76">
        <f>STOCK[[#This Row],[Precio Venta Ideal (x1.5)]]</f>
        <v>24.3949999999999</v>
      </c>
      <c r="J28" s="91">
        <v>1</v>
      </c>
      <c r="K28" s="91">
        <f>SUMIFS(VENTAS[Cantidad],VENTAS[Código del producto Vendido],STOCK[[#This Row],[Code]])</f>
        <v>1</v>
      </c>
      <c r="L28" s="91">
        <f>STOCK[[#This Row],[Entradas]]-STOCK[[#This Row],[Salidas]]</f>
        <v>0</v>
      </c>
      <c r="M28" s="76">
        <f>STOCK[[#This Row],[Precio Final]]*10%</f>
        <v>2.2</v>
      </c>
      <c r="N28" s="76">
        <v>195</v>
      </c>
      <c r="O28" s="76">
        <v>18</v>
      </c>
      <c r="P28" s="76">
        <v>10.8333333333333</v>
      </c>
      <c r="Q28" s="91">
        <v>190</v>
      </c>
      <c r="R28" s="76">
        <v>17</v>
      </c>
      <c r="S28" s="76">
        <f>STOCK[[#This Row],[Peso (g)]]*STOCK[[#This Row],[Precio Envío Kilogramo (USD)]]/1000</f>
        <v>3.23</v>
      </c>
      <c r="T28" s="76">
        <f>STOCK[[#This Row],[Costo Unitario (USD)]]+STOCK[[#This Row],[Costo Envío (USD)]]+STOCK[[#This Row],[Comisión 10%]]</f>
        <v>16.2633333333333</v>
      </c>
      <c r="U28" s="76">
        <f>STOCK[[#This Row],[Costo total]]*1.5</f>
        <v>24.3949999999999</v>
      </c>
      <c r="V28" s="76">
        <v>22</v>
      </c>
      <c r="W28" s="76">
        <f>STOCK[[#This Row],[Precio Final]]-STOCK[[#This Row],[Costo total]]</f>
        <v>5.7366666666667</v>
      </c>
      <c r="X28" s="76">
        <f>STOCK[[#This Row],[Ganancia Unitaria]]*STOCK[[#This Row],[Salidas]]</f>
        <v>5.7366666666667</v>
      </c>
      <c r="AA28" s="76">
        <f>STOCK[[#This Row],[Costo total]]*STOCK[[#This Row],[Entradas]]</f>
        <v>16.2633333333333</v>
      </c>
      <c r="AB28" s="76">
        <f>STOCK[[#This Row],[Stock Actual]]*STOCK[[#This Row],[Costo total]]</f>
        <v>0</v>
      </c>
    </row>
    <row r="29" s="77" customFormat="1" ht="50" hidden="1" customHeight="1" spans="1:28">
      <c r="A29" s="77" t="s">
        <v>93</v>
      </c>
      <c r="B29" s="6"/>
      <c r="C29" s="77" t="s">
        <v>30</v>
      </c>
      <c r="D29" s="77" t="s">
        <v>36</v>
      </c>
      <c r="E29" s="77" t="s">
        <v>94</v>
      </c>
      <c r="F29" s="77" t="s">
        <v>44</v>
      </c>
      <c r="G29" s="77" t="s">
        <v>34</v>
      </c>
      <c r="H29" s="77">
        <f>STOCK[[#This Row],[Precio Final]]</f>
        <v>25</v>
      </c>
      <c r="I29" s="77">
        <f>STOCK[[#This Row],[Precio Venta Ideal (x1.5)]]</f>
        <v>25.3891666666666</v>
      </c>
      <c r="J29" s="92">
        <v>1</v>
      </c>
      <c r="K29" s="92">
        <f>SUMIFS(VENTAS[Cantidad],VENTAS[Código del producto Vendido],STOCK[[#This Row],[Code]])</f>
        <v>1</v>
      </c>
      <c r="L29" s="92">
        <f>STOCK[[#This Row],[Entradas]]-STOCK[[#This Row],[Salidas]]</f>
        <v>0</v>
      </c>
      <c r="M29" s="77">
        <f>STOCK[[#This Row],[Precio Final]]*10%</f>
        <v>2.5</v>
      </c>
      <c r="N29" s="77">
        <v>200</v>
      </c>
      <c r="O29" s="77">
        <v>18</v>
      </c>
      <c r="P29" s="77">
        <v>11.1111111111111</v>
      </c>
      <c r="Q29" s="92">
        <v>195</v>
      </c>
      <c r="R29" s="77">
        <v>17</v>
      </c>
      <c r="S29" s="77">
        <f>STOCK[[#This Row],[Peso (g)]]*STOCK[[#This Row],[Precio Envío Kilogramo (USD)]]/1000</f>
        <v>3.315</v>
      </c>
      <c r="T29" s="76">
        <f>STOCK[[#This Row],[Costo Unitario (USD)]]+STOCK[[#This Row],[Costo Envío (USD)]]+STOCK[[#This Row],[Comisión 10%]]</f>
        <v>16.9261111111111</v>
      </c>
      <c r="U29" s="77">
        <f>STOCK[[#This Row],[Costo total]]*1.5</f>
        <v>25.3891666666666</v>
      </c>
      <c r="V29" s="77">
        <v>25</v>
      </c>
      <c r="W29" s="77">
        <f>STOCK[[#This Row],[Precio Final]]-STOCK[[#This Row],[Costo total]]</f>
        <v>8.0738888888889</v>
      </c>
      <c r="X29" s="77">
        <f>STOCK[[#This Row],[Ganancia Unitaria]]*STOCK[[#This Row],[Salidas]]</f>
        <v>8.0738888888889</v>
      </c>
      <c r="AA29" s="77">
        <f>STOCK[[#This Row],[Costo total]]*STOCK[[#This Row],[Entradas]]</f>
        <v>16.9261111111111</v>
      </c>
      <c r="AB29" s="77">
        <f>STOCK[[#This Row],[Stock Actual]]*STOCK[[#This Row],[Costo total]]</f>
        <v>0</v>
      </c>
    </row>
    <row r="30" s="76" customFormat="1" ht="50" hidden="1" customHeight="1" spans="1:28">
      <c r="A30" s="76" t="s">
        <v>95</v>
      </c>
      <c r="B30" s="6"/>
      <c r="C30" s="76" t="s">
        <v>30</v>
      </c>
      <c r="D30" s="76" t="s">
        <v>36</v>
      </c>
      <c r="E30" s="76" t="s">
        <v>96</v>
      </c>
      <c r="F30" s="76" t="s">
        <v>60</v>
      </c>
      <c r="G30" s="76" t="s">
        <v>34</v>
      </c>
      <c r="H30" s="76">
        <f>STOCK[[#This Row],[Precio Final]]</f>
        <v>25</v>
      </c>
      <c r="I30" s="76">
        <f>STOCK[[#This Row],[Precio Venta Ideal (x1.5)]]</f>
        <v>26.4433333333334</v>
      </c>
      <c r="J30" s="91">
        <v>1</v>
      </c>
      <c r="K30" s="91">
        <f>SUMIFS(VENTAS[Cantidad],VENTAS[Código del producto Vendido],STOCK[[#This Row],[Code]])</f>
        <v>1</v>
      </c>
      <c r="L30" s="91">
        <f>STOCK[[#This Row],[Entradas]]-STOCK[[#This Row],[Salidas]]</f>
        <v>0</v>
      </c>
      <c r="M30" s="76">
        <f>STOCK[[#This Row],[Precio Final]]*10%</f>
        <v>2.5</v>
      </c>
      <c r="N30" s="76">
        <v>205</v>
      </c>
      <c r="O30" s="76">
        <v>18</v>
      </c>
      <c r="P30" s="76">
        <v>11.3888888888889</v>
      </c>
      <c r="Q30" s="91">
        <v>220</v>
      </c>
      <c r="R30" s="76">
        <v>17</v>
      </c>
      <c r="S30" s="76">
        <f>STOCK[[#This Row],[Peso (g)]]*STOCK[[#This Row],[Precio Envío Kilogramo (USD)]]/1000</f>
        <v>3.74</v>
      </c>
      <c r="T30" s="76">
        <f>STOCK[[#This Row],[Costo Unitario (USD)]]+STOCK[[#This Row],[Costo Envío (USD)]]+STOCK[[#This Row],[Comisión 10%]]</f>
        <v>17.6288888888889</v>
      </c>
      <c r="U30" s="76">
        <f>STOCK[[#This Row],[Costo total]]*1.5</f>
        <v>26.4433333333334</v>
      </c>
      <c r="V30" s="76">
        <v>25</v>
      </c>
      <c r="W30" s="76">
        <f>STOCK[[#This Row],[Precio Final]]-STOCK[[#This Row],[Costo total]]</f>
        <v>7.3711111111111</v>
      </c>
      <c r="X30" s="76">
        <f>STOCK[[#This Row],[Ganancia Unitaria]]*STOCK[[#This Row],[Salidas]]</f>
        <v>7.3711111111111</v>
      </c>
      <c r="AA30" s="76">
        <f>STOCK[[#This Row],[Costo total]]*STOCK[[#This Row],[Entradas]]</f>
        <v>17.6288888888889</v>
      </c>
      <c r="AB30" s="76">
        <f>STOCK[[#This Row],[Stock Actual]]*STOCK[[#This Row],[Costo total]]</f>
        <v>0</v>
      </c>
    </row>
    <row r="31" s="77" customFormat="1" ht="50" hidden="1" customHeight="1" spans="1:28">
      <c r="A31" s="77" t="s">
        <v>97</v>
      </c>
      <c r="B31" s="6"/>
      <c r="C31" s="77" t="s">
        <v>30</v>
      </c>
      <c r="D31" s="77" t="s">
        <v>36</v>
      </c>
      <c r="E31" s="77" t="s">
        <v>98</v>
      </c>
      <c r="F31" s="77" t="s">
        <v>47</v>
      </c>
      <c r="G31" s="77" t="s">
        <v>34</v>
      </c>
      <c r="H31" s="77">
        <f>STOCK[[#This Row],[Precio Final]]</f>
        <v>25</v>
      </c>
      <c r="I31" s="77">
        <f>STOCK[[#This Row],[Precio Venta Ideal (x1.5)]]</f>
        <v>27.7183333333333</v>
      </c>
      <c r="J31" s="92">
        <v>3</v>
      </c>
      <c r="K31" s="92">
        <f>SUMIFS(VENTAS[Cantidad],VENTAS[Código del producto Vendido],STOCK[[#This Row],[Code]])</f>
        <v>3</v>
      </c>
      <c r="L31" s="92">
        <f>STOCK[[#This Row],[Entradas]]-STOCK[[#This Row],[Salidas]]</f>
        <v>0</v>
      </c>
      <c r="M31" s="77">
        <f>STOCK[[#This Row],[Precio Final]]*10%</f>
        <v>2.5</v>
      </c>
      <c r="N31" s="77">
        <v>205</v>
      </c>
      <c r="O31" s="77">
        <v>18</v>
      </c>
      <c r="P31" s="77">
        <v>11.3888888888889</v>
      </c>
      <c r="Q31" s="92">
        <v>270</v>
      </c>
      <c r="R31" s="77">
        <v>17</v>
      </c>
      <c r="S31" s="77">
        <f>STOCK[[#This Row],[Peso (g)]]*STOCK[[#This Row],[Precio Envío Kilogramo (USD)]]/1000</f>
        <v>4.59</v>
      </c>
      <c r="T31" s="76">
        <f>STOCK[[#This Row],[Costo Unitario (USD)]]+STOCK[[#This Row],[Costo Envío (USD)]]+STOCK[[#This Row],[Comisión 10%]]</f>
        <v>18.4788888888889</v>
      </c>
      <c r="U31" s="77">
        <f>STOCK[[#This Row],[Costo total]]*1.5</f>
        <v>27.7183333333333</v>
      </c>
      <c r="V31" s="77">
        <v>25</v>
      </c>
      <c r="W31" s="77">
        <f>STOCK[[#This Row],[Precio Final]]-STOCK[[#This Row],[Costo total]]</f>
        <v>6.5211111111111</v>
      </c>
      <c r="X31" s="77">
        <f>STOCK[[#This Row],[Ganancia Unitaria]]*STOCK[[#This Row],[Salidas]]</f>
        <v>19.5633333333333</v>
      </c>
      <c r="AA31" s="77">
        <f>STOCK[[#This Row],[Costo total]]*STOCK[[#This Row],[Entradas]]</f>
        <v>55.4366666666667</v>
      </c>
      <c r="AB31" s="77">
        <f>STOCK[[#This Row],[Stock Actual]]*STOCK[[#This Row],[Costo total]]</f>
        <v>0</v>
      </c>
    </row>
    <row r="32" s="76" customFormat="1" ht="50" hidden="1" customHeight="1" spans="1:28">
      <c r="A32" s="76" t="s">
        <v>99</v>
      </c>
      <c r="B32" s="6"/>
      <c r="C32" s="76" t="s">
        <v>30</v>
      </c>
      <c r="D32" s="76" t="s">
        <v>36</v>
      </c>
      <c r="E32" s="76" t="s">
        <v>98</v>
      </c>
      <c r="F32" s="76" t="s">
        <v>44</v>
      </c>
      <c r="G32" s="76" t="s">
        <v>34</v>
      </c>
      <c r="H32" s="76">
        <f>STOCK[[#This Row],[Precio Final]]</f>
        <v>25</v>
      </c>
      <c r="I32" s="76">
        <f>STOCK[[#This Row],[Precio Venta Ideal (x1.5)]]</f>
        <v>27.7183333333333</v>
      </c>
      <c r="J32" s="91">
        <v>1</v>
      </c>
      <c r="K32" s="91">
        <f>SUMIFS(VENTAS[Cantidad],VENTAS[Código del producto Vendido],STOCK[[#This Row],[Code]])</f>
        <v>1</v>
      </c>
      <c r="L32" s="91">
        <f>STOCK[[#This Row],[Entradas]]-STOCK[[#This Row],[Salidas]]</f>
        <v>0</v>
      </c>
      <c r="M32" s="76">
        <f>STOCK[[#This Row],[Precio Final]]*10%</f>
        <v>2.5</v>
      </c>
      <c r="N32" s="76">
        <v>205</v>
      </c>
      <c r="O32" s="76">
        <v>18</v>
      </c>
      <c r="P32" s="76">
        <v>11.3888888888889</v>
      </c>
      <c r="Q32" s="91">
        <v>270</v>
      </c>
      <c r="R32" s="76">
        <v>17</v>
      </c>
      <c r="S32" s="76">
        <f>STOCK[[#This Row],[Peso (g)]]*STOCK[[#This Row],[Precio Envío Kilogramo (USD)]]/1000</f>
        <v>4.59</v>
      </c>
      <c r="T32" s="76">
        <f>STOCK[[#This Row],[Costo Unitario (USD)]]+STOCK[[#This Row],[Costo Envío (USD)]]+STOCK[[#This Row],[Comisión 10%]]</f>
        <v>18.4788888888889</v>
      </c>
      <c r="U32" s="76">
        <f>STOCK[[#This Row],[Costo total]]*1.5</f>
        <v>27.7183333333333</v>
      </c>
      <c r="V32" s="76">
        <v>25</v>
      </c>
      <c r="W32" s="76">
        <f>STOCK[[#This Row],[Precio Final]]-STOCK[[#This Row],[Costo total]]</f>
        <v>6.5211111111111</v>
      </c>
      <c r="X32" s="76">
        <f>STOCK[[#This Row],[Ganancia Unitaria]]*STOCK[[#This Row],[Salidas]]</f>
        <v>6.5211111111111</v>
      </c>
      <c r="AA32" s="76">
        <f>STOCK[[#This Row],[Costo total]]*STOCK[[#This Row],[Entradas]]</f>
        <v>18.4788888888889</v>
      </c>
      <c r="AB32" s="76">
        <f>STOCK[[#This Row],[Stock Actual]]*STOCK[[#This Row],[Costo total]]</f>
        <v>0</v>
      </c>
    </row>
    <row r="33" s="77" customFormat="1" ht="50" hidden="1" customHeight="1" spans="1:28">
      <c r="A33" s="77" t="s">
        <v>100</v>
      </c>
      <c r="B33" s="6"/>
      <c r="C33" s="77" t="s">
        <v>30</v>
      </c>
      <c r="D33" s="77" t="s">
        <v>101</v>
      </c>
      <c r="E33" s="77" t="s">
        <v>76</v>
      </c>
      <c r="F33" s="77" t="s">
        <v>86</v>
      </c>
      <c r="G33" s="77" t="s">
        <v>34</v>
      </c>
      <c r="H33" s="77">
        <f>STOCK[[#This Row],[Precio Final]]</f>
        <v>15</v>
      </c>
      <c r="I33" s="77">
        <f>STOCK[[#This Row],[Precio Venta Ideal (x1.5)]]</f>
        <v>16.9283333333333</v>
      </c>
      <c r="J33" s="92">
        <v>4</v>
      </c>
      <c r="K33" s="92">
        <f>SUMIFS(VENTAS[Cantidad],VENTAS[Código del producto Vendido],STOCK[[#This Row],[Code]])</f>
        <v>4</v>
      </c>
      <c r="L33" s="92">
        <f>STOCK[[#This Row],[Entradas]]-STOCK[[#This Row],[Salidas]]</f>
        <v>0</v>
      </c>
      <c r="M33" s="77">
        <f>STOCK[[#This Row],[Precio Final]]*10%</f>
        <v>1.5</v>
      </c>
      <c r="N33" s="77">
        <v>118</v>
      </c>
      <c r="O33" s="77">
        <v>18</v>
      </c>
      <c r="P33" s="77">
        <v>6.55555555555556</v>
      </c>
      <c r="Q33" s="92">
        <v>190</v>
      </c>
      <c r="R33" s="77">
        <v>17</v>
      </c>
      <c r="S33" s="77">
        <f>STOCK[[#This Row],[Peso (g)]]*STOCK[[#This Row],[Precio Envío Kilogramo (USD)]]/1000</f>
        <v>3.23</v>
      </c>
      <c r="T33" s="76">
        <f>STOCK[[#This Row],[Costo Unitario (USD)]]+STOCK[[#This Row],[Costo Envío (USD)]]+STOCK[[#This Row],[Comisión 10%]]</f>
        <v>11.2855555555556</v>
      </c>
      <c r="U33" s="77">
        <f>STOCK[[#This Row],[Costo total]]*1.5</f>
        <v>16.9283333333333</v>
      </c>
      <c r="V33" s="77">
        <v>15</v>
      </c>
      <c r="W33" s="77">
        <f>STOCK[[#This Row],[Precio Final]]-STOCK[[#This Row],[Costo total]]</f>
        <v>3.71444444444444</v>
      </c>
      <c r="X33" s="77">
        <f>STOCK[[#This Row],[Ganancia Unitaria]]*STOCK[[#This Row],[Salidas]]</f>
        <v>14.8577777777778</v>
      </c>
      <c r="AA33" s="77">
        <f>STOCK[[#This Row],[Costo total]]*STOCK[[#This Row],[Entradas]]</f>
        <v>45.1422222222222</v>
      </c>
      <c r="AB33" s="77">
        <f>STOCK[[#This Row],[Stock Actual]]*STOCK[[#This Row],[Costo total]]</f>
        <v>0</v>
      </c>
    </row>
    <row r="34" s="76" customFormat="1" ht="50" hidden="1" customHeight="1" spans="1:28">
      <c r="A34" s="76" t="s">
        <v>102</v>
      </c>
      <c r="B34" s="6"/>
      <c r="C34" s="76" t="s">
        <v>30</v>
      </c>
      <c r="D34" s="76" t="s">
        <v>36</v>
      </c>
      <c r="E34" s="76" t="s">
        <v>103</v>
      </c>
      <c r="F34" s="76" t="s">
        <v>47</v>
      </c>
      <c r="G34" s="76" t="s">
        <v>34</v>
      </c>
      <c r="H34" s="76">
        <f>STOCK[[#This Row],[Precio Final]]</f>
        <v>22</v>
      </c>
      <c r="I34" s="76">
        <f>STOCK[[#This Row],[Precio Venta Ideal (x1.5)]]</f>
        <v>25.5425</v>
      </c>
      <c r="J34" s="91">
        <v>1</v>
      </c>
      <c r="K34" s="91">
        <f>SUMIFS(VENTAS[Cantidad],VENTAS[Código del producto Vendido],STOCK[[#This Row],[Code]])</f>
        <v>1</v>
      </c>
      <c r="L34" s="91">
        <f>STOCK[[#This Row],[Entradas]]-STOCK[[#This Row],[Salidas]]</f>
        <v>0</v>
      </c>
      <c r="M34" s="76">
        <f>STOCK[[#This Row],[Precio Final]]*10%</f>
        <v>2.2</v>
      </c>
      <c r="N34" s="76">
        <v>195</v>
      </c>
      <c r="O34" s="76">
        <v>18</v>
      </c>
      <c r="P34" s="76">
        <v>10.8333333333333</v>
      </c>
      <c r="Q34" s="91">
        <v>235</v>
      </c>
      <c r="R34" s="76">
        <v>17</v>
      </c>
      <c r="S34" s="76">
        <f>STOCK[[#This Row],[Peso (g)]]*STOCK[[#This Row],[Precio Envío Kilogramo (USD)]]/1000</f>
        <v>3.995</v>
      </c>
      <c r="T34" s="76">
        <f>STOCK[[#This Row],[Costo Unitario (USD)]]+STOCK[[#This Row],[Costo Envío (USD)]]+STOCK[[#This Row],[Comisión 10%]]</f>
        <v>17.0283333333333</v>
      </c>
      <c r="U34" s="76">
        <f>STOCK[[#This Row],[Costo total]]*1.5</f>
        <v>25.5425</v>
      </c>
      <c r="V34" s="76">
        <v>22</v>
      </c>
      <c r="W34" s="76">
        <f>STOCK[[#This Row],[Precio Final]]-STOCK[[#This Row],[Costo total]]</f>
        <v>4.9716666666667</v>
      </c>
      <c r="X34" s="76">
        <f>STOCK[[#This Row],[Ganancia Unitaria]]*STOCK[[#This Row],[Salidas]]</f>
        <v>4.9716666666667</v>
      </c>
      <c r="AA34" s="76">
        <f>STOCK[[#This Row],[Costo total]]*STOCK[[#This Row],[Entradas]]</f>
        <v>17.0283333333333</v>
      </c>
      <c r="AB34" s="76">
        <f>STOCK[[#This Row],[Stock Actual]]*STOCK[[#This Row],[Costo total]]</f>
        <v>0</v>
      </c>
    </row>
    <row r="35" s="77" customFormat="1" ht="50" hidden="1" customHeight="1" spans="1:28">
      <c r="A35" s="77" t="s">
        <v>104</v>
      </c>
      <c r="B35" s="6"/>
      <c r="C35" s="77" t="s">
        <v>30</v>
      </c>
      <c r="D35" s="77" t="s">
        <v>36</v>
      </c>
      <c r="E35" s="77" t="s">
        <v>67</v>
      </c>
      <c r="F35" s="77" t="s">
        <v>47</v>
      </c>
      <c r="G35" s="77" t="s">
        <v>34</v>
      </c>
      <c r="H35" s="77">
        <f>STOCK[[#This Row],[Precio Final]]</f>
        <v>18</v>
      </c>
      <c r="I35" s="77">
        <f>STOCK[[#This Row],[Precio Venta Ideal (x1.5)]]</f>
        <v>21.3291666666667</v>
      </c>
      <c r="J35" s="92">
        <v>1</v>
      </c>
      <c r="K35" s="92">
        <f>SUMIFS(VENTAS[Cantidad],VENTAS[Código del producto Vendido],STOCK[[#This Row],[Code]])</f>
        <v>1</v>
      </c>
      <c r="L35" s="92">
        <f>STOCK[[#This Row],[Entradas]]-STOCK[[#This Row],[Salidas]]</f>
        <v>0</v>
      </c>
      <c r="M35" s="77">
        <f>STOCK[[#This Row],[Precio Final]]*10%</f>
        <v>1.8</v>
      </c>
      <c r="N35" s="77">
        <v>170</v>
      </c>
      <c r="O35" s="77">
        <v>18</v>
      </c>
      <c r="P35" s="77">
        <v>9.44444444444444</v>
      </c>
      <c r="Q35" s="92">
        <v>175</v>
      </c>
      <c r="R35" s="77">
        <v>17</v>
      </c>
      <c r="S35" s="77">
        <f>STOCK[[#This Row],[Peso (g)]]*STOCK[[#This Row],[Precio Envío Kilogramo (USD)]]/1000</f>
        <v>2.975</v>
      </c>
      <c r="T35" s="76">
        <f>STOCK[[#This Row],[Costo Unitario (USD)]]+STOCK[[#This Row],[Costo Envío (USD)]]+STOCK[[#This Row],[Comisión 10%]]</f>
        <v>14.2194444444444</v>
      </c>
      <c r="U35" s="77">
        <f>STOCK[[#This Row],[Costo total]]*1.5</f>
        <v>21.3291666666667</v>
      </c>
      <c r="V35" s="77">
        <v>18</v>
      </c>
      <c r="W35" s="77">
        <f>STOCK[[#This Row],[Precio Final]]-STOCK[[#This Row],[Costo total]]</f>
        <v>3.78055555555556</v>
      </c>
      <c r="X35" s="77">
        <f>STOCK[[#This Row],[Ganancia Unitaria]]*STOCK[[#This Row],[Salidas]]</f>
        <v>3.78055555555556</v>
      </c>
      <c r="AA35" s="77">
        <f>STOCK[[#This Row],[Costo total]]*STOCK[[#This Row],[Entradas]]</f>
        <v>14.2194444444444</v>
      </c>
      <c r="AB35" s="77">
        <f>STOCK[[#This Row],[Stock Actual]]*STOCK[[#This Row],[Costo total]]</f>
        <v>0</v>
      </c>
    </row>
    <row r="36" s="76" customFormat="1" ht="50" hidden="1" customHeight="1" spans="1:29">
      <c r="A36" s="76" t="s">
        <v>105</v>
      </c>
      <c r="B36" s="6"/>
      <c r="C36" s="76" t="s">
        <v>30</v>
      </c>
      <c r="D36" s="76" t="s">
        <v>31</v>
      </c>
      <c r="E36" s="76" t="s">
        <v>106</v>
      </c>
      <c r="F36" s="76" t="s">
        <v>38</v>
      </c>
      <c r="G36" s="76" t="s">
        <v>34</v>
      </c>
      <c r="H36" s="76">
        <f>STOCK[[#This Row],[Precio Final]]</f>
        <v>20</v>
      </c>
      <c r="I36" s="76">
        <f>STOCK[[#This Row],[Precio Venta Ideal (x1.5)]]</f>
        <v>21.6291666666667</v>
      </c>
      <c r="J36" s="91">
        <v>2</v>
      </c>
      <c r="K36" s="91">
        <f>SUMIFS(VENTAS[Cantidad],VENTAS[Código del producto Vendido],STOCK[[#This Row],[Code]])</f>
        <v>1</v>
      </c>
      <c r="L36" s="91">
        <f>STOCK[[#This Row],[Entradas]]-STOCK[[#This Row],[Salidas]]</f>
        <v>1</v>
      </c>
      <c r="M36" s="76">
        <f>STOCK[[#This Row],[Precio Final]]*10%</f>
        <v>2</v>
      </c>
      <c r="N36" s="76">
        <v>170</v>
      </c>
      <c r="O36" s="76">
        <v>18</v>
      </c>
      <c r="P36" s="76">
        <v>9.44444444444444</v>
      </c>
      <c r="Q36" s="91">
        <v>175</v>
      </c>
      <c r="R36" s="76">
        <v>17</v>
      </c>
      <c r="S36" s="76">
        <f>STOCK[[#This Row],[Peso (g)]]*STOCK[[#This Row],[Precio Envío Kilogramo (USD)]]/1000</f>
        <v>2.975</v>
      </c>
      <c r="T36" s="76">
        <f>STOCK[[#This Row],[Costo Unitario (USD)]]+STOCK[[#This Row],[Costo Envío (USD)]]+STOCK[[#This Row],[Comisión 10%]]</f>
        <v>14.4194444444444</v>
      </c>
      <c r="U36" s="76">
        <f>STOCK[[#This Row],[Costo total]]*1.5</f>
        <v>21.6291666666667</v>
      </c>
      <c r="V36" s="76">
        <v>20</v>
      </c>
      <c r="W36" s="76">
        <f>STOCK[[#This Row],[Precio Final]]-STOCK[[#This Row],[Costo total]]</f>
        <v>5.58055555555556</v>
      </c>
      <c r="X36" s="76">
        <f>STOCK[[#This Row],[Ganancia Unitaria]]*STOCK[[#This Row],[Salidas]]</f>
        <v>5.58055555555556</v>
      </c>
      <c r="AA36" s="76">
        <f>STOCK[[#This Row],[Costo total]]*STOCK[[#This Row],[Entradas]]</f>
        <v>28.8388888888889</v>
      </c>
      <c r="AB36" s="76">
        <f>STOCK[[#This Row],[Stock Actual]]*STOCK[[#This Row],[Costo total]]</f>
        <v>14.4194444444444</v>
      </c>
      <c r="AC36" s="76">
        <v>18</v>
      </c>
    </row>
    <row r="37" s="77" customFormat="1" ht="50" hidden="1" customHeight="1" spans="1:28">
      <c r="A37" s="77" t="s">
        <v>107</v>
      </c>
      <c r="B37" s="6"/>
      <c r="C37" s="77" t="s">
        <v>30</v>
      </c>
      <c r="D37" s="77" t="s">
        <v>36</v>
      </c>
      <c r="E37" s="77" t="s">
        <v>108</v>
      </c>
      <c r="F37" s="77" t="s">
        <v>60</v>
      </c>
      <c r="G37" s="77" t="s">
        <v>34</v>
      </c>
      <c r="H37" s="77">
        <f>STOCK[[#This Row],[Precio Final]]</f>
        <v>25</v>
      </c>
      <c r="I37" s="77">
        <f>STOCK[[#This Row],[Precio Venta Ideal (x1.5)]]</f>
        <v>31.4683333333333</v>
      </c>
      <c r="J37" s="92">
        <v>1</v>
      </c>
      <c r="K37" s="92">
        <f>SUMIFS(VENTAS[Cantidad],VENTAS[Código del producto Vendido],STOCK[[#This Row],[Code]])</f>
        <v>1</v>
      </c>
      <c r="L37" s="92">
        <f>STOCK[[#This Row],[Entradas]]-STOCK[[#This Row],[Salidas]]</f>
        <v>0</v>
      </c>
      <c r="M37" s="77">
        <f>STOCK[[#This Row],[Precio Final]]*10%</f>
        <v>2.5</v>
      </c>
      <c r="N37" s="77">
        <v>250</v>
      </c>
      <c r="O37" s="77">
        <v>18</v>
      </c>
      <c r="P37" s="77">
        <v>13.8888888888889</v>
      </c>
      <c r="Q37" s="92">
        <v>270</v>
      </c>
      <c r="R37" s="77">
        <v>17</v>
      </c>
      <c r="S37" s="77">
        <f>STOCK[[#This Row],[Peso (g)]]*STOCK[[#This Row],[Precio Envío Kilogramo (USD)]]/1000</f>
        <v>4.59</v>
      </c>
      <c r="T37" s="76">
        <f>STOCK[[#This Row],[Costo Unitario (USD)]]+STOCK[[#This Row],[Costo Envío (USD)]]+STOCK[[#This Row],[Comisión 10%]]</f>
        <v>20.9788888888889</v>
      </c>
      <c r="U37" s="77">
        <f>STOCK[[#This Row],[Costo total]]*1.5</f>
        <v>31.4683333333333</v>
      </c>
      <c r="V37" s="77">
        <v>25</v>
      </c>
      <c r="W37" s="77">
        <f>STOCK[[#This Row],[Precio Final]]-STOCK[[#This Row],[Costo total]]</f>
        <v>4.0211111111111</v>
      </c>
      <c r="X37" s="77">
        <f>STOCK[[#This Row],[Ganancia Unitaria]]*STOCK[[#This Row],[Salidas]]</f>
        <v>4.0211111111111</v>
      </c>
      <c r="AA37" s="77">
        <f>STOCK[[#This Row],[Costo total]]*STOCK[[#This Row],[Entradas]]</f>
        <v>20.9788888888889</v>
      </c>
      <c r="AB37" s="77">
        <f>STOCK[[#This Row],[Stock Actual]]*STOCK[[#This Row],[Costo total]]</f>
        <v>0</v>
      </c>
    </row>
    <row r="38" s="76" customFormat="1" ht="50" hidden="1" customHeight="1" spans="1:28">
      <c r="A38" s="76" t="s">
        <v>109</v>
      </c>
      <c r="B38" s="6"/>
      <c r="C38" s="76" t="s">
        <v>30</v>
      </c>
      <c r="D38" s="76" t="s">
        <v>80</v>
      </c>
      <c r="E38" s="76" t="s">
        <v>110</v>
      </c>
      <c r="F38" s="76" t="s">
        <v>81</v>
      </c>
      <c r="G38" s="76" t="s">
        <v>34</v>
      </c>
      <c r="H38" s="76">
        <f>STOCK[[#This Row],[Precio Final]]</f>
        <v>25</v>
      </c>
      <c r="I38" s="76">
        <f>STOCK[[#This Row],[Precio Venta Ideal (x1.5)]]</f>
        <v>32.4883333333334</v>
      </c>
      <c r="J38" s="91">
        <v>2</v>
      </c>
      <c r="K38" s="91">
        <f>SUMIFS(VENTAS[Cantidad],VENTAS[Código del producto Vendido],STOCK[[#This Row],[Code]])</f>
        <v>2</v>
      </c>
      <c r="L38" s="91">
        <f>STOCK[[#This Row],[Entradas]]-STOCK[[#This Row],[Salidas]]</f>
        <v>0</v>
      </c>
      <c r="M38" s="76">
        <f>STOCK[[#This Row],[Precio Final]]*10%</f>
        <v>2.5</v>
      </c>
      <c r="N38" s="76">
        <v>250</v>
      </c>
      <c r="O38" s="76">
        <v>18</v>
      </c>
      <c r="P38" s="76">
        <v>13.8888888888889</v>
      </c>
      <c r="Q38" s="91">
        <v>310</v>
      </c>
      <c r="R38" s="76">
        <v>17</v>
      </c>
      <c r="S38" s="76">
        <f>STOCK[[#This Row],[Peso (g)]]*STOCK[[#This Row],[Precio Envío Kilogramo (USD)]]/1000</f>
        <v>5.27</v>
      </c>
      <c r="T38" s="76">
        <f>STOCK[[#This Row],[Costo Unitario (USD)]]+STOCK[[#This Row],[Costo Envío (USD)]]+STOCK[[#This Row],[Comisión 10%]]</f>
        <v>21.6588888888889</v>
      </c>
      <c r="U38" s="76">
        <f>STOCK[[#This Row],[Costo total]]*1.5</f>
        <v>32.4883333333334</v>
      </c>
      <c r="V38" s="76">
        <v>25</v>
      </c>
      <c r="W38" s="76">
        <f>STOCK[[#This Row],[Precio Final]]-STOCK[[#This Row],[Costo total]]</f>
        <v>3.3411111111111</v>
      </c>
      <c r="X38" s="76">
        <f>STOCK[[#This Row],[Ganancia Unitaria]]*STOCK[[#This Row],[Salidas]]</f>
        <v>6.6822222222222</v>
      </c>
      <c r="AA38" s="76">
        <f>STOCK[[#This Row],[Costo total]]*STOCK[[#This Row],[Entradas]]</f>
        <v>43.3177777777778</v>
      </c>
      <c r="AB38" s="76">
        <f>STOCK[[#This Row],[Stock Actual]]*STOCK[[#This Row],[Costo total]]</f>
        <v>0</v>
      </c>
    </row>
    <row r="39" s="77" customFormat="1" ht="50" hidden="1" customHeight="1" spans="1:28">
      <c r="A39" s="77" t="s">
        <v>111</v>
      </c>
      <c r="B39" s="6"/>
      <c r="C39" s="77" t="s">
        <v>30</v>
      </c>
      <c r="D39" s="77" t="s">
        <v>36</v>
      </c>
      <c r="E39" s="77" t="s">
        <v>37</v>
      </c>
      <c r="F39" s="77" t="s">
        <v>60</v>
      </c>
      <c r="G39" s="77" t="s">
        <v>34</v>
      </c>
      <c r="H39" s="77">
        <f>STOCK[[#This Row],[Precio Final]]</f>
        <v>28</v>
      </c>
      <c r="I39" s="77">
        <f>STOCK[[#This Row],[Precio Venta Ideal (x1.5)]]</f>
        <v>32.3008333333334</v>
      </c>
      <c r="J39" s="92">
        <v>1</v>
      </c>
      <c r="K39" s="92">
        <f>SUMIFS(VENTAS[Cantidad],VENTAS[Código del producto Vendido],STOCK[[#This Row],[Code]])</f>
        <v>1</v>
      </c>
      <c r="L39" s="92">
        <f>STOCK[[#This Row],[Entradas]]-STOCK[[#This Row],[Salidas]]</f>
        <v>0</v>
      </c>
      <c r="M39" s="77">
        <f>STOCK[[#This Row],[Precio Final]]*10%</f>
        <v>2.8</v>
      </c>
      <c r="N39" s="77">
        <v>250</v>
      </c>
      <c r="O39" s="77">
        <v>18</v>
      </c>
      <c r="P39" s="77">
        <v>13.8888888888889</v>
      </c>
      <c r="Q39" s="92">
        <v>285</v>
      </c>
      <c r="R39" s="77">
        <v>17</v>
      </c>
      <c r="S39" s="77">
        <f>STOCK[[#This Row],[Peso (g)]]*STOCK[[#This Row],[Precio Envío Kilogramo (USD)]]/1000</f>
        <v>4.845</v>
      </c>
      <c r="T39" s="76">
        <f>STOCK[[#This Row],[Costo Unitario (USD)]]+STOCK[[#This Row],[Costo Envío (USD)]]+STOCK[[#This Row],[Comisión 10%]]</f>
        <v>21.5338888888889</v>
      </c>
      <c r="U39" s="77">
        <f>STOCK[[#This Row],[Costo total]]*1.5</f>
        <v>32.3008333333334</v>
      </c>
      <c r="V39" s="77">
        <v>28</v>
      </c>
      <c r="W39" s="77">
        <f>STOCK[[#This Row],[Precio Final]]-STOCK[[#This Row],[Costo total]]</f>
        <v>6.4661111111111</v>
      </c>
      <c r="X39" s="77">
        <f>STOCK[[#This Row],[Ganancia Unitaria]]*STOCK[[#This Row],[Salidas]]</f>
        <v>6.4661111111111</v>
      </c>
      <c r="AA39" s="77">
        <f>STOCK[[#This Row],[Costo total]]*STOCK[[#This Row],[Entradas]]</f>
        <v>21.5338888888889</v>
      </c>
      <c r="AB39" s="77">
        <f>STOCK[[#This Row],[Stock Actual]]*STOCK[[#This Row],[Costo total]]</f>
        <v>0</v>
      </c>
    </row>
    <row r="40" s="76" customFormat="1" ht="50" hidden="1" customHeight="1" spans="1:28">
      <c r="A40" s="76" t="s">
        <v>112</v>
      </c>
      <c r="B40" s="6"/>
      <c r="C40" s="76" t="s">
        <v>30</v>
      </c>
      <c r="D40" s="76" t="s">
        <v>36</v>
      </c>
      <c r="E40" s="76" t="s">
        <v>113</v>
      </c>
      <c r="F40" s="76" t="s">
        <v>47</v>
      </c>
      <c r="G40" s="76" t="s">
        <v>34</v>
      </c>
      <c r="H40" s="76">
        <f>STOCK[[#This Row],[Precio Final]]</f>
        <v>25</v>
      </c>
      <c r="I40" s="76">
        <f>STOCK[[#This Row],[Precio Venta Ideal (x1.5)]]</f>
        <v>24.8108333333334</v>
      </c>
      <c r="J40" s="91">
        <v>1</v>
      </c>
      <c r="K40" s="91">
        <f>SUMIFS(VENTAS[Cantidad],VENTAS[Código del producto Vendido],STOCK[[#This Row],[Code]])</f>
        <v>1</v>
      </c>
      <c r="L40" s="91">
        <f>STOCK[[#This Row],[Entradas]]-STOCK[[#This Row],[Salidas]]</f>
        <v>0</v>
      </c>
      <c r="M40" s="76">
        <f>STOCK[[#This Row],[Precio Final]]*10%</f>
        <v>2.5</v>
      </c>
      <c r="N40" s="76">
        <v>190</v>
      </c>
      <c r="O40" s="76">
        <v>18</v>
      </c>
      <c r="P40" s="76">
        <v>10.5555555555556</v>
      </c>
      <c r="Q40" s="91">
        <v>205</v>
      </c>
      <c r="R40" s="76">
        <v>17</v>
      </c>
      <c r="S40" s="76">
        <f>STOCK[[#This Row],[Peso (g)]]*STOCK[[#This Row],[Precio Envío Kilogramo (USD)]]/1000</f>
        <v>3.485</v>
      </c>
      <c r="T40" s="76">
        <f>STOCK[[#This Row],[Costo Unitario (USD)]]+STOCK[[#This Row],[Costo Envío (USD)]]+STOCK[[#This Row],[Comisión 10%]]</f>
        <v>16.5405555555556</v>
      </c>
      <c r="U40" s="76">
        <f>STOCK[[#This Row],[Costo total]]*1.5</f>
        <v>24.8108333333334</v>
      </c>
      <c r="V40" s="76">
        <v>25</v>
      </c>
      <c r="W40" s="76">
        <f>STOCK[[#This Row],[Precio Final]]-STOCK[[#This Row],[Costo total]]</f>
        <v>8.4594444444444</v>
      </c>
      <c r="X40" s="76">
        <f>STOCK[[#This Row],[Ganancia Unitaria]]*STOCK[[#This Row],[Salidas]]</f>
        <v>8.4594444444444</v>
      </c>
      <c r="AA40" s="76">
        <f>STOCK[[#This Row],[Costo total]]*STOCK[[#This Row],[Entradas]]</f>
        <v>16.5405555555556</v>
      </c>
      <c r="AB40" s="76">
        <f>STOCK[[#This Row],[Stock Actual]]*STOCK[[#This Row],[Costo total]]</f>
        <v>0</v>
      </c>
    </row>
    <row r="41" s="77" customFormat="1" ht="50" hidden="1" customHeight="1" spans="1:28">
      <c r="A41" s="77" t="s">
        <v>114</v>
      </c>
      <c r="B41" s="6"/>
      <c r="C41" s="77" t="s">
        <v>30</v>
      </c>
      <c r="D41" s="77" t="s">
        <v>36</v>
      </c>
      <c r="E41" s="77" t="s">
        <v>78</v>
      </c>
      <c r="F41" s="77" t="s">
        <v>47</v>
      </c>
      <c r="G41" s="77" t="s">
        <v>34</v>
      </c>
      <c r="H41" s="77">
        <f>STOCK[[#This Row],[Precio Final]]</f>
        <v>22</v>
      </c>
      <c r="I41" s="77">
        <f>STOCK[[#This Row],[Precio Venta Ideal (x1.5)]]</f>
        <v>25.1258333333334</v>
      </c>
      <c r="J41" s="92">
        <v>1</v>
      </c>
      <c r="K41" s="92">
        <f>SUMIFS(VENTAS[Cantidad],VENTAS[Código del producto Vendido],STOCK[[#This Row],[Code]])</f>
        <v>1</v>
      </c>
      <c r="L41" s="92">
        <f>STOCK[[#This Row],[Entradas]]-STOCK[[#This Row],[Salidas]]</f>
        <v>0</v>
      </c>
      <c r="M41" s="77">
        <f>STOCK[[#This Row],[Precio Final]]*10%</f>
        <v>2.2</v>
      </c>
      <c r="N41" s="77">
        <v>190</v>
      </c>
      <c r="O41" s="77">
        <v>18</v>
      </c>
      <c r="P41" s="77">
        <v>10.5555555555556</v>
      </c>
      <c r="Q41" s="92">
        <v>235</v>
      </c>
      <c r="R41" s="77">
        <v>17</v>
      </c>
      <c r="S41" s="77">
        <f>STOCK[[#This Row],[Peso (g)]]*STOCK[[#This Row],[Precio Envío Kilogramo (USD)]]/1000</f>
        <v>3.995</v>
      </c>
      <c r="T41" s="76">
        <f>STOCK[[#This Row],[Costo Unitario (USD)]]+STOCK[[#This Row],[Costo Envío (USD)]]+STOCK[[#This Row],[Comisión 10%]]</f>
        <v>16.7505555555556</v>
      </c>
      <c r="U41" s="77">
        <f>STOCK[[#This Row],[Costo total]]*1.5</f>
        <v>25.1258333333334</v>
      </c>
      <c r="V41" s="77">
        <v>22</v>
      </c>
      <c r="W41" s="77">
        <f>STOCK[[#This Row],[Precio Final]]-STOCK[[#This Row],[Costo total]]</f>
        <v>5.2494444444444</v>
      </c>
      <c r="X41" s="77">
        <f>STOCK[[#This Row],[Ganancia Unitaria]]*STOCK[[#This Row],[Salidas]]</f>
        <v>5.2494444444444</v>
      </c>
      <c r="AA41" s="77">
        <f>STOCK[[#This Row],[Costo total]]*STOCK[[#This Row],[Entradas]]</f>
        <v>16.7505555555556</v>
      </c>
      <c r="AB41" s="77">
        <f>STOCK[[#This Row],[Stock Actual]]*STOCK[[#This Row],[Costo total]]</f>
        <v>0</v>
      </c>
    </row>
    <row r="42" s="76" customFormat="1" ht="50" hidden="1" customHeight="1" spans="1:28">
      <c r="A42" s="76" t="s">
        <v>115</v>
      </c>
      <c r="B42" s="6"/>
      <c r="C42" s="76" t="s">
        <v>30</v>
      </c>
      <c r="D42" s="76" t="s">
        <v>36</v>
      </c>
      <c r="E42" s="76" t="s">
        <v>72</v>
      </c>
      <c r="F42" s="76" t="s">
        <v>47</v>
      </c>
      <c r="G42" s="76" t="s">
        <v>34</v>
      </c>
      <c r="H42" s="76">
        <f>STOCK[[#This Row],[Precio Final]]</f>
        <v>25</v>
      </c>
      <c r="I42" s="76">
        <f>STOCK[[#This Row],[Precio Venta Ideal (x1.5)]]</f>
        <v>30.7966666666667</v>
      </c>
      <c r="J42" s="91">
        <v>1</v>
      </c>
      <c r="K42" s="91">
        <f>SUMIFS(VENTAS[Cantidad],VENTAS[Código del producto Vendido],STOCK[[#This Row],[Code]])</f>
        <v>1</v>
      </c>
      <c r="L42" s="91">
        <f>STOCK[[#This Row],[Entradas]]-STOCK[[#This Row],[Salidas]]</f>
        <v>0</v>
      </c>
      <c r="M42" s="76">
        <f>STOCK[[#This Row],[Precio Final]]*10%</f>
        <v>2.5</v>
      </c>
      <c r="N42" s="76">
        <v>245</v>
      </c>
      <c r="O42" s="76">
        <v>18</v>
      </c>
      <c r="P42" s="76">
        <v>13.6111111111111</v>
      </c>
      <c r="Q42" s="91">
        <v>260</v>
      </c>
      <c r="R42" s="76">
        <v>17</v>
      </c>
      <c r="S42" s="76">
        <f>STOCK[[#This Row],[Peso (g)]]*STOCK[[#This Row],[Precio Envío Kilogramo (USD)]]/1000</f>
        <v>4.42</v>
      </c>
      <c r="T42" s="76">
        <f>STOCK[[#This Row],[Costo Unitario (USD)]]+STOCK[[#This Row],[Costo Envío (USD)]]+STOCK[[#This Row],[Comisión 10%]]</f>
        <v>20.5311111111111</v>
      </c>
      <c r="U42" s="76">
        <f>STOCK[[#This Row],[Costo total]]*1.5</f>
        <v>30.7966666666667</v>
      </c>
      <c r="V42" s="76">
        <v>25</v>
      </c>
      <c r="W42" s="76">
        <f>STOCK[[#This Row],[Precio Final]]-STOCK[[#This Row],[Costo total]]</f>
        <v>4.4688888888889</v>
      </c>
      <c r="X42" s="76">
        <f>STOCK[[#This Row],[Ganancia Unitaria]]*STOCK[[#This Row],[Salidas]]</f>
        <v>4.4688888888889</v>
      </c>
      <c r="AA42" s="76">
        <f>STOCK[[#This Row],[Costo total]]*STOCK[[#This Row],[Entradas]]</f>
        <v>20.5311111111111</v>
      </c>
      <c r="AB42" s="76">
        <f>STOCK[[#This Row],[Stock Actual]]*STOCK[[#This Row],[Costo total]]</f>
        <v>0</v>
      </c>
    </row>
    <row r="43" s="77" customFormat="1" ht="50" hidden="1" customHeight="1" spans="1:28">
      <c r="A43" s="77" t="s">
        <v>116</v>
      </c>
      <c r="B43" s="6"/>
      <c r="C43" s="77" t="s">
        <v>30</v>
      </c>
      <c r="D43" s="77" t="s">
        <v>36</v>
      </c>
      <c r="E43" s="77" t="s">
        <v>117</v>
      </c>
      <c r="F43" s="77" t="s">
        <v>60</v>
      </c>
      <c r="G43" s="77" t="s">
        <v>34</v>
      </c>
      <c r="H43" s="77">
        <f>STOCK[[#This Row],[Precio Final]]</f>
        <v>25</v>
      </c>
      <c r="I43" s="77">
        <f>STOCK[[#This Row],[Precio Venta Ideal (x1.5)]]</f>
        <v>28.7816666666667</v>
      </c>
      <c r="J43" s="92">
        <v>1</v>
      </c>
      <c r="K43" s="92">
        <f>SUMIFS(VENTAS[Cantidad],VENTAS[Código del producto Vendido],STOCK[[#This Row],[Code]])</f>
        <v>1</v>
      </c>
      <c r="L43" s="92">
        <f>STOCK[[#This Row],[Entradas]]-STOCK[[#This Row],[Salidas]]</f>
        <v>0</v>
      </c>
      <c r="M43" s="77">
        <f>STOCK[[#This Row],[Precio Final]]*10%</f>
        <v>2.5</v>
      </c>
      <c r="N43" s="77">
        <v>230</v>
      </c>
      <c r="O43" s="77">
        <v>18</v>
      </c>
      <c r="P43" s="77">
        <v>12.7777777777778</v>
      </c>
      <c r="Q43" s="92">
        <v>230</v>
      </c>
      <c r="R43" s="77">
        <v>17</v>
      </c>
      <c r="S43" s="77">
        <f>STOCK[[#This Row],[Peso (g)]]*STOCK[[#This Row],[Precio Envío Kilogramo (USD)]]/1000</f>
        <v>3.91</v>
      </c>
      <c r="T43" s="76">
        <f>STOCK[[#This Row],[Costo Unitario (USD)]]+STOCK[[#This Row],[Costo Envío (USD)]]+STOCK[[#This Row],[Comisión 10%]]</f>
        <v>19.1877777777778</v>
      </c>
      <c r="U43" s="77">
        <f>STOCK[[#This Row],[Costo total]]*1.5</f>
        <v>28.7816666666667</v>
      </c>
      <c r="V43" s="77">
        <v>25</v>
      </c>
      <c r="W43" s="77">
        <f>STOCK[[#This Row],[Precio Final]]-STOCK[[#This Row],[Costo total]]</f>
        <v>5.8122222222222</v>
      </c>
      <c r="X43" s="77">
        <f>STOCK[[#This Row],[Ganancia Unitaria]]*STOCK[[#This Row],[Salidas]]</f>
        <v>5.8122222222222</v>
      </c>
      <c r="AA43" s="77">
        <f>STOCK[[#This Row],[Costo total]]*STOCK[[#This Row],[Entradas]]</f>
        <v>19.1877777777778</v>
      </c>
      <c r="AB43" s="77">
        <f>STOCK[[#This Row],[Stock Actual]]*STOCK[[#This Row],[Costo total]]</f>
        <v>0</v>
      </c>
    </row>
    <row r="44" s="76" customFormat="1" ht="50" hidden="1" customHeight="1" spans="1:28">
      <c r="A44" s="76" t="s">
        <v>118</v>
      </c>
      <c r="B44" s="6"/>
      <c r="C44" s="76" t="s">
        <v>30</v>
      </c>
      <c r="D44" s="76" t="s">
        <v>36</v>
      </c>
      <c r="E44" s="76" t="s">
        <v>119</v>
      </c>
      <c r="F44" s="76" t="s">
        <v>60</v>
      </c>
      <c r="G44" s="76" t="s">
        <v>34</v>
      </c>
      <c r="H44" s="76">
        <f>STOCK[[#This Row],[Precio Final]]</f>
        <v>25</v>
      </c>
      <c r="I44" s="76">
        <f>STOCK[[#This Row],[Precio Venta Ideal (x1.5)]]</f>
        <v>28.9091666666667</v>
      </c>
      <c r="J44" s="91">
        <v>2</v>
      </c>
      <c r="K44" s="91">
        <f>SUMIFS(VENTAS[Cantidad],VENTAS[Código del producto Vendido],STOCK[[#This Row],[Code]])</f>
        <v>2</v>
      </c>
      <c r="L44" s="91">
        <f>STOCK[[#This Row],[Entradas]]-STOCK[[#This Row],[Salidas]]</f>
        <v>0</v>
      </c>
      <c r="M44" s="76">
        <f>STOCK[[#This Row],[Precio Final]]*10%</f>
        <v>2.5</v>
      </c>
      <c r="N44" s="76">
        <v>230</v>
      </c>
      <c r="O44" s="76">
        <v>18</v>
      </c>
      <c r="P44" s="76">
        <v>12.7777777777778</v>
      </c>
      <c r="Q44" s="91">
        <v>235</v>
      </c>
      <c r="R44" s="76">
        <v>17</v>
      </c>
      <c r="S44" s="76">
        <f>STOCK[[#This Row],[Peso (g)]]*STOCK[[#This Row],[Precio Envío Kilogramo (USD)]]/1000</f>
        <v>3.995</v>
      </c>
      <c r="T44" s="76">
        <f>STOCK[[#This Row],[Costo Unitario (USD)]]+STOCK[[#This Row],[Costo Envío (USD)]]+STOCK[[#This Row],[Comisión 10%]]</f>
        <v>19.2727777777778</v>
      </c>
      <c r="U44" s="76">
        <f>STOCK[[#This Row],[Costo total]]*1.5</f>
        <v>28.9091666666667</v>
      </c>
      <c r="V44" s="76">
        <v>25</v>
      </c>
      <c r="W44" s="76">
        <f>STOCK[[#This Row],[Precio Final]]-STOCK[[#This Row],[Costo total]]</f>
        <v>5.7272222222222</v>
      </c>
      <c r="X44" s="76">
        <f>STOCK[[#This Row],[Ganancia Unitaria]]*STOCK[[#This Row],[Salidas]]</f>
        <v>11.4544444444444</v>
      </c>
      <c r="AA44" s="76">
        <f>STOCK[[#This Row],[Costo total]]*STOCK[[#This Row],[Entradas]]</f>
        <v>38.5455555555556</v>
      </c>
      <c r="AB44" s="76">
        <f>STOCK[[#This Row],[Stock Actual]]*STOCK[[#This Row],[Costo total]]</f>
        <v>0</v>
      </c>
    </row>
    <row r="45" s="77" customFormat="1" ht="50" hidden="1" customHeight="1" spans="1:28">
      <c r="A45" s="77" t="s">
        <v>120</v>
      </c>
      <c r="B45" s="6"/>
      <c r="C45" s="77" t="s">
        <v>30</v>
      </c>
      <c r="D45" s="77" t="s">
        <v>36</v>
      </c>
      <c r="E45" s="77" t="s">
        <v>121</v>
      </c>
      <c r="F45" s="77" t="s">
        <v>60</v>
      </c>
      <c r="G45" s="77" t="s">
        <v>34</v>
      </c>
      <c r="H45" s="77">
        <f>STOCK[[#This Row],[Precio Final]]</f>
        <v>25</v>
      </c>
      <c r="I45" s="77">
        <f>STOCK[[#This Row],[Precio Venta Ideal (x1.5)]]</f>
        <v>25.5166666666666</v>
      </c>
      <c r="J45" s="92">
        <v>1</v>
      </c>
      <c r="K45" s="92">
        <f>SUMIFS(VENTAS[Cantidad],VENTAS[Código del producto Vendido],STOCK[[#This Row],[Code]])</f>
        <v>1</v>
      </c>
      <c r="L45" s="92">
        <f>STOCK[[#This Row],[Entradas]]-STOCK[[#This Row],[Salidas]]</f>
        <v>0</v>
      </c>
      <c r="M45" s="77">
        <f>STOCK[[#This Row],[Precio Final]]*10%</f>
        <v>2.5</v>
      </c>
      <c r="N45" s="77">
        <v>200</v>
      </c>
      <c r="O45" s="77">
        <v>18</v>
      </c>
      <c r="P45" s="77">
        <v>11.1111111111111</v>
      </c>
      <c r="Q45" s="92">
        <v>200</v>
      </c>
      <c r="R45" s="77">
        <v>17</v>
      </c>
      <c r="S45" s="77">
        <f>STOCK[[#This Row],[Peso (g)]]*STOCK[[#This Row],[Precio Envío Kilogramo (USD)]]/1000</f>
        <v>3.4</v>
      </c>
      <c r="T45" s="76">
        <f>STOCK[[#This Row],[Costo Unitario (USD)]]+STOCK[[#This Row],[Costo Envío (USD)]]+STOCK[[#This Row],[Comisión 10%]]</f>
        <v>17.0111111111111</v>
      </c>
      <c r="U45" s="77">
        <f>STOCK[[#This Row],[Costo total]]*1.5</f>
        <v>25.5166666666666</v>
      </c>
      <c r="V45" s="77">
        <v>25</v>
      </c>
      <c r="W45" s="77">
        <f>STOCK[[#This Row],[Precio Final]]-STOCK[[#This Row],[Costo total]]</f>
        <v>7.9888888888889</v>
      </c>
      <c r="X45" s="77">
        <f>STOCK[[#This Row],[Ganancia Unitaria]]*STOCK[[#This Row],[Salidas]]</f>
        <v>7.9888888888889</v>
      </c>
      <c r="AA45" s="77">
        <f>STOCK[[#This Row],[Costo total]]*STOCK[[#This Row],[Entradas]]</f>
        <v>17.0111111111111</v>
      </c>
      <c r="AB45" s="77">
        <f>STOCK[[#This Row],[Stock Actual]]*STOCK[[#This Row],[Costo total]]</f>
        <v>0</v>
      </c>
    </row>
    <row r="46" s="76" customFormat="1" ht="50" hidden="1" customHeight="1" spans="1:28">
      <c r="A46" s="76" t="s">
        <v>122</v>
      </c>
      <c r="B46" s="6"/>
      <c r="C46" s="76" t="s">
        <v>30</v>
      </c>
      <c r="D46" s="76" t="s">
        <v>123</v>
      </c>
      <c r="E46" s="76" t="s">
        <v>124</v>
      </c>
      <c r="F46" s="76" t="s">
        <v>125</v>
      </c>
      <c r="G46" s="76" t="s">
        <v>34</v>
      </c>
      <c r="H46" s="76">
        <f>STOCK[[#This Row],[Precio Final]]</f>
        <v>20</v>
      </c>
      <c r="I46" s="76">
        <f>STOCK[[#This Row],[Precio Venta Ideal (x1.5)]]</f>
        <v>22.2666666666667</v>
      </c>
      <c r="J46" s="91">
        <v>1</v>
      </c>
      <c r="K46" s="91">
        <f>SUMIFS(VENTAS[Cantidad],VENTAS[Código del producto Vendido],STOCK[[#This Row],[Code]])</f>
        <v>1</v>
      </c>
      <c r="L46" s="91">
        <f>STOCK[[#This Row],[Entradas]]-STOCK[[#This Row],[Salidas]]</f>
        <v>0</v>
      </c>
      <c r="M46" s="76">
        <f>STOCK[[#This Row],[Precio Final]]*10%</f>
        <v>2</v>
      </c>
      <c r="N46" s="76">
        <v>170</v>
      </c>
      <c r="O46" s="76">
        <v>18</v>
      </c>
      <c r="P46" s="76">
        <v>9.44444444444444</v>
      </c>
      <c r="Q46" s="91">
        <v>200</v>
      </c>
      <c r="R46" s="76">
        <v>17</v>
      </c>
      <c r="S46" s="76">
        <f>STOCK[[#This Row],[Peso (g)]]*STOCK[[#This Row],[Precio Envío Kilogramo (USD)]]/1000</f>
        <v>3.4</v>
      </c>
      <c r="T46" s="76">
        <f>STOCK[[#This Row],[Costo Unitario (USD)]]+STOCK[[#This Row],[Costo Envío (USD)]]+STOCK[[#This Row],[Comisión 10%]]</f>
        <v>14.8444444444444</v>
      </c>
      <c r="U46" s="76">
        <f>STOCK[[#This Row],[Costo total]]*1.5</f>
        <v>22.2666666666667</v>
      </c>
      <c r="V46" s="76">
        <v>20</v>
      </c>
      <c r="W46" s="76">
        <f>STOCK[[#This Row],[Precio Final]]-STOCK[[#This Row],[Costo total]]</f>
        <v>5.15555555555556</v>
      </c>
      <c r="X46" s="76">
        <f>STOCK[[#This Row],[Ganancia Unitaria]]*STOCK[[#This Row],[Salidas]]</f>
        <v>5.15555555555556</v>
      </c>
      <c r="AA46" s="76">
        <f>STOCK[[#This Row],[Costo total]]*STOCK[[#This Row],[Entradas]]</f>
        <v>14.8444444444444</v>
      </c>
      <c r="AB46" s="76">
        <f>STOCK[[#This Row],[Stock Actual]]*STOCK[[#This Row],[Costo total]]</f>
        <v>0</v>
      </c>
    </row>
    <row r="47" s="77" customFormat="1" ht="50" hidden="1" customHeight="1" spans="1:28">
      <c r="A47" s="77" t="s">
        <v>126</v>
      </c>
      <c r="B47" s="6"/>
      <c r="C47" s="77" t="s">
        <v>30</v>
      </c>
      <c r="D47" s="77" t="s">
        <v>123</v>
      </c>
      <c r="E47" s="77" t="s">
        <v>127</v>
      </c>
      <c r="F47" s="77" t="s">
        <v>128</v>
      </c>
      <c r="G47" s="77" t="s">
        <v>34</v>
      </c>
      <c r="H47" s="77">
        <f>STOCK[[#This Row],[Precio Final]]</f>
        <v>20</v>
      </c>
      <c r="I47" s="77">
        <f>STOCK[[#This Row],[Precio Venta Ideal (x1.5)]]</f>
        <v>25.1491666666667</v>
      </c>
      <c r="J47" s="92">
        <v>1</v>
      </c>
      <c r="K47" s="92">
        <f>SUMIFS(VENTAS[Cantidad],VENTAS[Código del producto Vendido],STOCK[[#This Row],[Code]])</f>
        <v>1</v>
      </c>
      <c r="L47" s="92">
        <f>STOCK[[#This Row],[Entradas]]-STOCK[[#This Row],[Salidas]]</f>
        <v>0</v>
      </c>
      <c r="M47" s="77">
        <f>STOCK[[#This Row],[Precio Final]]*10%</f>
        <v>2</v>
      </c>
      <c r="N47" s="77">
        <v>200</v>
      </c>
      <c r="O47" s="77">
        <v>18</v>
      </c>
      <c r="P47" s="77">
        <v>11.1111111111111</v>
      </c>
      <c r="Q47" s="92">
        <v>215</v>
      </c>
      <c r="R47" s="77">
        <v>17</v>
      </c>
      <c r="S47" s="77">
        <f>STOCK[[#This Row],[Peso (g)]]*STOCK[[#This Row],[Precio Envío Kilogramo (USD)]]/1000</f>
        <v>3.655</v>
      </c>
      <c r="T47" s="76">
        <f>STOCK[[#This Row],[Costo Unitario (USD)]]+STOCK[[#This Row],[Costo Envío (USD)]]+STOCK[[#This Row],[Comisión 10%]]</f>
        <v>16.7661111111111</v>
      </c>
      <c r="U47" s="77">
        <f>STOCK[[#This Row],[Costo total]]*1.5</f>
        <v>25.1491666666667</v>
      </c>
      <c r="V47" s="77">
        <v>20</v>
      </c>
      <c r="W47" s="77">
        <f>STOCK[[#This Row],[Precio Final]]-STOCK[[#This Row],[Costo total]]</f>
        <v>3.2338888888889</v>
      </c>
      <c r="X47" s="77">
        <f>STOCK[[#This Row],[Ganancia Unitaria]]*STOCK[[#This Row],[Salidas]]</f>
        <v>3.2338888888889</v>
      </c>
      <c r="AA47" s="77">
        <f>STOCK[[#This Row],[Costo total]]*STOCK[[#This Row],[Entradas]]</f>
        <v>16.7661111111111</v>
      </c>
      <c r="AB47" s="77">
        <f>STOCK[[#This Row],[Stock Actual]]*STOCK[[#This Row],[Costo total]]</f>
        <v>0</v>
      </c>
    </row>
    <row r="48" s="76" customFormat="1" ht="50" hidden="1" customHeight="1" spans="1:28">
      <c r="A48" s="76" t="s">
        <v>129</v>
      </c>
      <c r="B48" s="6"/>
      <c r="C48" s="76" t="s">
        <v>30</v>
      </c>
      <c r="D48" s="76" t="s">
        <v>130</v>
      </c>
      <c r="E48" s="76" t="s">
        <v>131</v>
      </c>
      <c r="F48" s="76" t="s">
        <v>132</v>
      </c>
      <c r="G48" s="76" t="s">
        <v>34</v>
      </c>
      <c r="H48" s="76">
        <f>STOCK[[#This Row],[Precio Final]]</f>
        <v>18</v>
      </c>
      <c r="I48" s="76">
        <f>STOCK[[#This Row],[Precio Venta Ideal (x1.5)]]</f>
        <v>19.3483333333333</v>
      </c>
      <c r="J48" s="91">
        <v>1</v>
      </c>
      <c r="K48" s="91">
        <f>SUMIFS(VENTAS[Cantidad],VENTAS[Código del producto Vendido],STOCK[[#This Row],[Code]])</f>
        <v>1</v>
      </c>
      <c r="L48" s="91">
        <f>STOCK[[#This Row],[Entradas]]-STOCK[[#This Row],[Salidas]]</f>
        <v>0</v>
      </c>
      <c r="M48" s="76">
        <f>STOCK[[#This Row],[Precio Final]]*10%</f>
        <v>1.8</v>
      </c>
      <c r="N48" s="76">
        <v>160</v>
      </c>
      <c r="O48" s="76">
        <v>18</v>
      </c>
      <c r="P48" s="76">
        <v>8.88888888888889</v>
      </c>
      <c r="Q48" s="91">
        <v>130</v>
      </c>
      <c r="R48" s="76">
        <v>17</v>
      </c>
      <c r="S48" s="76">
        <f>STOCK[[#This Row],[Peso (g)]]*STOCK[[#This Row],[Precio Envío Kilogramo (USD)]]/1000</f>
        <v>2.21</v>
      </c>
      <c r="T48" s="76">
        <f>STOCK[[#This Row],[Costo Unitario (USD)]]+STOCK[[#This Row],[Costo Envío (USD)]]+STOCK[[#This Row],[Comisión 10%]]</f>
        <v>12.8988888888889</v>
      </c>
      <c r="U48" s="76">
        <f>STOCK[[#This Row],[Costo total]]*1.5</f>
        <v>19.3483333333333</v>
      </c>
      <c r="V48" s="76">
        <v>18</v>
      </c>
      <c r="W48" s="76">
        <f>STOCK[[#This Row],[Precio Final]]-STOCK[[#This Row],[Costo total]]</f>
        <v>5.10111111111111</v>
      </c>
      <c r="X48" s="76">
        <f>STOCK[[#This Row],[Ganancia Unitaria]]*STOCK[[#This Row],[Salidas]]</f>
        <v>5.10111111111111</v>
      </c>
      <c r="AA48" s="76">
        <f>STOCK[[#This Row],[Costo total]]*STOCK[[#This Row],[Entradas]]</f>
        <v>12.8988888888889</v>
      </c>
      <c r="AB48" s="76">
        <f>STOCK[[#This Row],[Stock Actual]]*STOCK[[#This Row],[Costo total]]</f>
        <v>0</v>
      </c>
    </row>
    <row r="49" s="77" customFormat="1" ht="50" hidden="1" customHeight="1" spans="1:28">
      <c r="A49" s="77" t="s">
        <v>133</v>
      </c>
      <c r="B49" s="6"/>
      <c r="C49" s="77" t="s">
        <v>30</v>
      </c>
      <c r="D49" s="77" t="s">
        <v>134</v>
      </c>
      <c r="E49" s="77" t="s">
        <v>135</v>
      </c>
      <c r="F49" s="77" t="s">
        <v>136</v>
      </c>
      <c r="G49" s="77" t="s">
        <v>34</v>
      </c>
      <c r="H49" s="77">
        <f>STOCK[[#This Row],[Precio Final]]</f>
        <v>25</v>
      </c>
      <c r="I49" s="77">
        <f>STOCK[[#This Row],[Precio Venta Ideal (x1.5)]]</f>
        <v>26.1883333333334</v>
      </c>
      <c r="J49" s="92">
        <v>1</v>
      </c>
      <c r="K49" s="92">
        <f>SUMIFS(VENTAS[Cantidad],VENTAS[Código del producto Vendido],STOCK[[#This Row],[Code]])</f>
        <v>0</v>
      </c>
      <c r="L49" s="92">
        <f>STOCK[[#This Row],[Entradas]]-STOCK[[#This Row],[Salidas]]</f>
        <v>1</v>
      </c>
      <c r="M49" s="77">
        <f>STOCK[[#This Row],[Precio Final]]*10%</f>
        <v>2.5</v>
      </c>
      <c r="N49" s="77">
        <v>205</v>
      </c>
      <c r="O49" s="77">
        <v>18</v>
      </c>
      <c r="P49" s="77">
        <v>11.3888888888889</v>
      </c>
      <c r="Q49" s="92">
        <v>210</v>
      </c>
      <c r="R49" s="77">
        <v>17</v>
      </c>
      <c r="S49" s="77">
        <f>STOCK[[#This Row],[Peso (g)]]*STOCK[[#This Row],[Precio Envío Kilogramo (USD)]]/1000</f>
        <v>3.57</v>
      </c>
      <c r="T49" s="76">
        <f>STOCK[[#This Row],[Costo Unitario (USD)]]+STOCK[[#This Row],[Costo Envío (USD)]]+STOCK[[#This Row],[Comisión 10%]]</f>
        <v>17.4588888888889</v>
      </c>
      <c r="U49" s="77">
        <f>STOCK[[#This Row],[Costo total]]*1.5</f>
        <v>26.1883333333334</v>
      </c>
      <c r="V49" s="77">
        <v>25</v>
      </c>
      <c r="W49" s="77">
        <f>STOCK[[#This Row],[Precio Final]]-STOCK[[#This Row],[Costo total]]</f>
        <v>7.5411111111111</v>
      </c>
      <c r="X49" s="77">
        <f>STOCK[[#This Row],[Ganancia Unitaria]]*STOCK[[#This Row],[Salidas]]</f>
        <v>0</v>
      </c>
      <c r="AA49" s="77">
        <f>STOCK[[#This Row],[Costo total]]*STOCK[[#This Row],[Entradas]]</f>
        <v>17.4588888888889</v>
      </c>
      <c r="AB49" s="77">
        <f>STOCK[[#This Row],[Stock Actual]]*STOCK[[#This Row],[Costo total]]</f>
        <v>17.4588888888889</v>
      </c>
    </row>
    <row r="50" s="76" customFormat="1" ht="50" hidden="1" customHeight="1" spans="1:28">
      <c r="A50" s="76" t="s">
        <v>137</v>
      </c>
      <c r="B50" s="6"/>
      <c r="C50" s="76" t="s">
        <v>30</v>
      </c>
      <c r="D50" s="76" t="s">
        <v>123</v>
      </c>
      <c r="E50" s="76" t="s">
        <v>138</v>
      </c>
      <c r="F50" s="76" t="s">
        <v>139</v>
      </c>
      <c r="G50" s="76" t="s">
        <v>34</v>
      </c>
      <c r="H50" s="76">
        <f>STOCK[[#This Row],[Precio Final]]</f>
        <v>20</v>
      </c>
      <c r="I50" s="76">
        <f>STOCK[[#This Row],[Precio Venta Ideal (x1.5)]]</f>
        <v>22.2075</v>
      </c>
      <c r="J50" s="91">
        <v>1</v>
      </c>
      <c r="K50" s="91">
        <f>SUMIFS(VENTAS[Cantidad],VENTAS[Código del producto Vendido],STOCK[[#This Row],[Code]])</f>
        <v>1</v>
      </c>
      <c r="L50" s="91">
        <f>STOCK[[#This Row],[Entradas]]-STOCK[[#This Row],[Salidas]]</f>
        <v>0</v>
      </c>
      <c r="M50" s="76">
        <f>STOCK[[#This Row],[Precio Final]]*10%</f>
        <v>2</v>
      </c>
      <c r="N50" s="76">
        <v>180</v>
      </c>
      <c r="O50" s="76">
        <v>18</v>
      </c>
      <c r="P50" s="76">
        <v>10</v>
      </c>
      <c r="Q50" s="91">
        <v>165</v>
      </c>
      <c r="R50" s="76">
        <v>17</v>
      </c>
      <c r="S50" s="76">
        <f>STOCK[[#This Row],[Peso (g)]]*STOCK[[#This Row],[Precio Envío Kilogramo (USD)]]/1000</f>
        <v>2.805</v>
      </c>
      <c r="T50" s="76">
        <f>STOCK[[#This Row],[Costo Unitario (USD)]]+STOCK[[#This Row],[Costo Envío (USD)]]+STOCK[[#This Row],[Comisión 10%]]</f>
        <v>14.805</v>
      </c>
      <c r="U50" s="76">
        <f>STOCK[[#This Row],[Costo total]]*1.5</f>
        <v>22.2075</v>
      </c>
      <c r="V50" s="76">
        <v>20</v>
      </c>
      <c r="W50" s="76">
        <f>STOCK[[#This Row],[Precio Final]]-STOCK[[#This Row],[Costo total]]</f>
        <v>5.195</v>
      </c>
      <c r="X50" s="76">
        <f>STOCK[[#This Row],[Ganancia Unitaria]]*STOCK[[#This Row],[Salidas]]</f>
        <v>5.195</v>
      </c>
      <c r="AA50" s="76">
        <f>STOCK[[#This Row],[Costo total]]*STOCK[[#This Row],[Entradas]]</f>
        <v>14.805</v>
      </c>
      <c r="AB50" s="76">
        <f>STOCK[[#This Row],[Stock Actual]]*STOCK[[#This Row],[Costo total]]</f>
        <v>0</v>
      </c>
    </row>
    <row r="51" s="77" customFormat="1" ht="50" hidden="1" customHeight="1" spans="1:29">
      <c r="A51" s="77" t="s">
        <v>140</v>
      </c>
      <c r="B51" s="6"/>
      <c r="C51" s="77" t="s">
        <v>30</v>
      </c>
      <c r="D51" s="77" t="s">
        <v>130</v>
      </c>
      <c r="E51" s="77" t="s">
        <v>141</v>
      </c>
      <c r="F51" s="77" t="s">
        <v>132</v>
      </c>
      <c r="G51" s="77" t="s">
        <v>34</v>
      </c>
      <c r="H51" s="77">
        <f>STOCK[[#This Row],[Precio Final]]</f>
        <v>20</v>
      </c>
      <c r="I51" s="77">
        <f>STOCK[[#This Row],[Precio Venta Ideal (x1.5)]]</f>
        <v>19.9033333333333</v>
      </c>
      <c r="J51" s="92">
        <v>1</v>
      </c>
      <c r="K51" s="92">
        <f>SUMIFS(VENTAS[Cantidad],VENTAS[Código del producto Vendido],STOCK[[#This Row],[Code]])</f>
        <v>0</v>
      </c>
      <c r="L51" s="92">
        <f>STOCK[[#This Row],[Entradas]]-STOCK[[#This Row],[Salidas]]</f>
        <v>1</v>
      </c>
      <c r="M51" s="77">
        <f>STOCK[[#This Row],[Precio Final]]*10%</f>
        <v>2</v>
      </c>
      <c r="N51" s="77">
        <v>160</v>
      </c>
      <c r="O51" s="77">
        <v>18</v>
      </c>
      <c r="P51" s="77">
        <v>8.88888888888889</v>
      </c>
      <c r="Q51" s="92">
        <v>140</v>
      </c>
      <c r="R51" s="77">
        <v>17</v>
      </c>
      <c r="S51" s="77">
        <f>STOCK[[#This Row],[Peso (g)]]*STOCK[[#This Row],[Precio Envío Kilogramo (USD)]]/1000</f>
        <v>2.38</v>
      </c>
      <c r="T51" s="76">
        <f>STOCK[[#This Row],[Costo Unitario (USD)]]+STOCK[[#This Row],[Costo Envío (USD)]]+STOCK[[#This Row],[Comisión 10%]]</f>
        <v>13.2688888888889</v>
      </c>
      <c r="U51" s="77">
        <f>STOCK[[#This Row],[Costo total]]*1.5</f>
        <v>19.9033333333333</v>
      </c>
      <c r="V51" s="77">
        <v>20</v>
      </c>
      <c r="W51" s="77">
        <f>STOCK[[#This Row],[Precio Final]]-STOCK[[#This Row],[Costo total]]</f>
        <v>6.73111111111111</v>
      </c>
      <c r="X51" s="77">
        <f>STOCK[[#This Row],[Ganancia Unitaria]]*STOCK[[#This Row],[Salidas]]</f>
        <v>0</v>
      </c>
      <c r="AA51" s="77">
        <f>STOCK[[#This Row],[Costo total]]*STOCK[[#This Row],[Entradas]]</f>
        <v>13.2688888888889</v>
      </c>
      <c r="AB51" s="77">
        <f>STOCK[[#This Row],[Stock Actual]]*STOCK[[#This Row],[Costo total]]</f>
        <v>13.2688888888889</v>
      </c>
      <c r="AC51" s="77">
        <v>16</v>
      </c>
    </row>
    <row r="52" s="76" customFormat="1" ht="50" hidden="1" customHeight="1" spans="1:29">
      <c r="A52" s="76" t="s">
        <v>142</v>
      </c>
      <c r="B52" s="6"/>
      <c r="C52" s="76" t="s">
        <v>30</v>
      </c>
      <c r="D52" s="76" t="s">
        <v>130</v>
      </c>
      <c r="E52" s="76" t="s">
        <v>141</v>
      </c>
      <c r="F52" s="76" t="s">
        <v>143</v>
      </c>
      <c r="G52" s="76" t="s">
        <v>34</v>
      </c>
      <c r="H52" s="76">
        <f>STOCK[[#This Row],[Precio Final]]</f>
        <v>20</v>
      </c>
      <c r="I52" s="76">
        <f>STOCK[[#This Row],[Precio Venta Ideal (x1.5)]]</f>
        <v>19.9033333333333</v>
      </c>
      <c r="J52" s="91">
        <v>1</v>
      </c>
      <c r="K52" s="91">
        <f>SUMIFS(VENTAS[Cantidad],VENTAS[Código del producto Vendido],STOCK[[#This Row],[Code]])</f>
        <v>0</v>
      </c>
      <c r="L52" s="91">
        <f>STOCK[[#This Row],[Entradas]]-STOCK[[#This Row],[Salidas]]</f>
        <v>1</v>
      </c>
      <c r="M52" s="76">
        <f>STOCK[[#This Row],[Precio Final]]*10%</f>
        <v>2</v>
      </c>
      <c r="N52" s="76">
        <v>160</v>
      </c>
      <c r="O52" s="76">
        <v>18</v>
      </c>
      <c r="P52" s="76">
        <v>8.88888888888889</v>
      </c>
      <c r="Q52" s="91">
        <v>140</v>
      </c>
      <c r="R52" s="76">
        <v>17</v>
      </c>
      <c r="S52" s="76">
        <f>STOCK[[#This Row],[Peso (g)]]*STOCK[[#This Row],[Precio Envío Kilogramo (USD)]]/1000</f>
        <v>2.38</v>
      </c>
      <c r="T52" s="76">
        <f>STOCK[[#This Row],[Costo Unitario (USD)]]+STOCK[[#This Row],[Costo Envío (USD)]]+STOCK[[#This Row],[Comisión 10%]]</f>
        <v>13.2688888888889</v>
      </c>
      <c r="U52" s="76">
        <f>STOCK[[#This Row],[Costo total]]*1.5</f>
        <v>19.9033333333333</v>
      </c>
      <c r="V52" s="76">
        <v>20</v>
      </c>
      <c r="W52" s="76">
        <f>STOCK[[#This Row],[Precio Final]]-STOCK[[#This Row],[Costo total]]</f>
        <v>6.73111111111111</v>
      </c>
      <c r="X52" s="76">
        <f>STOCK[[#This Row],[Ganancia Unitaria]]*STOCK[[#This Row],[Salidas]]</f>
        <v>0</v>
      </c>
      <c r="AA52" s="76">
        <f>STOCK[[#This Row],[Costo total]]*STOCK[[#This Row],[Entradas]]</f>
        <v>13.2688888888889</v>
      </c>
      <c r="AB52" s="76">
        <f>STOCK[[#This Row],[Stock Actual]]*STOCK[[#This Row],[Costo total]]</f>
        <v>13.2688888888889</v>
      </c>
      <c r="AC52" s="76">
        <v>16</v>
      </c>
    </row>
    <row r="53" s="77" customFormat="1" ht="50" hidden="1" customHeight="1" spans="1:28">
      <c r="A53" s="77" t="s">
        <v>144</v>
      </c>
      <c r="B53" s="6"/>
      <c r="C53" s="77" t="s">
        <v>30</v>
      </c>
      <c r="D53" s="76" t="s">
        <v>130</v>
      </c>
      <c r="E53" s="77" t="s">
        <v>145</v>
      </c>
      <c r="F53" s="77" t="s">
        <v>146</v>
      </c>
      <c r="G53" s="77" t="s">
        <v>34</v>
      </c>
      <c r="H53" s="77">
        <f>STOCK[[#This Row],[Precio Final]]</f>
        <v>18</v>
      </c>
      <c r="I53" s="77">
        <f>STOCK[[#This Row],[Precio Venta Ideal (x1.5)]]</f>
        <v>20.53</v>
      </c>
      <c r="J53" s="92">
        <v>1</v>
      </c>
      <c r="K53" s="92">
        <f>SUMIFS(VENTAS[Cantidad],VENTAS[Código del producto Vendido],STOCK[[#This Row],[Code]])</f>
        <v>1</v>
      </c>
      <c r="L53" s="92">
        <f>STOCK[[#This Row],[Entradas]]-STOCK[[#This Row],[Salidas]]</f>
        <v>0</v>
      </c>
      <c r="M53" s="77">
        <f>STOCK[[#This Row],[Precio Final]]*10%</f>
        <v>1.8</v>
      </c>
      <c r="N53" s="77">
        <v>165</v>
      </c>
      <c r="O53" s="77">
        <v>18</v>
      </c>
      <c r="P53" s="77">
        <v>9.16666666666667</v>
      </c>
      <c r="Q53" s="92">
        <v>160</v>
      </c>
      <c r="R53" s="77">
        <v>17</v>
      </c>
      <c r="S53" s="77">
        <f>STOCK[[#This Row],[Peso (g)]]*STOCK[[#This Row],[Precio Envío Kilogramo (USD)]]/1000</f>
        <v>2.72</v>
      </c>
      <c r="T53" s="76">
        <f>STOCK[[#This Row],[Costo Unitario (USD)]]+STOCK[[#This Row],[Costo Envío (USD)]]+STOCK[[#This Row],[Comisión 10%]]</f>
        <v>13.6866666666667</v>
      </c>
      <c r="U53" s="77">
        <f>STOCK[[#This Row],[Costo total]]*1.5</f>
        <v>20.53</v>
      </c>
      <c r="V53" s="77">
        <v>18</v>
      </c>
      <c r="W53" s="77">
        <f>STOCK[[#This Row],[Precio Final]]-STOCK[[#This Row],[Costo total]]</f>
        <v>4.31333333333333</v>
      </c>
      <c r="X53" s="77">
        <f>STOCK[[#This Row],[Ganancia Unitaria]]*STOCK[[#This Row],[Salidas]]</f>
        <v>4.31333333333333</v>
      </c>
      <c r="AA53" s="77">
        <f>STOCK[[#This Row],[Costo total]]*STOCK[[#This Row],[Entradas]]</f>
        <v>13.6866666666667</v>
      </c>
      <c r="AB53" s="77">
        <f>STOCK[[#This Row],[Stock Actual]]*STOCK[[#This Row],[Costo total]]</f>
        <v>0</v>
      </c>
    </row>
    <row r="54" s="76" customFormat="1" ht="50" hidden="1" customHeight="1" spans="1:28">
      <c r="A54" s="76" t="s">
        <v>147</v>
      </c>
      <c r="B54" s="6"/>
      <c r="C54" s="76" t="s">
        <v>30</v>
      </c>
      <c r="D54" s="76" t="s">
        <v>130</v>
      </c>
      <c r="E54" s="76" t="s">
        <v>148</v>
      </c>
      <c r="F54" s="76" t="s">
        <v>149</v>
      </c>
      <c r="G54" s="76" t="s">
        <v>34</v>
      </c>
      <c r="H54" s="76">
        <f>STOCK[[#This Row],[Precio Final]]</f>
        <v>18</v>
      </c>
      <c r="I54" s="76">
        <f>STOCK[[#This Row],[Precio Venta Ideal (x1.5)]]</f>
        <v>17.3491666666667</v>
      </c>
      <c r="J54" s="91">
        <v>1</v>
      </c>
      <c r="K54" s="91">
        <f>SUMIFS(VENTAS[Cantidad],VENTAS[Código del producto Vendido],STOCK[[#This Row],[Code]])</f>
        <v>1</v>
      </c>
      <c r="L54" s="91">
        <f>STOCK[[#This Row],[Entradas]]-STOCK[[#This Row],[Salidas]]</f>
        <v>0</v>
      </c>
      <c r="M54" s="76">
        <f>STOCK[[#This Row],[Precio Final]]*10%</f>
        <v>1.8</v>
      </c>
      <c r="N54" s="76">
        <v>110</v>
      </c>
      <c r="O54" s="76">
        <v>18</v>
      </c>
      <c r="P54" s="76">
        <v>6.11111111111111</v>
      </c>
      <c r="Q54" s="91">
        <v>215</v>
      </c>
      <c r="R54" s="76">
        <v>17</v>
      </c>
      <c r="S54" s="76">
        <f>STOCK[[#This Row],[Peso (g)]]*STOCK[[#This Row],[Precio Envío Kilogramo (USD)]]/1000</f>
        <v>3.655</v>
      </c>
      <c r="T54" s="76">
        <f>STOCK[[#This Row],[Costo Unitario (USD)]]+STOCK[[#This Row],[Costo Envío (USD)]]+STOCK[[#This Row],[Comisión 10%]]</f>
        <v>11.5661111111111</v>
      </c>
      <c r="U54" s="76">
        <f>STOCK[[#This Row],[Costo total]]*1.5</f>
        <v>17.3491666666667</v>
      </c>
      <c r="V54" s="76">
        <v>18</v>
      </c>
      <c r="W54" s="76">
        <f>STOCK[[#This Row],[Precio Final]]-STOCK[[#This Row],[Costo total]]</f>
        <v>6.43388888888889</v>
      </c>
      <c r="X54" s="76">
        <f>STOCK[[#This Row],[Ganancia Unitaria]]*STOCK[[#This Row],[Salidas]]</f>
        <v>6.43388888888889</v>
      </c>
      <c r="AA54" s="76">
        <f>STOCK[[#This Row],[Costo total]]*STOCK[[#This Row],[Entradas]]</f>
        <v>11.5661111111111</v>
      </c>
      <c r="AB54" s="76">
        <f>STOCK[[#This Row],[Stock Actual]]*STOCK[[#This Row],[Costo total]]</f>
        <v>0</v>
      </c>
    </row>
    <row r="55" s="77" customFormat="1" ht="50" hidden="1" customHeight="1" spans="1:28">
      <c r="A55" s="77" t="s">
        <v>150</v>
      </c>
      <c r="B55" s="6"/>
      <c r="C55" s="77" t="s">
        <v>30</v>
      </c>
      <c r="D55" s="77" t="s">
        <v>151</v>
      </c>
      <c r="E55" s="77" t="s">
        <v>152</v>
      </c>
      <c r="F55" s="77" t="s">
        <v>47</v>
      </c>
      <c r="G55" s="77" t="s">
        <v>34</v>
      </c>
      <c r="H55" s="77">
        <f>STOCK[[#This Row],[Precio Final]]</f>
        <v>30</v>
      </c>
      <c r="I55" s="77">
        <f>STOCK[[#This Row],[Precio Venta Ideal (x1.5)]]</f>
        <v>32.53</v>
      </c>
      <c r="J55" s="92">
        <v>4</v>
      </c>
      <c r="K55" s="92">
        <f>SUMIFS(VENTAS[Cantidad],VENTAS[Código del producto Vendido],STOCK[[#This Row],[Code]])</f>
        <v>4</v>
      </c>
      <c r="L55" s="92">
        <f>STOCK[[#This Row],[Entradas]]-STOCK[[#This Row],[Salidas]]</f>
        <v>0</v>
      </c>
      <c r="M55" s="77">
        <f>STOCK[[#This Row],[Precio Final]]*10%</f>
        <v>3</v>
      </c>
      <c r="N55" s="77">
        <v>165</v>
      </c>
      <c r="O55" s="77">
        <v>18</v>
      </c>
      <c r="P55" s="77">
        <v>9.16666666666667</v>
      </c>
      <c r="Q55" s="92">
        <v>560</v>
      </c>
      <c r="R55" s="77">
        <v>17</v>
      </c>
      <c r="S55" s="77">
        <f>STOCK[[#This Row],[Peso (g)]]*STOCK[[#This Row],[Precio Envío Kilogramo (USD)]]/1000</f>
        <v>9.52</v>
      </c>
      <c r="T55" s="76">
        <f>STOCK[[#This Row],[Costo Unitario (USD)]]+STOCK[[#This Row],[Costo Envío (USD)]]+STOCK[[#This Row],[Comisión 10%]]</f>
        <v>21.6866666666667</v>
      </c>
      <c r="U55" s="77">
        <f>STOCK[[#This Row],[Costo total]]*1.5</f>
        <v>32.53</v>
      </c>
      <c r="V55" s="77">
        <v>30</v>
      </c>
      <c r="W55" s="77">
        <f>STOCK[[#This Row],[Precio Final]]-STOCK[[#This Row],[Costo total]]</f>
        <v>8.31333333333333</v>
      </c>
      <c r="X55" s="77">
        <f>STOCK[[#This Row],[Ganancia Unitaria]]*STOCK[[#This Row],[Salidas]]</f>
        <v>33.2533333333333</v>
      </c>
      <c r="AA55" s="77">
        <f>STOCK[[#This Row],[Costo total]]*STOCK[[#This Row],[Entradas]]</f>
        <v>86.7466666666667</v>
      </c>
      <c r="AB55" s="77">
        <f>STOCK[[#This Row],[Stock Actual]]*STOCK[[#This Row],[Costo total]]</f>
        <v>0</v>
      </c>
    </row>
    <row r="56" s="76" customFormat="1" ht="50" hidden="1" customHeight="1" spans="1:28">
      <c r="A56" s="76" t="s">
        <v>153</v>
      </c>
      <c r="B56" s="6"/>
      <c r="C56" s="76" t="s">
        <v>30</v>
      </c>
      <c r="D56" s="76" t="s">
        <v>154</v>
      </c>
      <c r="E56" s="76" t="s">
        <v>155</v>
      </c>
      <c r="F56" s="76" t="s">
        <v>44</v>
      </c>
      <c r="G56" s="76" t="s">
        <v>34</v>
      </c>
      <c r="H56" s="76">
        <f>STOCK[[#This Row],[Precio Final]]</f>
        <v>30</v>
      </c>
      <c r="I56" s="76">
        <f>STOCK[[#This Row],[Precio Venta Ideal (x1.5)]]</f>
        <v>32.53</v>
      </c>
      <c r="J56" s="91">
        <v>3</v>
      </c>
      <c r="K56" s="91">
        <f>SUMIFS(VENTAS[Cantidad],VENTAS[Código del producto Vendido],STOCK[[#This Row],[Code]])</f>
        <v>3</v>
      </c>
      <c r="L56" s="91">
        <f>STOCK[[#This Row],[Entradas]]-STOCK[[#This Row],[Salidas]]</f>
        <v>0</v>
      </c>
      <c r="M56" s="76">
        <f>STOCK[[#This Row],[Precio Final]]*10%</f>
        <v>3</v>
      </c>
      <c r="N56" s="76">
        <v>165</v>
      </c>
      <c r="O56" s="76">
        <v>18</v>
      </c>
      <c r="P56" s="76">
        <v>9.16666666666667</v>
      </c>
      <c r="Q56" s="91">
        <v>560</v>
      </c>
      <c r="R56" s="76">
        <v>17</v>
      </c>
      <c r="S56" s="76">
        <f>STOCK[[#This Row],[Peso (g)]]*STOCK[[#This Row],[Precio Envío Kilogramo (USD)]]/1000</f>
        <v>9.52</v>
      </c>
      <c r="T56" s="76">
        <f>STOCK[[#This Row],[Costo Unitario (USD)]]+STOCK[[#This Row],[Costo Envío (USD)]]+STOCK[[#This Row],[Comisión 10%]]</f>
        <v>21.6866666666667</v>
      </c>
      <c r="U56" s="76">
        <f>STOCK[[#This Row],[Costo total]]*1.5</f>
        <v>32.53</v>
      </c>
      <c r="V56" s="76">
        <v>30</v>
      </c>
      <c r="W56" s="76">
        <f>STOCK[[#This Row],[Precio Final]]-STOCK[[#This Row],[Costo total]]</f>
        <v>8.31333333333333</v>
      </c>
      <c r="X56" s="76">
        <f>STOCK[[#This Row],[Ganancia Unitaria]]*STOCK[[#This Row],[Salidas]]</f>
        <v>24.94</v>
      </c>
      <c r="AA56" s="76">
        <f>STOCK[[#This Row],[Costo total]]*STOCK[[#This Row],[Entradas]]</f>
        <v>65.06</v>
      </c>
      <c r="AB56" s="76">
        <f>STOCK[[#This Row],[Stock Actual]]*STOCK[[#This Row],[Costo total]]</f>
        <v>0</v>
      </c>
    </row>
    <row r="57" s="77" customFormat="1" ht="50" hidden="1" customHeight="1" spans="1:28">
      <c r="A57" s="77" t="s">
        <v>156</v>
      </c>
      <c r="B57" s="6"/>
      <c r="C57" s="77" t="s">
        <v>30</v>
      </c>
      <c r="D57" s="77" t="s">
        <v>154</v>
      </c>
      <c r="E57" s="77" t="s">
        <v>155</v>
      </c>
      <c r="F57" s="77" t="s">
        <v>47</v>
      </c>
      <c r="G57" s="77" t="s">
        <v>34</v>
      </c>
      <c r="H57" s="77">
        <f>STOCK[[#This Row],[Precio Final]]</f>
        <v>30</v>
      </c>
      <c r="I57" s="77">
        <f>STOCK[[#This Row],[Precio Venta Ideal (x1.5)]]</f>
        <v>32.53</v>
      </c>
      <c r="J57" s="92">
        <v>5</v>
      </c>
      <c r="K57" s="92">
        <f>SUMIFS(VENTAS[Cantidad],VENTAS[Código del producto Vendido],STOCK[[#This Row],[Code]])</f>
        <v>5</v>
      </c>
      <c r="L57" s="92">
        <f>STOCK[[#This Row],[Entradas]]-STOCK[[#This Row],[Salidas]]</f>
        <v>0</v>
      </c>
      <c r="M57" s="77">
        <f>STOCK[[#This Row],[Precio Final]]*10%</f>
        <v>3</v>
      </c>
      <c r="N57" s="77">
        <v>165</v>
      </c>
      <c r="O57" s="77">
        <v>18</v>
      </c>
      <c r="P57" s="77">
        <v>9.16666666666667</v>
      </c>
      <c r="Q57" s="92">
        <v>560</v>
      </c>
      <c r="R57" s="77">
        <v>17</v>
      </c>
      <c r="S57" s="77">
        <f>STOCK[[#This Row],[Peso (g)]]*STOCK[[#This Row],[Precio Envío Kilogramo (USD)]]/1000</f>
        <v>9.52</v>
      </c>
      <c r="T57" s="76">
        <f>STOCK[[#This Row],[Costo Unitario (USD)]]+STOCK[[#This Row],[Costo Envío (USD)]]+STOCK[[#This Row],[Comisión 10%]]</f>
        <v>21.6866666666667</v>
      </c>
      <c r="U57" s="77">
        <f>STOCK[[#This Row],[Costo total]]*1.5</f>
        <v>32.53</v>
      </c>
      <c r="V57" s="77">
        <v>30</v>
      </c>
      <c r="W57" s="77">
        <f>STOCK[[#This Row],[Precio Final]]-STOCK[[#This Row],[Costo total]]</f>
        <v>8.31333333333333</v>
      </c>
      <c r="X57" s="77">
        <f>STOCK[[#This Row],[Ganancia Unitaria]]*STOCK[[#This Row],[Salidas]]</f>
        <v>41.5666666666667</v>
      </c>
      <c r="AA57" s="77">
        <f>STOCK[[#This Row],[Costo total]]*STOCK[[#This Row],[Entradas]]</f>
        <v>108.433333333333</v>
      </c>
      <c r="AB57" s="77">
        <f>STOCK[[#This Row],[Stock Actual]]*STOCK[[#This Row],[Costo total]]</f>
        <v>0</v>
      </c>
    </row>
    <row r="58" s="76" customFormat="1" ht="50" hidden="1" customHeight="1" spans="1:28">
      <c r="A58" s="76" t="s">
        <v>157</v>
      </c>
      <c r="B58" s="6"/>
      <c r="C58" s="76" t="s">
        <v>30</v>
      </c>
      <c r="D58" s="76" t="s">
        <v>154</v>
      </c>
      <c r="E58" s="76" t="s">
        <v>155</v>
      </c>
      <c r="F58" s="76" t="s">
        <v>38</v>
      </c>
      <c r="G58" s="76" t="s">
        <v>34</v>
      </c>
      <c r="H58" s="76">
        <f>STOCK[[#This Row],[Precio Final]]</f>
        <v>30</v>
      </c>
      <c r="I58" s="76">
        <f>STOCK[[#This Row],[Precio Venta Ideal (x1.5)]]</f>
        <v>32.53</v>
      </c>
      <c r="J58" s="91">
        <v>3</v>
      </c>
      <c r="K58" s="91">
        <f>SUMIFS(VENTAS[Cantidad],VENTAS[Código del producto Vendido],STOCK[[#This Row],[Code]])</f>
        <v>3</v>
      </c>
      <c r="L58" s="91">
        <f>STOCK[[#This Row],[Entradas]]-STOCK[[#This Row],[Salidas]]</f>
        <v>0</v>
      </c>
      <c r="M58" s="76">
        <f>STOCK[[#This Row],[Precio Final]]*10%</f>
        <v>3</v>
      </c>
      <c r="N58" s="76">
        <v>165</v>
      </c>
      <c r="O58" s="76">
        <v>18</v>
      </c>
      <c r="P58" s="76">
        <v>9.16666666666667</v>
      </c>
      <c r="Q58" s="91">
        <v>560</v>
      </c>
      <c r="R58" s="76">
        <v>17</v>
      </c>
      <c r="S58" s="76">
        <f>STOCK[[#This Row],[Peso (g)]]*STOCK[[#This Row],[Precio Envío Kilogramo (USD)]]/1000</f>
        <v>9.52</v>
      </c>
      <c r="T58" s="76">
        <f>STOCK[[#This Row],[Costo Unitario (USD)]]+STOCK[[#This Row],[Costo Envío (USD)]]+STOCK[[#This Row],[Comisión 10%]]</f>
        <v>21.6866666666667</v>
      </c>
      <c r="U58" s="76">
        <f>STOCK[[#This Row],[Costo total]]*1.5</f>
        <v>32.53</v>
      </c>
      <c r="V58" s="76">
        <v>30</v>
      </c>
      <c r="W58" s="76">
        <f>STOCK[[#This Row],[Precio Final]]-STOCK[[#This Row],[Costo total]]</f>
        <v>8.31333333333333</v>
      </c>
      <c r="X58" s="76">
        <f>STOCK[[#This Row],[Ganancia Unitaria]]*STOCK[[#This Row],[Salidas]]</f>
        <v>24.94</v>
      </c>
      <c r="AA58" s="76">
        <f>STOCK[[#This Row],[Costo total]]*STOCK[[#This Row],[Entradas]]</f>
        <v>65.06</v>
      </c>
      <c r="AB58" s="76">
        <f>STOCK[[#This Row],[Stock Actual]]*STOCK[[#This Row],[Costo total]]</f>
        <v>0</v>
      </c>
    </row>
    <row r="59" s="77" customFormat="1" ht="50" hidden="1" customHeight="1" spans="1:28">
      <c r="A59" s="77" t="s">
        <v>158</v>
      </c>
      <c r="B59" s="6"/>
      <c r="C59" s="77" t="s">
        <v>30</v>
      </c>
      <c r="D59" s="77" t="s">
        <v>36</v>
      </c>
      <c r="E59" s="77" t="s">
        <v>72</v>
      </c>
      <c r="F59" s="77" t="s">
        <v>60</v>
      </c>
      <c r="G59" s="77" t="s">
        <v>34</v>
      </c>
      <c r="H59" s="77">
        <f>STOCK[[#This Row],[Precio Final]]</f>
        <v>25</v>
      </c>
      <c r="I59" s="77">
        <f>STOCK[[#This Row],[Precio Venta Ideal (x1.5)]]</f>
        <v>31.2133333333334</v>
      </c>
      <c r="J59" s="92">
        <v>1</v>
      </c>
      <c r="K59" s="92">
        <f>SUMIFS(VENTAS[Cantidad],VENTAS[Código del producto Vendido],STOCK[[#This Row],[Code]])</f>
        <v>1</v>
      </c>
      <c r="L59" s="92">
        <f>STOCK[[#This Row],[Entradas]]-STOCK[[#This Row],[Salidas]]</f>
        <v>0</v>
      </c>
      <c r="M59" s="77">
        <f>STOCK[[#This Row],[Precio Final]]*10%</f>
        <v>2.5</v>
      </c>
      <c r="N59" s="77">
        <v>250</v>
      </c>
      <c r="O59" s="77">
        <v>18</v>
      </c>
      <c r="P59" s="77">
        <v>13.8888888888889</v>
      </c>
      <c r="Q59" s="92">
        <v>260</v>
      </c>
      <c r="R59" s="77">
        <v>17</v>
      </c>
      <c r="S59" s="77">
        <f>STOCK[[#This Row],[Peso (g)]]*STOCK[[#This Row],[Precio Envío Kilogramo (USD)]]/1000</f>
        <v>4.42</v>
      </c>
      <c r="T59" s="76">
        <f>STOCK[[#This Row],[Costo Unitario (USD)]]+STOCK[[#This Row],[Costo Envío (USD)]]+STOCK[[#This Row],[Comisión 10%]]</f>
        <v>20.8088888888889</v>
      </c>
      <c r="U59" s="77">
        <f>STOCK[[#This Row],[Costo total]]*1.5</f>
        <v>31.2133333333334</v>
      </c>
      <c r="V59" s="77">
        <v>25</v>
      </c>
      <c r="W59" s="77">
        <f>STOCK[[#This Row],[Precio Final]]-STOCK[[#This Row],[Costo total]]</f>
        <v>4.1911111111111</v>
      </c>
      <c r="X59" s="77">
        <f>STOCK[[#This Row],[Ganancia Unitaria]]*STOCK[[#This Row],[Salidas]]</f>
        <v>4.1911111111111</v>
      </c>
      <c r="AA59" s="77">
        <f>STOCK[[#This Row],[Costo total]]*STOCK[[#This Row],[Entradas]]</f>
        <v>20.8088888888889</v>
      </c>
      <c r="AB59" s="77">
        <f>STOCK[[#This Row],[Stock Actual]]*STOCK[[#This Row],[Costo total]]</f>
        <v>0</v>
      </c>
    </row>
    <row r="60" s="76" customFormat="1" ht="50" hidden="1" customHeight="1" spans="1:28">
      <c r="A60" s="76" t="s">
        <v>159</v>
      </c>
      <c r="B60" s="6"/>
      <c r="C60" s="76" t="s">
        <v>30</v>
      </c>
      <c r="D60" s="76" t="s">
        <v>130</v>
      </c>
      <c r="E60" s="76" t="s">
        <v>160</v>
      </c>
      <c r="F60" s="76" t="s">
        <v>146</v>
      </c>
      <c r="G60" s="76" t="s">
        <v>34</v>
      </c>
      <c r="H60" s="76">
        <f>STOCK[[#This Row],[Precio Final]]</f>
        <v>18</v>
      </c>
      <c r="I60" s="76">
        <f>STOCK[[#This Row],[Precio Venta Ideal (x1.5)]]</f>
        <v>20.02</v>
      </c>
      <c r="J60" s="91">
        <v>1</v>
      </c>
      <c r="K60" s="91">
        <f>SUMIFS(VENTAS[Cantidad],VENTAS[Código del producto Vendido],STOCK[[#This Row],[Code]])</f>
        <v>1</v>
      </c>
      <c r="L60" s="91">
        <f>STOCK[[#This Row],[Entradas]]-STOCK[[#This Row],[Salidas]]</f>
        <v>0</v>
      </c>
      <c r="M60" s="76">
        <f>STOCK[[#This Row],[Precio Final]]*10%</f>
        <v>1.8</v>
      </c>
      <c r="N60" s="76">
        <v>165</v>
      </c>
      <c r="O60" s="76">
        <v>18</v>
      </c>
      <c r="P60" s="76">
        <v>9.16666666666667</v>
      </c>
      <c r="Q60" s="91">
        <v>140</v>
      </c>
      <c r="R60" s="76">
        <v>17</v>
      </c>
      <c r="S60" s="76">
        <f>STOCK[[#This Row],[Peso (g)]]*STOCK[[#This Row],[Precio Envío Kilogramo (USD)]]/1000</f>
        <v>2.38</v>
      </c>
      <c r="T60" s="76">
        <f>STOCK[[#This Row],[Costo Unitario (USD)]]+STOCK[[#This Row],[Costo Envío (USD)]]+STOCK[[#This Row],[Comisión 10%]]</f>
        <v>13.3466666666667</v>
      </c>
      <c r="U60" s="76">
        <f>STOCK[[#This Row],[Costo total]]*1.5</f>
        <v>20.02</v>
      </c>
      <c r="V60" s="76">
        <v>18</v>
      </c>
      <c r="W60" s="76">
        <f>STOCK[[#This Row],[Precio Final]]-STOCK[[#This Row],[Costo total]]</f>
        <v>4.65333333333333</v>
      </c>
      <c r="X60" s="76">
        <f>STOCK[[#This Row],[Ganancia Unitaria]]*STOCK[[#This Row],[Salidas]]</f>
        <v>4.65333333333333</v>
      </c>
      <c r="AA60" s="76">
        <f>STOCK[[#This Row],[Costo total]]*STOCK[[#This Row],[Entradas]]</f>
        <v>13.3466666666667</v>
      </c>
      <c r="AB60" s="76">
        <f>STOCK[[#This Row],[Stock Actual]]*STOCK[[#This Row],[Costo total]]</f>
        <v>0</v>
      </c>
    </row>
    <row r="61" s="77" customFormat="1" ht="50" hidden="1" customHeight="1" spans="1:28">
      <c r="A61" s="77" t="s">
        <v>161</v>
      </c>
      <c r="B61" s="6"/>
      <c r="C61" s="77" t="s">
        <v>30</v>
      </c>
      <c r="D61" s="77" t="s">
        <v>101</v>
      </c>
      <c r="E61" s="77" t="s">
        <v>162</v>
      </c>
      <c r="F61" s="77" t="s">
        <v>60</v>
      </c>
      <c r="G61" s="77" t="s">
        <v>34</v>
      </c>
      <c r="H61" s="77">
        <f>STOCK[[#This Row],[Precio Final]]</f>
        <v>20</v>
      </c>
      <c r="I61" s="77">
        <f>STOCK[[#This Row],[Precio Venta Ideal (x1.5)]]</f>
        <v>22.1141666666667</v>
      </c>
      <c r="J61" s="92">
        <v>1</v>
      </c>
      <c r="K61" s="92">
        <f>SUMIFS(VENTAS[Cantidad],VENTAS[Código del producto Vendido],STOCK[[#This Row],[Code]])</f>
        <v>1</v>
      </c>
      <c r="L61" s="92">
        <f>STOCK[[#This Row],[Entradas]]-STOCK[[#This Row],[Salidas]]</f>
        <v>0</v>
      </c>
      <c r="M61" s="77">
        <f>STOCK[[#This Row],[Precio Final]]*10%</f>
        <v>2</v>
      </c>
      <c r="N61" s="77">
        <v>185</v>
      </c>
      <c r="O61" s="77">
        <v>18</v>
      </c>
      <c r="P61" s="77">
        <v>10.2777777777778</v>
      </c>
      <c r="Q61" s="92">
        <v>145</v>
      </c>
      <c r="R61" s="77">
        <v>17</v>
      </c>
      <c r="S61" s="77">
        <f>STOCK[[#This Row],[Peso (g)]]*STOCK[[#This Row],[Precio Envío Kilogramo (USD)]]/1000</f>
        <v>2.465</v>
      </c>
      <c r="T61" s="76">
        <f>STOCK[[#This Row],[Costo Unitario (USD)]]+STOCK[[#This Row],[Costo Envío (USD)]]+STOCK[[#This Row],[Comisión 10%]]</f>
        <v>14.7427777777778</v>
      </c>
      <c r="U61" s="77">
        <f>STOCK[[#This Row],[Costo total]]*1.5</f>
        <v>22.1141666666667</v>
      </c>
      <c r="V61" s="77">
        <v>20</v>
      </c>
      <c r="W61" s="77">
        <f>STOCK[[#This Row],[Precio Final]]-STOCK[[#This Row],[Costo total]]</f>
        <v>5.2572222222222</v>
      </c>
      <c r="X61" s="77">
        <f>STOCK[[#This Row],[Ganancia Unitaria]]*STOCK[[#This Row],[Salidas]]</f>
        <v>5.2572222222222</v>
      </c>
      <c r="AA61" s="77">
        <f>STOCK[[#This Row],[Costo total]]*STOCK[[#This Row],[Entradas]]</f>
        <v>14.7427777777778</v>
      </c>
      <c r="AB61" s="77">
        <f>STOCK[[#This Row],[Stock Actual]]*STOCK[[#This Row],[Costo total]]</f>
        <v>0</v>
      </c>
    </row>
    <row r="62" s="76" customFormat="1" ht="50" hidden="1" customHeight="1" spans="1:28">
      <c r="A62" s="76" t="s">
        <v>163</v>
      </c>
      <c r="B62" s="6"/>
      <c r="C62" s="76" t="s">
        <v>30</v>
      </c>
      <c r="D62" s="76" t="s">
        <v>134</v>
      </c>
      <c r="E62" s="76" t="s">
        <v>164</v>
      </c>
      <c r="F62" s="76" t="s">
        <v>139</v>
      </c>
      <c r="G62" s="76" t="s">
        <v>34</v>
      </c>
      <c r="H62" s="76">
        <f>STOCK[[#This Row],[Precio Final]]</f>
        <v>20</v>
      </c>
      <c r="I62" s="76">
        <f>STOCK[[#This Row],[Precio Venta Ideal (x1.5)]]</f>
        <v>21.6633333333333</v>
      </c>
      <c r="J62" s="91">
        <v>1</v>
      </c>
      <c r="K62" s="91">
        <f>SUMIFS(VENTAS[Cantidad],VENTAS[Código del producto Vendido],STOCK[[#This Row],[Code]])</f>
        <v>1</v>
      </c>
      <c r="L62" s="91">
        <f>STOCK[[#This Row],[Entradas]]-STOCK[[#This Row],[Salidas]]</f>
        <v>0</v>
      </c>
      <c r="M62" s="76">
        <f>STOCK[[#This Row],[Precio Final]]*10%</f>
        <v>2</v>
      </c>
      <c r="N62" s="76">
        <v>175</v>
      </c>
      <c r="O62" s="76">
        <v>18</v>
      </c>
      <c r="P62" s="76">
        <v>9.72222222222222</v>
      </c>
      <c r="Q62" s="91">
        <v>160</v>
      </c>
      <c r="R62" s="76">
        <v>17</v>
      </c>
      <c r="S62" s="76">
        <f>STOCK[[#This Row],[Peso (g)]]*STOCK[[#This Row],[Precio Envío Kilogramo (USD)]]/1000</f>
        <v>2.72</v>
      </c>
      <c r="T62" s="76">
        <f>STOCK[[#This Row],[Costo Unitario (USD)]]+STOCK[[#This Row],[Costo Envío (USD)]]+STOCK[[#This Row],[Comisión 10%]]</f>
        <v>14.4422222222222</v>
      </c>
      <c r="U62" s="76">
        <f>STOCK[[#This Row],[Costo total]]*1.5</f>
        <v>21.6633333333333</v>
      </c>
      <c r="V62" s="76">
        <v>20</v>
      </c>
      <c r="W62" s="76">
        <f>STOCK[[#This Row],[Precio Final]]-STOCK[[#This Row],[Costo total]]</f>
        <v>5.55777777777778</v>
      </c>
      <c r="X62" s="76">
        <f>STOCK[[#This Row],[Ganancia Unitaria]]*STOCK[[#This Row],[Salidas]]</f>
        <v>5.55777777777778</v>
      </c>
      <c r="AA62" s="76">
        <f>STOCK[[#This Row],[Costo total]]*STOCK[[#This Row],[Entradas]]</f>
        <v>14.4422222222222</v>
      </c>
      <c r="AB62" s="76">
        <f>STOCK[[#This Row],[Stock Actual]]*STOCK[[#This Row],[Costo total]]</f>
        <v>0</v>
      </c>
    </row>
    <row r="63" s="77" customFormat="1" ht="50" hidden="1" customHeight="1" spans="1:28">
      <c r="A63" s="77" t="s">
        <v>165</v>
      </c>
      <c r="B63" s="6"/>
      <c r="C63" s="77" t="s">
        <v>30</v>
      </c>
      <c r="D63" s="77" t="s">
        <v>42</v>
      </c>
      <c r="E63" s="77" t="s">
        <v>166</v>
      </c>
      <c r="F63" s="77" t="s">
        <v>60</v>
      </c>
      <c r="G63" s="77" t="s">
        <v>34</v>
      </c>
      <c r="H63" s="77">
        <f>STOCK[[#This Row],[Precio Final]]</f>
        <v>25</v>
      </c>
      <c r="I63" s="77">
        <f>STOCK[[#This Row],[Precio Venta Ideal (x1.5)]]</f>
        <v>29.7333333333333</v>
      </c>
      <c r="J63" s="92">
        <v>1</v>
      </c>
      <c r="K63" s="92">
        <f>SUMIFS(VENTAS[Cantidad],VENTAS[Código del producto Vendido],STOCK[[#This Row],[Code]])</f>
        <v>1</v>
      </c>
      <c r="L63" s="92">
        <f>STOCK[[#This Row],[Entradas]]-STOCK[[#This Row],[Salidas]]</f>
        <v>0</v>
      </c>
      <c r="M63" s="77">
        <f>STOCK[[#This Row],[Precio Final]]*10%</f>
        <v>2.5</v>
      </c>
      <c r="N63" s="77">
        <v>265</v>
      </c>
      <c r="O63" s="77">
        <v>18</v>
      </c>
      <c r="P63" s="77">
        <v>14.7222222222222</v>
      </c>
      <c r="Q63" s="92">
        <v>325</v>
      </c>
      <c r="R63" s="77">
        <v>8</v>
      </c>
      <c r="S63" s="77">
        <f>STOCK[[#This Row],[Peso (g)]]*STOCK[[#This Row],[Precio Envío Kilogramo (USD)]]/1000</f>
        <v>2.6</v>
      </c>
      <c r="T63" s="76">
        <f>STOCK[[#This Row],[Costo Unitario (USD)]]+STOCK[[#This Row],[Costo Envío (USD)]]+STOCK[[#This Row],[Comisión 10%]]</f>
        <v>19.8222222222222</v>
      </c>
      <c r="U63" s="77">
        <f>STOCK[[#This Row],[Costo total]]*1.5</f>
        <v>29.7333333333333</v>
      </c>
      <c r="V63" s="77">
        <v>25</v>
      </c>
      <c r="W63" s="77">
        <f>STOCK[[#This Row],[Precio Final]]-STOCK[[#This Row],[Costo total]]</f>
        <v>5.1777777777778</v>
      </c>
      <c r="X63" s="77">
        <f>STOCK[[#This Row],[Ganancia Unitaria]]*STOCK[[#This Row],[Salidas]]</f>
        <v>5.1777777777778</v>
      </c>
      <c r="Y63" s="77" t="s">
        <v>167</v>
      </c>
      <c r="AA63" s="77">
        <f>STOCK[[#This Row],[Costo total]]*STOCK[[#This Row],[Entradas]]</f>
        <v>19.8222222222222</v>
      </c>
      <c r="AB63" s="77">
        <f>STOCK[[#This Row],[Stock Actual]]*STOCK[[#This Row],[Costo total]]</f>
        <v>0</v>
      </c>
    </row>
    <row r="64" s="76" customFormat="1" ht="50" hidden="1" customHeight="1" spans="1:28">
      <c r="A64" s="76" t="s">
        <v>168</v>
      </c>
      <c r="B64" s="6"/>
      <c r="C64" s="76" t="s">
        <v>30</v>
      </c>
      <c r="D64" s="76" t="s">
        <v>42</v>
      </c>
      <c r="E64" s="76" t="s">
        <v>169</v>
      </c>
      <c r="F64" s="76" t="s">
        <v>60</v>
      </c>
      <c r="G64" s="76" t="s">
        <v>34</v>
      </c>
      <c r="H64" s="76">
        <f>STOCK[[#This Row],[Precio Final]]</f>
        <v>30</v>
      </c>
      <c r="I64" s="76">
        <f>STOCK[[#This Row],[Precio Venta Ideal (x1.5)]]</f>
        <v>35.7833333333334</v>
      </c>
      <c r="J64" s="91">
        <v>1</v>
      </c>
      <c r="K64" s="91">
        <f>SUMIFS(VENTAS[Cantidad],VENTAS[Código del producto Vendido],STOCK[[#This Row],[Code]])</f>
        <v>1</v>
      </c>
      <c r="L64" s="91">
        <f>STOCK[[#This Row],[Entradas]]-STOCK[[#This Row],[Salidas]]</f>
        <v>0</v>
      </c>
      <c r="M64" s="76">
        <f>STOCK[[#This Row],[Precio Final]]*10%</f>
        <v>3</v>
      </c>
      <c r="N64" s="76">
        <v>325</v>
      </c>
      <c r="O64" s="76">
        <v>18</v>
      </c>
      <c r="P64" s="76">
        <v>18.0555555555556</v>
      </c>
      <c r="Q64" s="91">
        <v>350</v>
      </c>
      <c r="R64" s="76">
        <v>8</v>
      </c>
      <c r="S64" s="76">
        <f>STOCK[[#This Row],[Peso (g)]]*STOCK[[#This Row],[Precio Envío Kilogramo (USD)]]/1000</f>
        <v>2.8</v>
      </c>
      <c r="T64" s="76">
        <f>STOCK[[#This Row],[Costo Unitario (USD)]]+STOCK[[#This Row],[Costo Envío (USD)]]+STOCK[[#This Row],[Comisión 10%]]</f>
        <v>23.8555555555556</v>
      </c>
      <c r="U64" s="76">
        <f>STOCK[[#This Row],[Costo total]]*1.5</f>
        <v>35.7833333333334</v>
      </c>
      <c r="V64" s="76">
        <v>30</v>
      </c>
      <c r="W64" s="76">
        <f>STOCK[[#This Row],[Precio Final]]-STOCK[[#This Row],[Costo total]]</f>
        <v>6.1444444444444</v>
      </c>
      <c r="X64" s="76">
        <f>STOCK[[#This Row],[Ganancia Unitaria]]*STOCK[[#This Row],[Salidas]]</f>
        <v>6.1444444444444</v>
      </c>
      <c r="Y64" s="76" t="s">
        <v>167</v>
      </c>
      <c r="AA64" s="76">
        <f>STOCK[[#This Row],[Costo total]]*STOCK[[#This Row],[Entradas]]</f>
        <v>23.8555555555556</v>
      </c>
      <c r="AB64" s="76">
        <f>STOCK[[#This Row],[Stock Actual]]*STOCK[[#This Row],[Costo total]]</f>
        <v>0</v>
      </c>
    </row>
    <row r="65" s="77" customFormat="1" ht="50" hidden="1" customHeight="1" spans="1:28">
      <c r="A65" s="77" t="s">
        <v>170</v>
      </c>
      <c r="B65" s="6"/>
      <c r="C65" s="77" t="s">
        <v>30</v>
      </c>
      <c r="D65" s="77" t="s">
        <v>42</v>
      </c>
      <c r="E65" s="77" t="s">
        <v>171</v>
      </c>
      <c r="F65" s="77" t="s">
        <v>60</v>
      </c>
      <c r="G65" s="77" t="s">
        <v>34</v>
      </c>
      <c r="H65" s="77">
        <f>STOCK[[#This Row],[Precio Final]]</f>
        <v>30</v>
      </c>
      <c r="I65" s="77">
        <f>STOCK[[#This Row],[Precio Venta Ideal (x1.5)]]</f>
        <v>30.9</v>
      </c>
      <c r="J65" s="92">
        <v>1</v>
      </c>
      <c r="K65" s="92">
        <f>SUMIFS(VENTAS[Cantidad],VENTAS[Código del producto Vendido],STOCK[[#This Row],[Code]])</f>
        <v>1</v>
      </c>
      <c r="L65" s="92">
        <f>STOCK[[#This Row],[Entradas]]-STOCK[[#This Row],[Salidas]]</f>
        <v>0</v>
      </c>
      <c r="M65" s="77">
        <f>STOCK[[#This Row],[Precio Final]]*10%</f>
        <v>3</v>
      </c>
      <c r="N65" s="77">
        <v>270</v>
      </c>
      <c r="O65" s="77">
        <v>18</v>
      </c>
      <c r="P65" s="77">
        <v>15</v>
      </c>
      <c r="Q65" s="92">
        <v>325</v>
      </c>
      <c r="R65" s="77">
        <v>8</v>
      </c>
      <c r="S65" s="77">
        <f>STOCK[[#This Row],[Peso (g)]]*STOCK[[#This Row],[Precio Envío Kilogramo (USD)]]/1000</f>
        <v>2.6</v>
      </c>
      <c r="T65" s="76">
        <f>STOCK[[#This Row],[Costo Unitario (USD)]]+STOCK[[#This Row],[Costo Envío (USD)]]+STOCK[[#This Row],[Comisión 10%]]</f>
        <v>20.6</v>
      </c>
      <c r="U65" s="77">
        <f>STOCK[[#This Row],[Costo total]]*1.5</f>
        <v>30.9</v>
      </c>
      <c r="V65" s="77">
        <v>30</v>
      </c>
      <c r="W65" s="77">
        <f>STOCK[[#This Row],[Precio Final]]-STOCK[[#This Row],[Costo total]]</f>
        <v>9.4</v>
      </c>
      <c r="X65" s="77">
        <f>STOCK[[#This Row],[Ganancia Unitaria]]*STOCK[[#This Row],[Salidas]]</f>
        <v>9.4</v>
      </c>
      <c r="Y65" s="77" t="s">
        <v>167</v>
      </c>
      <c r="AA65" s="77">
        <f>STOCK[[#This Row],[Costo total]]*STOCK[[#This Row],[Entradas]]</f>
        <v>20.6</v>
      </c>
      <c r="AB65" s="77">
        <f>STOCK[[#This Row],[Stock Actual]]*STOCK[[#This Row],[Costo total]]</f>
        <v>0</v>
      </c>
    </row>
    <row r="66" s="76" customFormat="1" ht="50" hidden="1" customHeight="1" spans="1:28">
      <c r="A66" s="76" t="s">
        <v>172</v>
      </c>
      <c r="B66" s="6"/>
      <c r="C66" s="76" t="s">
        <v>30</v>
      </c>
      <c r="D66" s="76" t="s">
        <v>173</v>
      </c>
      <c r="E66" s="76" t="s">
        <v>174</v>
      </c>
      <c r="F66" s="76" t="s">
        <v>47</v>
      </c>
      <c r="G66" s="76" t="s">
        <v>34</v>
      </c>
      <c r="H66" s="76">
        <f>STOCK[[#This Row],[Precio Final]]</f>
        <v>12</v>
      </c>
      <c r="I66" s="76">
        <f>STOCK[[#This Row],[Precio Venta Ideal (x1.5)]]</f>
        <v>12.13</v>
      </c>
      <c r="J66" s="91">
        <v>1</v>
      </c>
      <c r="K66" s="91">
        <f>SUMIFS(VENTAS[Cantidad],VENTAS[Código del producto Vendido],STOCK[[#This Row],[Code]])</f>
        <v>1</v>
      </c>
      <c r="L66" s="91">
        <f>STOCK[[#This Row],[Entradas]]-STOCK[[#This Row],[Salidas]]</f>
        <v>0</v>
      </c>
      <c r="M66" s="76">
        <f>STOCK[[#This Row],[Precio Final]]*10%</f>
        <v>1.2</v>
      </c>
      <c r="N66" s="76">
        <v>111</v>
      </c>
      <c r="O66" s="76">
        <v>18</v>
      </c>
      <c r="P66" s="76">
        <v>6.16666666666667</v>
      </c>
      <c r="Q66" s="91">
        <v>90</v>
      </c>
      <c r="R66" s="76">
        <v>8</v>
      </c>
      <c r="S66" s="76">
        <f>STOCK[[#This Row],[Peso (g)]]*STOCK[[#This Row],[Precio Envío Kilogramo (USD)]]/1000</f>
        <v>0.72</v>
      </c>
      <c r="T66" s="76">
        <f>STOCK[[#This Row],[Costo Unitario (USD)]]+STOCK[[#This Row],[Costo Envío (USD)]]+STOCK[[#This Row],[Comisión 10%]]</f>
        <v>8.08666666666667</v>
      </c>
      <c r="U66" s="76">
        <f>STOCK[[#This Row],[Costo total]]*1.5</f>
        <v>12.13</v>
      </c>
      <c r="V66" s="76">
        <v>12</v>
      </c>
      <c r="W66" s="76">
        <f>STOCK[[#This Row],[Precio Final]]-STOCK[[#This Row],[Costo total]]</f>
        <v>3.91333333333333</v>
      </c>
      <c r="X66" s="76">
        <f>STOCK[[#This Row],[Ganancia Unitaria]]*STOCK[[#This Row],[Salidas]]</f>
        <v>3.91333333333333</v>
      </c>
      <c r="Y66" s="76" t="s">
        <v>167</v>
      </c>
      <c r="AA66" s="76">
        <f>STOCK[[#This Row],[Costo total]]*STOCK[[#This Row],[Entradas]]</f>
        <v>8.08666666666667</v>
      </c>
      <c r="AB66" s="76">
        <f>STOCK[[#This Row],[Stock Actual]]*STOCK[[#This Row],[Costo total]]</f>
        <v>0</v>
      </c>
    </row>
    <row r="67" s="77" customFormat="1" ht="50" hidden="1" customHeight="1" spans="1:28">
      <c r="A67" s="77" t="s">
        <v>175</v>
      </c>
      <c r="B67" s="6"/>
      <c r="C67" s="77" t="s">
        <v>30</v>
      </c>
      <c r="D67" s="77" t="s">
        <v>42</v>
      </c>
      <c r="E67" s="77" t="s">
        <v>176</v>
      </c>
      <c r="F67" s="77" t="s">
        <v>60</v>
      </c>
      <c r="G67" s="77" t="s">
        <v>34</v>
      </c>
      <c r="H67" s="77">
        <f>STOCK[[#This Row],[Precio Final]]</f>
        <v>28</v>
      </c>
      <c r="I67" s="77">
        <f>STOCK[[#This Row],[Precio Venta Ideal (x1.5)]]</f>
        <v>29.3533333333333</v>
      </c>
      <c r="J67" s="92">
        <v>1</v>
      </c>
      <c r="K67" s="92">
        <f>SUMIFS(VENTAS[Cantidad],VENTAS[Código del producto Vendido],STOCK[[#This Row],[Code]])</f>
        <v>1</v>
      </c>
      <c r="L67" s="92">
        <f>STOCK[[#This Row],[Entradas]]-STOCK[[#This Row],[Salidas]]</f>
        <v>0</v>
      </c>
      <c r="M67" s="77">
        <f>STOCK[[#This Row],[Precio Final]]*10%</f>
        <v>2.8</v>
      </c>
      <c r="N67" s="77">
        <v>250</v>
      </c>
      <c r="O67" s="77">
        <v>18</v>
      </c>
      <c r="P67" s="77">
        <v>13.8888888888889</v>
      </c>
      <c r="Q67" s="92">
        <v>360</v>
      </c>
      <c r="R67" s="77">
        <v>8</v>
      </c>
      <c r="S67" s="77">
        <f>STOCK[[#This Row],[Peso (g)]]*STOCK[[#This Row],[Precio Envío Kilogramo (USD)]]/1000</f>
        <v>2.88</v>
      </c>
      <c r="T67" s="76">
        <f>STOCK[[#This Row],[Costo Unitario (USD)]]+STOCK[[#This Row],[Costo Envío (USD)]]+STOCK[[#This Row],[Comisión 10%]]</f>
        <v>19.5688888888889</v>
      </c>
      <c r="U67" s="77">
        <f>STOCK[[#This Row],[Costo total]]*1.5</f>
        <v>29.3533333333333</v>
      </c>
      <c r="V67" s="77">
        <v>28</v>
      </c>
      <c r="W67" s="77">
        <f>STOCK[[#This Row],[Precio Final]]-STOCK[[#This Row],[Costo total]]</f>
        <v>8.4311111111111</v>
      </c>
      <c r="X67" s="77">
        <f>STOCK[[#This Row],[Ganancia Unitaria]]*STOCK[[#This Row],[Salidas]]</f>
        <v>8.4311111111111</v>
      </c>
      <c r="Y67" s="77" t="s">
        <v>167</v>
      </c>
      <c r="AA67" s="77">
        <f>STOCK[[#This Row],[Costo total]]*STOCK[[#This Row],[Entradas]]</f>
        <v>19.5688888888889</v>
      </c>
      <c r="AB67" s="77">
        <f>STOCK[[#This Row],[Stock Actual]]*STOCK[[#This Row],[Costo total]]</f>
        <v>0</v>
      </c>
    </row>
    <row r="68" s="76" customFormat="1" ht="50" hidden="1" customHeight="1" spans="1:28">
      <c r="A68" s="76" t="s">
        <v>177</v>
      </c>
      <c r="B68" s="6"/>
      <c r="C68" s="76" t="s">
        <v>30</v>
      </c>
      <c r="D68" s="76" t="s">
        <v>42</v>
      </c>
      <c r="E68" s="76" t="s">
        <v>178</v>
      </c>
      <c r="F68" s="76" t="s">
        <v>47</v>
      </c>
      <c r="G68" s="76" t="s">
        <v>34</v>
      </c>
      <c r="H68" s="76">
        <f>STOCK[[#This Row],[Precio Final]]</f>
        <v>28</v>
      </c>
      <c r="I68" s="76">
        <f>STOCK[[#This Row],[Precio Venta Ideal (x1.5)]]</f>
        <v>29.3533333333333</v>
      </c>
      <c r="J68" s="91">
        <v>1</v>
      </c>
      <c r="K68" s="91">
        <f>SUMIFS(VENTAS[Cantidad],VENTAS[Código del producto Vendido],STOCK[[#This Row],[Code]])</f>
        <v>1</v>
      </c>
      <c r="L68" s="91">
        <f>STOCK[[#This Row],[Entradas]]-STOCK[[#This Row],[Salidas]]</f>
        <v>0</v>
      </c>
      <c r="M68" s="76">
        <f>STOCK[[#This Row],[Precio Final]]*10%</f>
        <v>2.8</v>
      </c>
      <c r="N68" s="76">
        <v>250</v>
      </c>
      <c r="O68" s="76">
        <v>18</v>
      </c>
      <c r="P68" s="76">
        <v>13.8888888888889</v>
      </c>
      <c r="Q68" s="91">
        <v>360</v>
      </c>
      <c r="R68" s="76">
        <v>8</v>
      </c>
      <c r="S68" s="76">
        <f>STOCK[[#This Row],[Peso (g)]]*STOCK[[#This Row],[Precio Envío Kilogramo (USD)]]/1000</f>
        <v>2.88</v>
      </c>
      <c r="T68" s="76">
        <f>STOCK[[#This Row],[Costo Unitario (USD)]]+STOCK[[#This Row],[Costo Envío (USD)]]+STOCK[[#This Row],[Comisión 10%]]</f>
        <v>19.5688888888889</v>
      </c>
      <c r="U68" s="76">
        <f>STOCK[[#This Row],[Costo total]]*1.5</f>
        <v>29.3533333333333</v>
      </c>
      <c r="V68" s="76">
        <v>28</v>
      </c>
      <c r="W68" s="76">
        <f>STOCK[[#This Row],[Precio Final]]-STOCK[[#This Row],[Costo total]]</f>
        <v>8.4311111111111</v>
      </c>
      <c r="X68" s="76">
        <f>STOCK[[#This Row],[Ganancia Unitaria]]*STOCK[[#This Row],[Salidas]]</f>
        <v>8.4311111111111</v>
      </c>
      <c r="Y68" s="76" t="s">
        <v>167</v>
      </c>
      <c r="AA68" s="76">
        <f>STOCK[[#This Row],[Costo total]]*STOCK[[#This Row],[Entradas]]</f>
        <v>19.5688888888889</v>
      </c>
      <c r="AB68" s="76">
        <f>STOCK[[#This Row],[Stock Actual]]*STOCK[[#This Row],[Costo total]]</f>
        <v>0</v>
      </c>
    </row>
    <row r="69" s="77" customFormat="1" ht="50" hidden="1" customHeight="1" spans="1:28">
      <c r="A69" s="77" t="s">
        <v>179</v>
      </c>
      <c r="B69" s="6"/>
      <c r="C69" s="77" t="s">
        <v>30</v>
      </c>
      <c r="D69" s="77" t="s">
        <v>173</v>
      </c>
      <c r="E69" s="77" t="s">
        <v>180</v>
      </c>
      <c r="F69" s="77" t="s">
        <v>38</v>
      </c>
      <c r="G69" s="77" t="s">
        <v>34</v>
      </c>
      <c r="H69" s="77">
        <f>STOCK[[#This Row],[Precio Final]]</f>
        <v>14</v>
      </c>
      <c r="I69" s="77">
        <f>STOCK[[#This Row],[Precio Venta Ideal (x1.5)]]</f>
        <v>15.3866666666667</v>
      </c>
      <c r="J69" s="92">
        <v>1</v>
      </c>
      <c r="K69" s="92">
        <f>SUMIFS(VENTAS[Cantidad],VENTAS[Código del producto Vendido],STOCK[[#This Row],[Code]])</f>
        <v>1</v>
      </c>
      <c r="L69" s="92">
        <f>STOCK[[#This Row],[Entradas]]-STOCK[[#This Row],[Salidas]]</f>
        <v>0</v>
      </c>
      <c r="M69" s="77">
        <f>STOCK[[#This Row],[Precio Final]]*10%</f>
        <v>1.4</v>
      </c>
      <c r="N69" s="77">
        <v>140</v>
      </c>
      <c r="O69" s="77">
        <v>18</v>
      </c>
      <c r="P69" s="77">
        <v>7.77777777777778</v>
      </c>
      <c r="Q69" s="92">
        <v>135</v>
      </c>
      <c r="R69" s="77">
        <v>8</v>
      </c>
      <c r="S69" s="77">
        <f>STOCK[[#This Row],[Peso (g)]]*STOCK[[#This Row],[Precio Envío Kilogramo (USD)]]/1000</f>
        <v>1.08</v>
      </c>
      <c r="T69" s="76">
        <f>STOCK[[#This Row],[Costo Unitario (USD)]]+STOCK[[#This Row],[Costo Envío (USD)]]+STOCK[[#This Row],[Comisión 10%]]</f>
        <v>10.2577777777778</v>
      </c>
      <c r="U69" s="77">
        <f>STOCK[[#This Row],[Costo total]]*1.5</f>
        <v>15.3866666666667</v>
      </c>
      <c r="V69" s="77">
        <v>14</v>
      </c>
      <c r="W69" s="77">
        <f>STOCK[[#This Row],[Precio Final]]-STOCK[[#This Row],[Costo total]]</f>
        <v>3.74222222222222</v>
      </c>
      <c r="X69" s="77">
        <f>STOCK[[#This Row],[Ganancia Unitaria]]*STOCK[[#This Row],[Salidas]]</f>
        <v>3.74222222222222</v>
      </c>
      <c r="Y69" s="77" t="s">
        <v>167</v>
      </c>
      <c r="AA69" s="77">
        <f>STOCK[[#This Row],[Costo total]]*STOCK[[#This Row],[Entradas]]</f>
        <v>10.2577777777778</v>
      </c>
      <c r="AB69" s="77">
        <f>STOCK[[#This Row],[Stock Actual]]*STOCK[[#This Row],[Costo total]]</f>
        <v>0</v>
      </c>
    </row>
    <row r="70" s="76" customFormat="1" ht="50" hidden="1" customHeight="1" spans="1:28">
      <c r="A70" s="76" t="s">
        <v>181</v>
      </c>
      <c r="B70" s="6"/>
      <c r="C70" s="76" t="s">
        <v>30</v>
      </c>
      <c r="D70" s="76" t="s">
        <v>173</v>
      </c>
      <c r="E70" s="76" t="s">
        <v>180</v>
      </c>
      <c r="F70" s="76" t="s">
        <v>47</v>
      </c>
      <c r="G70" s="76" t="s">
        <v>34</v>
      </c>
      <c r="H70" s="76">
        <f>STOCK[[#This Row],[Precio Final]]</f>
        <v>14</v>
      </c>
      <c r="I70" s="76">
        <f>STOCK[[#This Row],[Precio Venta Ideal (x1.5)]]</f>
        <v>15.4466666666667</v>
      </c>
      <c r="J70" s="91">
        <v>1</v>
      </c>
      <c r="K70" s="91">
        <f>SUMIFS(VENTAS[Cantidad],VENTAS[Código del producto Vendido],STOCK[[#This Row],[Code]])</f>
        <v>1</v>
      </c>
      <c r="L70" s="91">
        <f>STOCK[[#This Row],[Entradas]]-STOCK[[#This Row],[Salidas]]</f>
        <v>0</v>
      </c>
      <c r="M70" s="76">
        <f>STOCK[[#This Row],[Precio Final]]*10%</f>
        <v>1.4</v>
      </c>
      <c r="N70" s="76">
        <v>140</v>
      </c>
      <c r="O70" s="76">
        <v>18</v>
      </c>
      <c r="P70" s="76">
        <v>7.77777777777778</v>
      </c>
      <c r="Q70" s="91">
        <v>140</v>
      </c>
      <c r="R70" s="76">
        <v>8</v>
      </c>
      <c r="S70" s="76">
        <f>STOCK[[#This Row],[Peso (g)]]*STOCK[[#This Row],[Precio Envío Kilogramo (USD)]]/1000</f>
        <v>1.12</v>
      </c>
      <c r="T70" s="76">
        <f>STOCK[[#This Row],[Costo Unitario (USD)]]+STOCK[[#This Row],[Costo Envío (USD)]]+STOCK[[#This Row],[Comisión 10%]]</f>
        <v>10.2977777777778</v>
      </c>
      <c r="U70" s="76">
        <f>STOCK[[#This Row],[Costo total]]*1.5</f>
        <v>15.4466666666667</v>
      </c>
      <c r="V70" s="76">
        <v>14</v>
      </c>
      <c r="W70" s="76">
        <f>STOCK[[#This Row],[Precio Final]]-STOCK[[#This Row],[Costo total]]</f>
        <v>3.70222222222222</v>
      </c>
      <c r="X70" s="76">
        <f>STOCK[[#This Row],[Ganancia Unitaria]]*STOCK[[#This Row],[Salidas]]</f>
        <v>3.70222222222222</v>
      </c>
      <c r="Y70" s="76" t="s">
        <v>167</v>
      </c>
      <c r="AA70" s="76">
        <f>STOCK[[#This Row],[Costo total]]*STOCK[[#This Row],[Entradas]]</f>
        <v>10.2977777777778</v>
      </c>
      <c r="AB70" s="76">
        <f>STOCK[[#This Row],[Stock Actual]]*STOCK[[#This Row],[Costo total]]</f>
        <v>0</v>
      </c>
    </row>
    <row r="71" s="77" customFormat="1" ht="50" hidden="1" customHeight="1" spans="1:28">
      <c r="A71" s="77" t="s">
        <v>182</v>
      </c>
      <c r="B71" s="6"/>
      <c r="C71" s="77" t="s">
        <v>30</v>
      </c>
      <c r="D71" s="77" t="s">
        <v>173</v>
      </c>
      <c r="E71" s="77" t="s">
        <v>183</v>
      </c>
      <c r="F71" s="77" t="s">
        <v>44</v>
      </c>
      <c r="G71" s="77" t="s">
        <v>34</v>
      </c>
      <c r="H71" s="77">
        <f>STOCK[[#This Row],[Precio Final]]</f>
        <v>14</v>
      </c>
      <c r="I71" s="77">
        <f>STOCK[[#This Row],[Precio Venta Ideal (x1.5)]]</f>
        <v>15.3866666666667</v>
      </c>
      <c r="J71" s="92">
        <v>1</v>
      </c>
      <c r="K71" s="92">
        <f>SUMIFS(VENTAS[Cantidad],VENTAS[Código del producto Vendido],STOCK[[#This Row],[Code]])</f>
        <v>1</v>
      </c>
      <c r="L71" s="92">
        <f>STOCK[[#This Row],[Entradas]]-STOCK[[#This Row],[Salidas]]</f>
        <v>0</v>
      </c>
      <c r="M71" s="77">
        <f>STOCK[[#This Row],[Precio Final]]*10%</f>
        <v>1.4</v>
      </c>
      <c r="N71" s="77">
        <v>140</v>
      </c>
      <c r="O71" s="77">
        <v>18</v>
      </c>
      <c r="P71" s="77">
        <v>7.77777777777778</v>
      </c>
      <c r="Q71" s="92">
        <v>135</v>
      </c>
      <c r="R71" s="77">
        <v>8</v>
      </c>
      <c r="S71" s="77">
        <f>STOCK[[#This Row],[Peso (g)]]*STOCK[[#This Row],[Precio Envío Kilogramo (USD)]]/1000</f>
        <v>1.08</v>
      </c>
      <c r="T71" s="76">
        <f>STOCK[[#This Row],[Costo Unitario (USD)]]+STOCK[[#This Row],[Costo Envío (USD)]]+STOCK[[#This Row],[Comisión 10%]]</f>
        <v>10.2577777777778</v>
      </c>
      <c r="U71" s="77">
        <f>STOCK[[#This Row],[Costo total]]*1.5</f>
        <v>15.3866666666667</v>
      </c>
      <c r="V71" s="77">
        <v>14</v>
      </c>
      <c r="W71" s="77">
        <f>STOCK[[#This Row],[Precio Final]]-STOCK[[#This Row],[Costo total]]</f>
        <v>3.74222222222222</v>
      </c>
      <c r="X71" s="77">
        <f>STOCK[[#This Row],[Ganancia Unitaria]]*STOCK[[#This Row],[Salidas]]</f>
        <v>3.74222222222222</v>
      </c>
      <c r="Y71" s="77" t="s">
        <v>167</v>
      </c>
      <c r="AA71" s="77">
        <f>STOCK[[#This Row],[Costo total]]*STOCK[[#This Row],[Entradas]]</f>
        <v>10.2577777777778</v>
      </c>
      <c r="AB71" s="77">
        <f>STOCK[[#This Row],[Stock Actual]]*STOCK[[#This Row],[Costo total]]</f>
        <v>0</v>
      </c>
    </row>
    <row r="72" s="76" customFormat="1" ht="50" hidden="1" customHeight="1" spans="1:28">
      <c r="A72" s="76" t="s">
        <v>184</v>
      </c>
      <c r="B72" s="6"/>
      <c r="C72" s="76" t="s">
        <v>30</v>
      </c>
      <c r="D72" s="76" t="s">
        <v>173</v>
      </c>
      <c r="E72" s="76" t="s">
        <v>185</v>
      </c>
      <c r="F72" s="76" t="s">
        <v>186</v>
      </c>
      <c r="G72" s="76" t="s">
        <v>34</v>
      </c>
      <c r="H72" s="76">
        <f>STOCK[[#This Row],[Precio Final]]</f>
        <v>12</v>
      </c>
      <c r="I72" s="76">
        <f>STOCK[[#This Row],[Precio Venta Ideal (x1.5)]]</f>
        <v>14.7866666666667</v>
      </c>
      <c r="J72" s="91">
        <v>1</v>
      </c>
      <c r="K72" s="91">
        <f>SUMIFS(VENTAS[Cantidad],VENTAS[Código del producto Vendido],STOCK[[#This Row],[Code]])</f>
        <v>1</v>
      </c>
      <c r="L72" s="91">
        <f>STOCK[[#This Row],[Entradas]]-STOCK[[#This Row],[Salidas]]</f>
        <v>0</v>
      </c>
      <c r="M72" s="76">
        <f>STOCK[[#This Row],[Precio Final]]*10%</f>
        <v>1.2</v>
      </c>
      <c r="N72" s="76">
        <v>140</v>
      </c>
      <c r="O72" s="76">
        <v>18</v>
      </c>
      <c r="P72" s="76">
        <v>7.77777777777778</v>
      </c>
      <c r="Q72" s="91">
        <v>110</v>
      </c>
      <c r="R72" s="76">
        <v>8</v>
      </c>
      <c r="S72" s="76">
        <f>STOCK[[#This Row],[Peso (g)]]*STOCK[[#This Row],[Precio Envío Kilogramo (USD)]]/1000</f>
        <v>0.88</v>
      </c>
      <c r="T72" s="76">
        <f>STOCK[[#This Row],[Costo Unitario (USD)]]+STOCK[[#This Row],[Costo Envío (USD)]]+STOCK[[#This Row],[Comisión 10%]]</f>
        <v>9.85777777777778</v>
      </c>
      <c r="U72" s="76">
        <f>STOCK[[#This Row],[Costo total]]*1.5</f>
        <v>14.7866666666667</v>
      </c>
      <c r="V72" s="76">
        <v>12</v>
      </c>
      <c r="W72" s="76">
        <f>STOCK[[#This Row],[Precio Final]]-STOCK[[#This Row],[Costo total]]</f>
        <v>2.14222222222222</v>
      </c>
      <c r="X72" s="76">
        <f>STOCK[[#This Row],[Ganancia Unitaria]]*STOCK[[#This Row],[Salidas]]</f>
        <v>2.14222222222222</v>
      </c>
      <c r="Y72" s="76" t="s">
        <v>167</v>
      </c>
      <c r="AA72" s="76">
        <f>STOCK[[#This Row],[Costo total]]*STOCK[[#This Row],[Entradas]]</f>
        <v>9.85777777777778</v>
      </c>
      <c r="AB72" s="76">
        <f>STOCK[[#This Row],[Stock Actual]]*STOCK[[#This Row],[Costo total]]</f>
        <v>0</v>
      </c>
    </row>
    <row r="73" s="77" customFormat="1" ht="50" hidden="1" customHeight="1" spans="1:28">
      <c r="A73" s="77" t="s">
        <v>187</v>
      </c>
      <c r="B73" s="6"/>
      <c r="C73" s="77" t="s">
        <v>30</v>
      </c>
      <c r="D73" s="77" t="s">
        <v>173</v>
      </c>
      <c r="E73" s="77" t="s">
        <v>188</v>
      </c>
      <c r="F73" s="77" t="s">
        <v>189</v>
      </c>
      <c r="G73" s="77" t="s">
        <v>34</v>
      </c>
      <c r="H73" s="77">
        <f>STOCK[[#This Row],[Precio Final]]</f>
        <v>14</v>
      </c>
      <c r="I73" s="77">
        <f>STOCK[[#This Row],[Precio Venta Ideal (x1.5)]]</f>
        <v>15.4466666666667</v>
      </c>
      <c r="J73" s="92">
        <v>1</v>
      </c>
      <c r="K73" s="92">
        <f>SUMIFS(VENTAS[Cantidad],VENTAS[Código del producto Vendido],STOCK[[#This Row],[Code]])</f>
        <v>1</v>
      </c>
      <c r="L73" s="92">
        <f>STOCK[[#This Row],[Entradas]]-STOCK[[#This Row],[Salidas]]</f>
        <v>0</v>
      </c>
      <c r="M73" s="77">
        <f>STOCK[[#This Row],[Precio Final]]*10%</f>
        <v>1.4</v>
      </c>
      <c r="N73" s="77">
        <v>140</v>
      </c>
      <c r="O73" s="77">
        <v>18</v>
      </c>
      <c r="P73" s="77">
        <v>7.77777777777778</v>
      </c>
      <c r="Q73" s="92">
        <v>140</v>
      </c>
      <c r="R73" s="77">
        <v>8</v>
      </c>
      <c r="S73" s="77">
        <f>STOCK[[#This Row],[Peso (g)]]*STOCK[[#This Row],[Precio Envío Kilogramo (USD)]]/1000</f>
        <v>1.12</v>
      </c>
      <c r="T73" s="76">
        <f>STOCK[[#This Row],[Costo Unitario (USD)]]+STOCK[[#This Row],[Costo Envío (USD)]]+STOCK[[#This Row],[Comisión 10%]]</f>
        <v>10.2977777777778</v>
      </c>
      <c r="U73" s="77">
        <f>STOCK[[#This Row],[Costo total]]*1.5</f>
        <v>15.4466666666667</v>
      </c>
      <c r="V73" s="77">
        <v>14</v>
      </c>
      <c r="W73" s="77">
        <f>STOCK[[#This Row],[Precio Final]]-STOCK[[#This Row],[Costo total]]</f>
        <v>3.70222222222222</v>
      </c>
      <c r="X73" s="77">
        <f>STOCK[[#This Row],[Ganancia Unitaria]]*STOCK[[#This Row],[Salidas]]</f>
        <v>3.70222222222222</v>
      </c>
      <c r="Y73" s="77" t="s">
        <v>167</v>
      </c>
      <c r="AA73" s="77">
        <f>STOCK[[#This Row],[Costo total]]*STOCK[[#This Row],[Entradas]]</f>
        <v>10.2977777777778</v>
      </c>
      <c r="AB73" s="77">
        <f>STOCK[[#This Row],[Stock Actual]]*STOCK[[#This Row],[Costo total]]</f>
        <v>0</v>
      </c>
    </row>
    <row r="74" s="76" customFormat="1" ht="50" hidden="1" customHeight="1" spans="1:28">
      <c r="A74" s="76" t="s">
        <v>190</v>
      </c>
      <c r="B74" s="6"/>
      <c r="C74" s="76" t="s">
        <v>30</v>
      </c>
      <c r="D74" s="76" t="s">
        <v>151</v>
      </c>
      <c r="E74" s="76" t="s">
        <v>191</v>
      </c>
      <c r="F74" s="76" t="s">
        <v>44</v>
      </c>
      <c r="G74" s="76" t="s">
        <v>34</v>
      </c>
      <c r="H74" s="76">
        <f>STOCK[[#This Row],[Precio Final]]</f>
        <v>23</v>
      </c>
      <c r="I74" s="76">
        <f>STOCK[[#This Row],[Precio Venta Ideal (x1.5)]]</f>
        <v>23.0566666666667</v>
      </c>
      <c r="J74" s="91">
        <v>1</v>
      </c>
      <c r="K74" s="91">
        <f>SUMIFS(VENTAS[Cantidad],VENTAS[Código del producto Vendido],STOCK[[#This Row],[Code]])</f>
        <v>1</v>
      </c>
      <c r="L74" s="91">
        <f>STOCK[[#This Row],[Entradas]]-STOCK[[#This Row],[Salidas]]</f>
        <v>0</v>
      </c>
      <c r="M74" s="76">
        <f>STOCK[[#This Row],[Precio Final]]*10%</f>
        <v>2.3</v>
      </c>
      <c r="N74" s="76">
        <v>200</v>
      </c>
      <c r="O74" s="76">
        <v>18</v>
      </c>
      <c r="P74" s="76">
        <v>11.1111111111111</v>
      </c>
      <c r="Q74" s="91">
        <v>245</v>
      </c>
      <c r="R74" s="76">
        <v>8</v>
      </c>
      <c r="S74" s="76">
        <f>STOCK[[#This Row],[Peso (g)]]*STOCK[[#This Row],[Precio Envío Kilogramo (USD)]]/1000</f>
        <v>1.96</v>
      </c>
      <c r="T74" s="76">
        <f>STOCK[[#This Row],[Costo Unitario (USD)]]+STOCK[[#This Row],[Costo Envío (USD)]]+STOCK[[#This Row],[Comisión 10%]]</f>
        <v>15.3711111111111</v>
      </c>
      <c r="U74" s="76">
        <f>STOCK[[#This Row],[Costo total]]*1.5</f>
        <v>23.0566666666667</v>
      </c>
      <c r="V74" s="76">
        <v>23</v>
      </c>
      <c r="W74" s="76">
        <f>STOCK[[#This Row],[Precio Final]]-STOCK[[#This Row],[Costo total]]</f>
        <v>7.6288888888889</v>
      </c>
      <c r="X74" s="76">
        <f>STOCK[[#This Row],[Ganancia Unitaria]]*STOCK[[#This Row],[Salidas]]</f>
        <v>7.6288888888889</v>
      </c>
      <c r="Y74" s="76" t="s">
        <v>167</v>
      </c>
      <c r="AA74" s="76">
        <f>STOCK[[#This Row],[Costo total]]*STOCK[[#This Row],[Entradas]]</f>
        <v>15.3711111111111</v>
      </c>
      <c r="AB74" s="76">
        <f>STOCK[[#This Row],[Stock Actual]]*STOCK[[#This Row],[Costo total]]</f>
        <v>0</v>
      </c>
    </row>
    <row r="75" s="77" customFormat="1" ht="50" hidden="1" customHeight="1" spans="1:28">
      <c r="A75" s="77" t="s">
        <v>192</v>
      </c>
      <c r="B75" s="6"/>
      <c r="C75" s="77" t="s">
        <v>30</v>
      </c>
      <c r="D75" s="77" t="s">
        <v>151</v>
      </c>
      <c r="E75" s="77" t="s">
        <v>191</v>
      </c>
      <c r="F75" s="77" t="s">
        <v>60</v>
      </c>
      <c r="G75" s="77" t="s">
        <v>34</v>
      </c>
      <c r="H75" s="77">
        <f>STOCK[[#This Row],[Precio Final]]</f>
        <v>23</v>
      </c>
      <c r="I75" s="77">
        <f>STOCK[[#This Row],[Precio Venta Ideal (x1.5)]]</f>
        <v>23.1766666666666</v>
      </c>
      <c r="J75" s="92">
        <v>1</v>
      </c>
      <c r="K75" s="92">
        <f>SUMIFS(VENTAS[Cantidad],VENTAS[Código del producto Vendido],STOCK[[#This Row],[Code]])</f>
        <v>1</v>
      </c>
      <c r="L75" s="92">
        <f>STOCK[[#This Row],[Entradas]]-STOCK[[#This Row],[Salidas]]</f>
        <v>0</v>
      </c>
      <c r="M75" s="77">
        <f>STOCK[[#This Row],[Precio Final]]*10%</f>
        <v>2.3</v>
      </c>
      <c r="N75" s="77">
        <v>200</v>
      </c>
      <c r="O75" s="77">
        <v>18</v>
      </c>
      <c r="P75" s="77">
        <v>11.1111111111111</v>
      </c>
      <c r="Q75" s="92">
        <v>255</v>
      </c>
      <c r="R75" s="77">
        <v>8</v>
      </c>
      <c r="S75" s="77">
        <f>STOCK[[#This Row],[Peso (g)]]*STOCK[[#This Row],[Precio Envío Kilogramo (USD)]]/1000</f>
        <v>2.04</v>
      </c>
      <c r="T75" s="76">
        <f>STOCK[[#This Row],[Costo Unitario (USD)]]+STOCK[[#This Row],[Costo Envío (USD)]]+STOCK[[#This Row],[Comisión 10%]]</f>
        <v>15.4511111111111</v>
      </c>
      <c r="U75" s="77">
        <f>STOCK[[#This Row],[Costo total]]*1.5</f>
        <v>23.1766666666666</v>
      </c>
      <c r="V75" s="77">
        <v>23</v>
      </c>
      <c r="W75" s="77">
        <f>STOCK[[#This Row],[Precio Final]]-STOCK[[#This Row],[Costo total]]</f>
        <v>7.5488888888889</v>
      </c>
      <c r="X75" s="77">
        <f>STOCK[[#This Row],[Ganancia Unitaria]]*STOCK[[#This Row],[Salidas]]</f>
        <v>7.5488888888889</v>
      </c>
      <c r="Y75" s="77" t="s">
        <v>167</v>
      </c>
      <c r="AA75" s="77">
        <f>STOCK[[#This Row],[Costo total]]*STOCK[[#This Row],[Entradas]]</f>
        <v>15.4511111111111</v>
      </c>
      <c r="AB75" s="77">
        <f>STOCK[[#This Row],[Stock Actual]]*STOCK[[#This Row],[Costo total]]</f>
        <v>0</v>
      </c>
    </row>
    <row r="76" s="76" customFormat="1" ht="50" hidden="1" customHeight="1" spans="1:28">
      <c r="A76" s="76" t="s">
        <v>193</v>
      </c>
      <c r="B76" s="6"/>
      <c r="C76" s="76" t="s">
        <v>30</v>
      </c>
      <c r="D76" s="76" t="s">
        <v>151</v>
      </c>
      <c r="E76" s="76" t="s">
        <v>191</v>
      </c>
      <c r="F76" s="76" t="s">
        <v>47</v>
      </c>
      <c r="G76" s="76" t="s">
        <v>34</v>
      </c>
      <c r="H76" s="76">
        <f>STOCK[[#This Row],[Precio Final]]</f>
        <v>23</v>
      </c>
      <c r="I76" s="76">
        <f>STOCK[[#This Row],[Precio Venta Ideal (x1.5)]]</f>
        <v>23.1766666666666</v>
      </c>
      <c r="J76" s="91">
        <v>1</v>
      </c>
      <c r="K76" s="91">
        <f>SUMIFS(VENTAS[Cantidad],VENTAS[Código del producto Vendido],STOCK[[#This Row],[Code]])</f>
        <v>1</v>
      </c>
      <c r="L76" s="91">
        <f>STOCK[[#This Row],[Entradas]]-STOCK[[#This Row],[Salidas]]</f>
        <v>0</v>
      </c>
      <c r="M76" s="76">
        <f>STOCK[[#This Row],[Precio Final]]*10%</f>
        <v>2.3</v>
      </c>
      <c r="N76" s="76">
        <v>200</v>
      </c>
      <c r="O76" s="76">
        <v>18</v>
      </c>
      <c r="P76" s="76">
        <v>11.1111111111111</v>
      </c>
      <c r="Q76" s="91">
        <v>255</v>
      </c>
      <c r="R76" s="76">
        <v>8</v>
      </c>
      <c r="S76" s="76">
        <f>STOCK[[#This Row],[Peso (g)]]*STOCK[[#This Row],[Precio Envío Kilogramo (USD)]]/1000</f>
        <v>2.04</v>
      </c>
      <c r="T76" s="76">
        <f>STOCK[[#This Row],[Costo Unitario (USD)]]+STOCK[[#This Row],[Costo Envío (USD)]]+STOCK[[#This Row],[Comisión 10%]]</f>
        <v>15.4511111111111</v>
      </c>
      <c r="U76" s="76">
        <f>STOCK[[#This Row],[Costo total]]*1.5</f>
        <v>23.1766666666666</v>
      </c>
      <c r="V76" s="76">
        <v>23</v>
      </c>
      <c r="W76" s="76">
        <f>STOCK[[#This Row],[Precio Final]]-STOCK[[#This Row],[Costo total]]</f>
        <v>7.5488888888889</v>
      </c>
      <c r="X76" s="76">
        <f>STOCK[[#This Row],[Ganancia Unitaria]]*STOCK[[#This Row],[Salidas]]</f>
        <v>7.5488888888889</v>
      </c>
      <c r="Y76" s="76" t="s">
        <v>167</v>
      </c>
      <c r="AA76" s="76">
        <f>STOCK[[#This Row],[Costo total]]*STOCK[[#This Row],[Entradas]]</f>
        <v>15.4511111111111</v>
      </c>
      <c r="AB76" s="76">
        <f>STOCK[[#This Row],[Stock Actual]]*STOCK[[#This Row],[Costo total]]</f>
        <v>0</v>
      </c>
    </row>
    <row r="77" s="77" customFormat="1" ht="50" hidden="1" customHeight="1" spans="1:28">
      <c r="A77" s="77" t="s">
        <v>194</v>
      </c>
      <c r="B77" s="6"/>
      <c r="C77" s="77" t="s">
        <v>30</v>
      </c>
      <c r="D77" s="77" t="s">
        <v>195</v>
      </c>
      <c r="E77" s="77" t="s">
        <v>196</v>
      </c>
      <c r="F77" s="77" t="s">
        <v>47</v>
      </c>
      <c r="G77" s="77" t="s">
        <v>34</v>
      </c>
      <c r="H77" s="77">
        <f>STOCK[[#This Row],[Precio Final]]</f>
        <v>12</v>
      </c>
      <c r="I77" s="77">
        <f>STOCK[[#This Row],[Precio Venta Ideal (x1.5)]]</f>
        <v>12.53</v>
      </c>
      <c r="J77" s="92">
        <v>1</v>
      </c>
      <c r="K77" s="92">
        <f>SUMIFS(VENTAS[Cantidad],VENTAS[Código del producto Vendido],STOCK[[#This Row],[Code]])</f>
        <v>0</v>
      </c>
      <c r="L77" s="92">
        <f>STOCK[[#This Row],[Entradas]]-STOCK[[#This Row],[Salidas]]</f>
        <v>1</v>
      </c>
      <c r="M77" s="77">
        <f>STOCK[[#This Row],[Precio Final]]*10%</f>
        <v>1.2</v>
      </c>
      <c r="N77" s="77">
        <v>105</v>
      </c>
      <c r="O77" s="77">
        <v>18</v>
      </c>
      <c r="P77" s="77">
        <v>5.83333333333333</v>
      </c>
      <c r="Q77" s="92">
        <v>165</v>
      </c>
      <c r="R77" s="77">
        <v>8</v>
      </c>
      <c r="S77" s="77">
        <f>STOCK[[#This Row],[Peso (g)]]*STOCK[[#This Row],[Precio Envío Kilogramo (USD)]]/1000</f>
        <v>1.32</v>
      </c>
      <c r="T77" s="76">
        <f>STOCK[[#This Row],[Costo Unitario (USD)]]+STOCK[[#This Row],[Costo Envío (USD)]]+STOCK[[#This Row],[Comisión 10%]]</f>
        <v>8.35333333333333</v>
      </c>
      <c r="U77" s="77">
        <f>STOCK[[#This Row],[Costo total]]*1.5</f>
        <v>12.53</v>
      </c>
      <c r="V77" s="77">
        <v>12</v>
      </c>
      <c r="W77" s="77">
        <f>STOCK[[#This Row],[Precio Final]]-STOCK[[#This Row],[Costo total]]</f>
        <v>3.64666666666667</v>
      </c>
      <c r="X77" s="77">
        <f>STOCK[[#This Row],[Ganancia Unitaria]]*STOCK[[#This Row],[Salidas]]</f>
        <v>0</v>
      </c>
      <c r="Y77" s="77" t="s">
        <v>167</v>
      </c>
      <c r="AA77" s="77">
        <f>STOCK[[#This Row],[Costo total]]*STOCK[[#This Row],[Entradas]]</f>
        <v>8.35333333333333</v>
      </c>
      <c r="AB77" s="77">
        <f>STOCK[[#This Row],[Stock Actual]]*STOCK[[#This Row],[Costo total]]</f>
        <v>8.35333333333333</v>
      </c>
    </row>
    <row r="78" s="76" customFormat="1" ht="50" hidden="1" customHeight="1" spans="1:28">
      <c r="A78" s="76" t="s">
        <v>197</v>
      </c>
      <c r="B78" s="6"/>
      <c r="C78" s="76" t="s">
        <v>30</v>
      </c>
      <c r="D78" s="77" t="s">
        <v>198</v>
      </c>
      <c r="E78" s="76" t="s">
        <v>196</v>
      </c>
      <c r="F78" s="76" t="s">
        <v>44</v>
      </c>
      <c r="G78" s="76" t="s">
        <v>34</v>
      </c>
      <c r="H78" s="76">
        <f>STOCK[[#This Row],[Precio Final]]</f>
        <v>12</v>
      </c>
      <c r="I78" s="76">
        <f>STOCK[[#This Row],[Precio Venta Ideal (x1.5)]]</f>
        <v>12.71</v>
      </c>
      <c r="J78" s="91">
        <v>1</v>
      </c>
      <c r="K78" s="91">
        <f>SUMIFS(VENTAS[Cantidad],VENTAS[Código del producto Vendido],STOCK[[#This Row],[Code]])</f>
        <v>0</v>
      </c>
      <c r="L78" s="91">
        <f>STOCK[[#This Row],[Entradas]]-STOCK[[#This Row],[Salidas]]</f>
        <v>1</v>
      </c>
      <c r="M78" s="76">
        <f>STOCK[[#This Row],[Precio Final]]*10%</f>
        <v>1.2</v>
      </c>
      <c r="N78" s="76">
        <v>105</v>
      </c>
      <c r="O78" s="76">
        <v>18</v>
      </c>
      <c r="P78" s="76">
        <v>5.83333333333333</v>
      </c>
      <c r="Q78" s="91">
        <v>180</v>
      </c>
      <c r="R78" s="76">
        <v>8</v>
      </c>
      <c r="S78" s="76">
        <f>STOCK[[#This Row],[Peso (g)]]*STOCK[[#This Row],[Precio Envío Kilogramo (USD)]]/1000</f>
        <v>1.44</v>
      </c>
      <c r="T78" s="76">
        <f>STOCK[[#This Row],[Costo Unitario (USD)]]+STOCK[[#This Row],[Costo Envío (USD)]]+STOCK[[#This Row],[Comisión 10%]]</f>
        <v>8.47333333333333</v>
      </c>
      <c r="U78" s="76">
        <f>STOCK[[#This Row],[Costo total]]*1.5</f>
        <v>12.71</v>
      </c>
      <c r="V78" s="76">
        <v>12</v>
      </c>
      <c r="W78" s="76">
        <f>STOCK[[#This Row],[Precio Final]]-STOCK[[#This Row],[Costo total]]</f>
        <v>3.52666666666667</v>
      </c>
      <c r="X78" s="76">
        <f>STOCK[[#This Row],[Ganancia Unitaria]]*STOCK[[#This Row],[Salidas]]</f>
        <v>0</v>
      </c>
      <c r="Y78" s="76" t="s">
        <v>167</v>
      </c>
      <c r="AA78" s="76">
        <f>STOCK[[#This Row],[Costo total]]*STOCK[[#This Row],[Entradas]]</f>
        <v>8.47333333333333</v>
      </c>
      <c r="AB78" s="76">
        <f>STOCK[[#This Row],[Stock Actual]]*STOCK[[#This Row],[Costo total]]</f>
        <v>8.47333333333333</v>
      </c>
    </row>
    <row r="79" s="77" customFormat="1" ht="50" hidden="1" customHeight="1" spans="1:28">
      <c r="A79" s="77" t="s">
        <v>199</v>
      </c>
      <c r="B79" s="6"/>
      <c r="C79" s="77" t="s">
        <v>30</v>
      </c>
      <c r="D79" s="77" t="s">
        <v>42</v>
      </c>
      <c r="E79" s="77" t="s">
        <v>200</v>
      </c>
      <c r="F79" s="77" t="s">
        <v>60</v>
      </c>
      <c r="G79" s="77" t="s">
        <v>34</v>
      </c>
      <c r="H79" s="77">
        <f>STOCK[[#This Row],[Precio Final]]</f>
        <v>16</v>
      </c>
      <c r="I79" s="77">
        <f>STOCK[[#This Row],[Precio Venta Ideal (x1.5)]]</f>
        <v>13.96</v>
      </c>
      <c r="J79" s="92">
        <v>1</v>
      </c>
      <c r="K79" s="92">
        <f>SUMIFS(VENTAS[Cantidad],VENTAS[Código del producto Vendido],STOCK[[#This Row],[Code]])</f>
        <v>1</v>
      </c>
      <c r="L79" s="92">
        <f>STOCK[[#This Row],[Entradas]]-STOCK[[#This Row],[Salidas]]</f>
        <v>0</v>
      </c>
      <c r="M79" s="77">
        <f>STOCK[[#This Row],[Precio Final]]*10%</f>
        <v>1.6</v>
      </c>
      <c r="N79" s="77">
        <v>120</v>
      </c>
      <c r="O79" s="77">
        <v>18</v>
      </c>
      <c r="P79" s="77">
        <v>6.66666666666667</v>
      </c>
      <c r="Q79" s="92">
        <v>130</v>
      </c>
      <c r="R79" s="77">
        <v>8</v>
      </c>
      <c r="S79" s="77">
        <f>STOCK[[#This Row],[Peso (g)]]*STOCK[[#This Row],[Precio Envío Kilogramo (USD)]]/1000</f>
        <v>1.04</v>
      </c>
      <c r="T79" s="76">
        <f>STOCK[[#This Row],[Costo Unitario (USD)]]+STOCK[[#This Row],[Costo Envío (USD)]]+STOCK[[#This Row],[Comisión 10%]]</f>
        <v>9.30666666666667</v>
      </c>
      <c r="U79" s="77">
        <f>STOCK[[#This Row],[Costo total]]*1.5</f>
        <v>13.96</v>
      </c>
      <c r="V79" s="77">
        <v>16</v>
      </c>
      <c r="W79" s="77">
        <f>STOCK[[#This Row],[Precio Final]]-STOCK[[#This Row],[Costo total]]</f>
        <v>6.69333333333333</v>
      </c>
      <c r="X79" s="77">
        <f>STOCK[[#This Row],[Ganancia Unitaria]]*STOCK[[#This Row],[Salidas]]</f>
        <v>6.69333333333333</v>
      </c>
      <c r="Y79" s="77" t="s">
        <v>167</v>
      </c>
      <c r="AA79" s="77">
        <f>STOCK[[#This Row],[Costo total]]*STOCK[[#This Row],[Entradas]]</f>
        <v>9.30666666666667</v>
      </c>
      <c r="AB79" s="77">
        <f>STOCK[[#This Row],[Stock Actual]]*STOCK[[#This Row],[Costo total]]</f>
        <v>0</v>
      </c>
    </row>
    <row r="80" s="76" customFormat="1" ht="50" hidden="1" customHeight="1" spans="1:28">
      <c r="A80" s="76" t="s">
        <v>201</v>
      </c>
      <c r="B80" s="6"/>
      <c r="C80" s="76" t="s">
        <v>30</v>
      </c>
      <c r="D80" s="76" t="s">
        <v>202</v>
      </c>
      <c r="E80" s="76" t="s">
        <v>203</v>
      </c>
      <c r="F80" s="76" t="s">
        <v>204</v>
      </c>
      <c r="G80" s="76" t="s">
        <v>34</v>
      </c>
      <c r="H80" s="76">
        <f>STOCK[[#This Row],[Precio Final]]</f>
        <v>18</v>
      </c>
      <c r="I80" s="76">
        <f>STOCK[[#This Row],[Precio Venta Ideal (x1.5)]]</f>
        <v>21.4733333333334</v>
      </c>
      <c r="J80" s="91">
        <v>1</v>
      </c>
      <c r="K80" s="91">
        <f>SUMIFS(VENTAS[Cantidad],VENTAS[Código del producto Vendido],STOCK[[#This Row],[Code]])</f>
        <v>1</v>
      </c>
      <c r="L80" s="91">
        <f>STOCK[[#This Row],[Entradas]]-STOCK[[#This Row],[Salidas]]</f>
        <v>0</v>
      </c>
      <c r="M80" s="76">
        <f>STOCK[[#This Row],[Precio Final]]*10%</f>
        <v>1.8</v>
      </c>
      <c r="N80" s="76">
        <v>190</v>
      </c>
      <c r="O80" s="76">
        <v>18</v>
      </c>
      <c r="P80" s="76">
        <v>10.5555555555556</v>
      </c>
      <c r="Q80" s="91">
        <v>245</v>
      </c>
      <c r="R80" s="76">
        <v>8</v>
      </c>
      <c r="S80" s="76">
        <f>STOCK[[#This Row],[Peso (g)]]*STOCK[[#This Row],[Precio Envío Kilogramo (USD)]]/1000</f>
        <v>1.96</v>
      </c>
      <c r="T80" s="76">
        <f>STOCK[[#This Row],[Costo Unitario (USD)]]+STOCK[[#This Row],[Costo Envío (USD)]]+STOCK[[#This Row],[Comisión 10%]]</f>
        <v>14.3155555555556</v>
      </c>
      <c r="U80" s="76">
        <f>STOCK[[#This Row],[Costo total]]*1.5</f>
        <v>21.4733333333334</v>
      </c>
      <c r="V80" s="76">
        <v>18</v>
      </c>
      <c r="W80" s="76">
        <f>STOCK[[#This Row],[Precio Final]]-STOCK[[#This Row],[Costo total]]</f>
        <v>3.6844444444444</v>
      </c>
      <c r="X80" s="76">
        <f>STOCK[[#This Row],[Ganancia Unitaria]]*STOCK[[#This Row],[Salidas]]</f>
        <v>3.6844444444444</v>
      </c>
      <c r="Y80" s="76" t="s">
        <v>167</v>
      </c>
      <c r="AA80" s="76">
        <f>STOCK[[#This Row],[Costo total]]*STOCK[[#This Row],[Entradas]]</f>
        <v>14.3155555555556</v>
      </c>
      <c r="AB80" s="76">
        <f>STOCK[[#This Row],[Stock Actual]]*STOCK[[#This Row],[Costo total]]</f>
        <v>0</v>
      </c>
    </row>
    <row r="81" s="77" customFormat="1" ht="50" hidden="1" customHeight="1" spans="1:28">
      <c r="A81" s="77" t="s">
        <v>205</v>
      </c>
      <c r="B81" s="6"/>
      <c r="C81" s="77" t="s">
        <v>30</v>
      </c>
      <c r="D81" s="77" t="s">
        <v>42</v>
      </c>
      <c r="E81" s="77" t="s">
        <v>206</v>
      </c>
      <c r="F81" s="77" t="s">
        <v>47</v>
      </c>
      <c r="G81" s="77" t="s">
        <v>34</v>
      </c>
      <c r="H81" s="77">
        <f>STOCK[[#This Row],[Precio Final]]</f>
        <v>20</v>
      </c>
      <c r="I81" s="77">
        <f>STOCK[[#This Row],[Precio Venta Ideal (x1.5)]]</f>
        <v>22.3133333333334</v>
      </c>
      <c r="J81" s="92">
        <v>1</v>
      </c>
      <c r="K81" s="92">
        <f>SUMIFS(VENTAS[Cantidad],VENTAS[Código del producto Vendido],STOCK[[#This Row],[Code]])</f>
        <v>1</v>
      </c>
      <c r="L81" s="92">
        <f>STOCK[[#This Row],[Entradas]]-STOCK[[#This Row],[Salidas]]</f>
        <v>0</v>
      </c>
      <c r="M81" s="77">
        <f>STOCK[[#This Row],[Precio Final]]*10%</f>
        <v>2</v>
      </c>
      <c r="N81" s="77">
        <v>190</v>
      </c>
      <c r="O81" s="77">
        <v>18</v>
      </c>
      <c r="P81" s="77">
        <v>10.5555555555556</v>
      </c>
      <c r="Q81" s="92">
        <v>290</v>
      </c>
      <c r="R81" s="77">
        <v>8</v>
      </c>
      <c r="S81" s="77">
        <f>STOCK[[#This Row],[Peso (g)]]*STOCK[[#This Row],[Precio Envío Kilogramo (USD)]]/1000</f>
        <v>2.32</v>
      </c>
      <c r="T81" s="76">
        <f>STOCK[[#This Row],[Costo Unitario (USD)]]+STOCK[[#This Row],[Costo Envío (USD)]]+STOCK[[#This Row],[Comisión 10%]]</f>
        <v>14.8755555555556</v>
      </c>
      <c r="U81" s="77">
        <f>STOCK[[#This Row],[Costo total]]*1.5</f>
        <v>22.3133333333334</v>
      </c>
      <c r="V81" s="77">
        <v>20</v>
      </c>
      <c r="W81" s="77">
        <f>STOCK[[#This Row],[Precio Final]]-STOCK[[#This Row],[Costo total]]</f>
        <v>5.1244444444444</v>
      </c>
      <c r="X81" s="77">
        <f>STOCK[[#This Row],[Ganancia Unitaria]]*STOCK[[#This Row],[Salidas]]</f>
        <v>5.1244444444444</v>
      </c>
      <c r="Y81" s="77" t="s">
        <v>167</v>
      </c>
      <c r="AA81" s="77">
        <f>STOCK[[#This Row],[Costo total]]*STOCK[[#This Row],[Entradas]]</f>
        <v>14.8755555555556</v>
      </c>
      <c r="AB81" s="77">
        <f>STOCK[[#This Row],[Stock Actual]]*STOCK[[#This Row],[Costo total]]</f>
        <v>0</v>
      </c>
    </row>
    <row r="82" s="76" customFormat="1" ht="50" hidden="1" customHeight="1" spans="1:28">
      <c r="A82" s="76" t="s">
        <v>207</v>
      </c>
      <c r="B82" s="6"/>
      <c r="C82" s="76" t="s">
        <v>30</v>
      </c>
      <c r="D82" s="76" t="s">
        <v>42</v>
      </c>
      <c r="E82" s="76" t="s">
        <v>208</v>
      </c>
      <c r="F82" s="76" t="s">
        <v>86</v>
      </c>
      <c r="G82" s="76" t="s">
        <v>34</v>
      </c>
      <c r="H82" s="76">
        <f>STOCK[[#This Row],[Precio Final]]</f>
        <v>25</v>
      </c>
      <c r="I82" s="76">
        <f>STOCK[[#This Row],[Precio Venta Ideal (x1.5)]]</f>
        <v>25.5</v>
      </c>
      <c r="J82" s="91">
        <v>1</v>
      </c>
      <c r="K82" s="91">
        <f>SUMIFS(VENTAS[Cantidad],VENTAS[Código del producto Vendido],STOCK[[#This Row],[Code]])</f>
        <v>1</v>
      </c>
      <c r="L82" s="91">
        <f>STOCK[[#This Row],[Entradas]]-STOCK[[#This Row],[Salidas]]</f>
        <v>0</v>
      </c>
      <c r="M82" s="76">
        <f>STOCK[[#This Row],[Precio Final]]*10%</f>
        <v>2.5</v>
      </c>
      <c r="N82" s="76">
        <v>225</v>
      </c>
      <c r="O82" s="76">
        <v>18</v>
      </c>
      <c r="P82" s="76">
        <v>12.5</v>
      </c>
      <c r="Q82" s="91">
        <v>250</v>
      </c>
      <c r="R82" s="76">
        <v>8</v>
      </c>
      <c r="S82" s="76">
        <f>STOCK[[#This Row],[Peso (g)]]*STOCK[[#This Row],[Precio Envío Kilogramo (USD)]]/1000</f>
        <v>2</v>
      </c>
      <c r="T82" s="76">
        <f>STOCK[[#This Row],[Costo Unitario (USD)]]+STOCK[[#This Row],[Costo Envío (USD)]]+STOCK[[#This Row],[Comisión 10%]]</f>
        <v>17</v>
      </c>
      <c r="U82" s="76">
        <f>STOCK[[#This Row],[Costo total]]*1.5</f>
        <v>25.5</v>
      </c>
      <c r="V82" s="76">
        <v>25</v>
      </c>
      <c r="W82" s="76">
        <f>STOCK[[#This Row],[Precio Final]]-STOCK[[#This Row],[Costo total]]</f>
        <v>8</v>
      </c>
      <c r="X82" s="76">
        <f>STOCK[[#This Row],[Ganancia Unitaria]]*STOCK[[#This Row],[Salidas]]</f>
        <v>8</v>
      </c>
      <c r="Y82" s="76" t="s">
        <v>167</v>
      </c>
      <c r="AA82" s="76">
        <f>STOCK[[#This Row],[Costo total]]*STOCK[[#This Row],[Entradas]]</f>
        <v>17</v>
      </c>
      <c r="AB82" s="76">
        <f>STOCK[[#This Row],[Stock Actual]]*STOCK[[#This Row],[Costo total]]</f>
        <v>0</v>
      </c>
    </row>
    <row r="83" s="77" customFormat="1" ht="50" hidden="1" customHeight="1" spans="1:28">
      <c r="A83" s="77" t="s">
        <v>209</v>
      </c>
      <c r="B83" s="6"/>
      <c r="C83" s="77" t="s">
        <v>30</v>
      </c>
      <c r="D83" s="77" t="s">
        <v>42</v>
      </c>
      <c r="E83" s="77" t="s">
        <v>208</v>
      </c>
      <c r="F83" s="77" t="s">
        <v>210</v>
      </c>
      <c r="G83" s="77" t="s">
        <v>34</v>
      </c>
      <c r="H83" s="77">
        <f>STOCK[[#This Row],[Precio Final]]</f>
        <v>25</v>
      </c>
      <c r="I83" s="77">
        <f>STOCK[[#This Row],[Precio Venta Ideal (x1.5)]]</f>
        <v>24.84</v>
      </c>
      <c r="J83" s="92">
        <v>1</v>
      </c>
      <c r="K83" s="92">
        <f>SUMIFS(VENTAS[Cantidad],VENTAS[Código del producto Vendido],STOCK[[#This Row],[Code]])</f>
        <v>1</v>
      </c>
      <c r="L83" s="92">
        <f>STOCK[[#This Row],[Entradas]]-STOCK[[#This Row],[Salidas]]</f>
        <v>0</v>
      </c>
      <c r="M83" s="77">
        <f>STOCK[[#This Row],[Precio Final]]*10%</f>
        <v>2.5</v>
      </c>
      <c r="N83" s="77">
        <v>225</v>
      </c>
      <c r="O83" s="77">
        <v>18</v>
      </c>
      <c r="P83" s="77">
        <v>12.5</v>
      </c>
      <c r="Q83" s="92">
        <v>195</v>
      </c>
      <c r="R83" s="77">
        <v>8</v>
      </c>
      <c r="S83" s="77">
        <f>STOCK[[#This Row],[Peso (g)]]*STOCK[[#This Row],[Precio Envío Kilogramo (USD)]]/1000</f>
        <v>1.56</v>
      </c>
      <c r="T83" s="76">
        <f>STOCK[[#This Row],[Costo Unitario (USD)]]+STOCK[[#This Row],[Costo Envío (USD)]]+STOCK[[#This Row],[Comisión 10%]]</f>
        <v>16.56</v>
      </c>
      <c r="U83" s="77">
        <f>STOCK[[#This Row],[Costo total]]*1.5</f>
        <v>24.84</v>
      </c>
      <c r="V83" s="77">
        <v>25</v>
      </c>
      <c r="W83" s="77">
        <f>STOCK[[#This Row],[Precio Final]]-STOCK[[#This Row],[Costo total]]</f>
        <v>8.44</v>
      </c>
      <c r="X83" s="77">
        <f>STOCK[[#This Row],[Ganancia Unitaria]]*STOCK[[#This Row],[Salidas]]</f>
        <v>8.44</v>
      </c>
      <c r="Y83" s="77" t="s">
        <v>167</v>
      </c>
      <c r="AA83" s="77">
        <f>STOCK[[#This Row],[Costo total]]*STOCK[[#This Row],[Entradas]]</f>
        <v>16.56</v>
      </c>
      <c r="AB83" s="77">
        <f>STOCK[[#This Row],[Stock Actual]]*STOCK[[#This Row],[Costo total]]</f>
        <v>0</v>
      </c>
    </row>
    <row r="84" s="76" customFormat="1" ht="50" hidden="1" customHeight="1" spans="1:28">
      <c r="A84" s="76" t="s">
        <v>211</v>
      </c>
      <c r="B84" s="6"/>
      <c r="C84" s="76" t="s">
        <v>30</v>
      </c>
      <c r="D84" s="76" t="s">
        <v>212</v>
      </c>
      <c r="E84" s="76" t="s">
        <v>213</v>
      </c>
      <c r="F84" s="76" t="s">
        <v>44</v>
      </c>
      <c r="G84" s="76" t="s">
        <v>34</v>
      </c>
      <c r="H84" s="76">
        <f>STOCK[[#This Row],[Precio Final]]</f>
        <v>25</v>
      </c>
      <c r="I84" s="76">
        <f>STOCK[[#This Row],[Precio Venta Ideal (x1.5)]]</f>
        <v>25.26</v>
      </c>
      <c r="J84" s="91">
        <v>1</v>
      </c>
      <c r="K84" s="91">
        <f>SUMIFS(VENTAS[Cantidad],VENTAS[Código del producto Vendido],STOCK[[#This Row],[Code]])</f>
        <v>1</v>
      </c>
      <c r="L84" s="91">
        <f>STOCK[[#This Row],[Entradas]]-STOCK[[#This Row],[Salidas]]</f>
        <v>0</v>
      </c>
      <c r="M84" s="76">
        <f>STOCK[[#This Row],[Precio Final]]*10%</f>
        <v>2.5</v>
      </c>
      <c r="N84" s="76">
        <v>225</v>
      </c>
      <c r="O84" s="76">
        <v>18</v>
      </c>
      <c r="P84" s="76">
        <v>12.5</v>
      </c>
      <c r="Q84" s="91">
        <v>230</v>
      </c>
      <c r="R84" s="76">
        <v>8</v>
      </c>
      <c r="S84" s="76">
        <f>STOCK[[#This Row],[Peso (g)]]*STOCK[[#This Row],[Precio Envío Kilogramo (USD)]]/1000</f>
        <v>1.84</v>
      </c>
      <c r="T84" s="76">
        <f>STOCK[[#This Row],[Costo Unitario (USD)]]+STOCK[[#This Row],[Costo Envío (USD)]]+STOCK[[#This Row],[Comisión 10%]]</f>
        <v>16.84</v>
      </c>
      <c r="U84" s="76">
        <f>STOCK[[#This Row],[Costo total]]*1.5</f>
        <v>25.26</v>
      </c>
      <c r="V84" s="76">
        <v>25</v>
      </c>
      <c r="W84" s="76">
        <f>STOCK[[#This Row],[Precio Final]]-STOCK[[#This Row],[Costo total]]</f>
        <v>8.16</v>
      </c>
      <c r="X84" s="76">
        <f>STOCK[[#This Row],[Ganancia Unitaria]]*STOCK[[#This Row],[Salidas]]</f>
        <v>8.16</v>
      </c>
      <c r="Y84" s="76" t="s">
        <v>167</v>
      </c>
      <c r="AA84" s="76">
        <f>STOCK[[#This Row],[Costo total]]*STOCK[[#This Row],[Entradas]]</f>
        <v>16.84</v>
      </c>
      <c r="AB84" s="76">
        <f>STOCK[[#This Row],[Stock Actual]]*STOCK[[#This Row],[Costo total]]</f>
        <v>0</v>
      </c>
    </row>
    <row r="85" s="77" customFormat="1" ht="50" hidden="1" customHeight="1" spans="1:29">
      <c r="A85" s="77" t="s">
        <v>214</v>
      </c>
      <c r="B85" s="6"/>
      <c r="C85" s="77" t="s">
        <v>30</v>
      </c>
      <c r="D85" s="77" t="s">
        <v>215</v>
      </c>
      <c r="E85" s="77" t="s">
        <v>216</v>
      </c>
      <c r="F85" s="77" t="s">
        <v>47</v>
      </c>
      <c r="G85" s="77" t="s">
        <v>34</v>
      </c>
      <c r="H85" s="77">
        <f>STOCK[[#This Row],[Precio Final]]</f>
        <v>30</v>
      </c>
      <c r="I85" s="77">
        <f>STOCK[[#This Row],[Precio Venta Ideal (x1.5)]]</f>
        <v>31.3766666666667</v>
      </c>
      <c r="J85" s="92">
        <v>1</v>
      </c>
      <c r="K85" s="92">
        <f>SUMIFS(VENTAS[Cantidad],VENTAS[Código del producto Vendido],STOCK[[#This Row],[Code]])</f>
        <v>0</v>
      </c>
      <c r="L85" s="92">
        <f>STOCK[[#This Row],[Entradas]]-STOCK[[#This Row],[Salidas]]</f>
        <v>1</v>
      </c>
      <c r="M85" s="77">
        <f>STOCK[[#This Row],[Precio Final]]*10%</f>
        <v>3</v>
      </c>
      <c r="N85" s="77">
        <v>275</v>
      </c>
      <c r="O85" s="77">
        <v>18</v>
      </c>
      <c r="P85" s="77">
        <v>15.2777777777778</v>
      </c>
      <c r="Q85" s="92">
        <v>330</v>
      </c>
      <c r="R85" s="77">
        <v>8</v>
      </c>
      <c r="S85" s="77">
        <f>STOCK[[#This Row],[Peso (g)]]*STOCK[[#This Row],[Precio Envío Kilogramo (USD)]]/1000</f>
        <v>2.64</v>
      </c>
      <c r="T85" s="76">
        <f>STOCK[[#This Row],[Costo Unitario (USD)]]+STOCK[[#This Row],[Costo Envío (USD)]]+STOCK[[#This Row],[Comisión 10%]]</f>
        <v>20.9177777777778</v>
      </c>
      <c r="U85" s="77">
        <f>STOCK[[#This Row],[Costo total]]*1.5</f>
        <v>31.3766666666667</v>
      </c>
      <c r="V85" s="77">
        <v>30</v>
      </c>
      <c r="W85" s="77">
        <f>STOCK[[#This Row],[Precio Final]]-STOCK[[#This Row],[Costo total]]</f>
        <v>9.0822222222222</v>
      </c>
      <c r="X85" s="77">
        <f>STOCK[[#This Row],[Ganancia Unitaria]]*STOCK[[#This Row],[Salidas]]</f>
        <v>0</v>
      </c>
      <c r="Y85" s="77" t="s">
        <v>167</v>
      </c>
      <c r="AA85" s="77">
        <f>STOCK[[#This Row],[Costo total]]*STOCK[[#This Row],[Entradas]]</f>
        <v>20.9177777777778</v>
      </c>
      <c r="AB85" s="77">
        <f>STOCK[[#This Row],[Stock Actual]]*STOCK[[#This Row],[Costo total]]</f>
        <v>20.9177777777778</v>
      </c>
      <c r="AC85" s="77">
        <v>28</v>
      </c>
    </row>
    <row r="86" s="76" customFormat="1" ht="50" hidden="1" customHeight="1" spans="1:29">
      <c r="A86" s="76" t="s">
        <v>217</v>
      </c>
      <c r="B86" s="6"/>
      <c r="C86" s="76" t="s">
        <v>30</v>
      </c>
      <c r="D86" s="76" t="s">
        <v>215</v>
      </c>
      <c r="E86" s="76" t="s">
        <v>216</v>
      </c>
      <c r="F86" s="76" t="s">
        <v>38</v>
      </c>
      <c r="G86" s="76" t="s">
        <v>34</v>
      </c>
      <c r="H86" s="76">
        <f>STOCK[[#This Row],[Precio Final]]</f>
        <v>30</v>
      </c>
      <c r="I86" s="76">
        <f>STOCK[[#This Row],[Precio Venta Ideal (x1.5)]]</f>
        <v>31.3766666666667</v>
      </c>
      <c r="J86" s="91">
        <v>1</v>
      </c>
      <c r="K86" s="91">
        <f>SUMIFS(VENTAS[Cantidad],VENTAS[Código del producto Vendido],STOCK[[#This Row],[Code]])</f>
        <v>0</v>
      </c>
      <c r="L86" s="91">
        <f>STOCK[[#This Row],[Entradas]]-STOCK[[#This Row],[Salidas]]</f>
        <v>1</v>
      </c>
      <c r="M86" s="76">
        <f>STOCK[[#This Row],[Precio Final]]*10%</f>
        <v>3</v>
      </c>
      <c r="N86" s="76">
        <v>275</v>
      </c>
      <c r="O86" s="76">
        <v>18</v>
      </c>
      <c r="P86" s="76">
        <v>15.2777777777778</v>
      </c>
      <c r="Q86" s="91">
        <v>330</v>
      </c>
      <c r="R86" s="76">
        <v>8</v>
      </c>
      <c r="S86" s="76">
        <f>STOCK[[#This Row],[Peso (g)]]*STOCK[[#This Row],[Precio Envío Kilogramo (USD)]]/1000</f>
        <v>2.64</v>
      </c>
      <c r="T86" s="76">
        <f>STOCK[[#This Row],[Costo Unitario (USD)]]+STOCK[[#This Row],[Costo Envío (USD)]]+STOCK[[#This Row],[Comisión 10%]]</f>
        <v>20.9177777777778</v>
      </c>
      <c r="U86" s="76">
        <f>STOCK[[#This Row],[Costo total]]*1.5</f>
        <v>31.3766666666667</v>
      </c>
      <c r="V86" s="76">
        <v>30</v>
      </c>
      <c r="W86" s="76">
        <f>STOCK[[#This Row],[Precio Final]]-STOCK[[#This Row],[Costo total]]</f>
        <v>9.0822222222222</v>
      </c>
      <c r="X86" s="76">
        <f>STOCK[[#This Row],[Ganancia Unitaria]]*STOCK[[#This Row],[Salidas]]</f>
        <v>0</v>
      </c>
      <c r="Y86" s="76" t="s">
        <v>167</v>
      </c>
      <c r="AA86" s="76">
        <f>STOCK[[#This Row],[Costo total]]*STOCK[[#This Row],[Entradas]]</f>
        <v>20.9177777777778</v>
      </c>
      <c r="AB86" s="76">
        <f>STOCK[[#This Row],[Stock Actual]]*STOCK[[#This Row],[Costo total]]</f>
        <v>20.9177777777778</v>
      </c>
      <c r="AC86" s="76">
        <v>28</v>
      </c>
    </row>
    <row r="87" s="77" customFormat="1" ht="50" hidden="1" customHeight="1" spans="1:28">
      <c r="A87" s="77" t="s">
        <v>218</v>
      </c>
      <c r="B87" s="6"/>
      <c r="C87" s="77" t="s">
        <v>30</v>
      </c>
      <c r="D87" s="77" t="s">
        <v>173</v>
      </c>
      <c r="E87" s="77" t="s">
        <v>219</v>
      </c>
      <c r="F87" s="77" t="s">
        <v>47</v>
      </c>
      <c r="G87" s="77" t="s">
        <v>34</v>
      </c>
      <c r="H87" s="77">
        <f>STOCK[[#This Row],[Precio Final]]</f>
        <v>14</v>
      </c>
      <c r="I87" s="77">
        <f>STOCK[[#This Row],[Precio Venta Ideal (x1.5)]]</f>
        <v>15.3866666666667</v>
      </c>
      <c r="J87" s="92">
        <v>1</v>
      </c>
      <c r="K87" s="92">
        <f>SUMIFS(VENTAS[Cantidad],VENTAS[Código del producto Vendido],STOCK[[#This Row],[Code]])</f>
        <v>1</v>
      </c>
      <c r="L87" s="92">
        <f>STOCK[[#This Row],[Entradas]]-STOCK[[#This Row],[Salidas]]</f>
        <v>0</v>
      </c>
      <c r="M87" s="77">
        <f>STOCK[[#This Row],[Precio Final]]*10%</f>
        <v>1.4</v>
      </c>
      <c r="N87" s="77">
        <v>140</v>
      </c>
      <c r="O87" s="77">
        <v>18</v>
      </c>
      <c r="P87" s="77">
        <v>7.77777777777778</v>
      </c>
      <c r="Q87" s="92">
        <v>135</v>
      </c>
      <c r="R87" s="77">
        <v>8</v>
      </c>
      <c r="S87" s="77">
        <f>STOCK[[#This Row],[Peso (g)]]*STOCK[[#This Row],[Precio Envío Kilogramo (USD)]]/1000</f>
        <v>1.08</v>
      </c>
      <c r="T87" s="76">
        <f>STOCK[[#This Row],[Costo Unitario (USD)]]+STOCK[[#This Row],[Costo Envío (USD)]]+STOCK[[#This Row],[Comisión 10%]]</f>
        <v>10.2577777777778</v>
      </c>
      <c r="U87" s="77">
        <f>STOCK[[#This Row],[Costo total]]*1.5</f>
        <v>15.3866666666667</v>
      </c>
      <c r="V87" s="77">
        <v>14</v>
      </c>
      <c r="W87" s="77">
        <f>STOCK[[#This Row],[Precio Final]]-STOCK[[#This Row],[Costo total]]</f>
        <v>3.74222222222222</v>
      </c>
      <c r="X87" s="77">
        <f>STOCK[[#This Row],[Ganancia Unitaria]]*STOCK[[#This Row],[Salidas]]</f>
        <v>3.74222222222222</v>
      </c>
      <c r="Y87" s="77" t="s">
        <v>167</v>
      </c>
      <c r="AA87" s="77">
        <f>STOCK[[#This Row],[Costo total]]*STOCK[[#This Row],[Entradas]]</f>
        <v>10.2577777777778</v>
      </c>
      <c r="AB87" s="77">
        <f>STOCK[[#This Row],[Stock Actual]]*STOCK[[#This Row],[Costo total]]</f>
        <v>0</v>
      </c>
    </row>
    <row r="88" s="76" customFormat="1" ht="50" hidden="1" customHeight="1" spans="1:28">
      <c r="A88" s="76" t="s">
        <v>220</v>
      </c>
      <c r="B88" s="6"/>
      <c r="C88" s="76" t="s">
        <v>30</v>
      </c>
      <c r="D88" s="76" t="s">
        <v>42</v>
      </c>
      <c r="E88" s="76" t="s">
        <v>221</v>
      </c>
      <c r="F88" s="76" t="s">
        <v>38</v>
      </c>
      <c r="G88" s="76" t="s">
        <v>34</v>
      </c>
      <c r="H88" s="76">
        <f>STOCK[[#This Row],[Precio Final]]</f>
        <v>30</v>
      </c>
      <c r="I88" s="76">
        <f>STOCK[[#This Row],[Precio Venta Ideal (x1.5)]]</f>
        <v>29.2300000000001</v>
      </c>
      <c r="J88" s="91">
        <v>1</v>
      </c>
      <c r="K88" s="91">
        <f>SUMIFS(VENTAS[Cantidad],VENTAS[Código del producto Vendido],STOCK[[#This Row],[Code]])</f>
        <v>1</v>
      </c>
      <c r="L88" s="91">
        <f>STOCK[[#This Row],[Entradas]]-STOCK[[#This Row],[Salidas]]</f>
        <v>0</v>
      </c>
      <c r="M88" s="76">
        <f>STOCK[[#This Row],[Precio Final]]*10%</f>
        <v>3</v>
      </c>
      <c r="N88" s="76">
        <v>255</v>
      </c>
      <c r="O88" s="76">
        <v>18</v>
      </c>
      <c r="P88" s="76">
        <v>14.1666666666667</v>
      </c>
      <c r="Q88" s="91">
        <v>290</v>
      </c>
      <c r="R88" s="76">
        <v>8</v>
      </c>
      <c r="S88" s="76">
        <f>STOCK[[#This Row],[Peso (g)]]*STOCK[[#This Row],[Precio Envío Kilogramo (USD)]]/1000</f>
        <v>2.32</v>
      </c>
      <c r="T88" s="76">
        <f>STOCK[[#This Row],[Costo Unitario (USD)]]+STOCK[[#This Row],[Costo Envío (USD)]]+STOCK[[#This Row],[Comisión 10%]]</f>
        <v>19.4866666666667</v>
      </c>
      <c r="U88" s="76">
        <f>STOCK[[#This Row],[Costo total]]*1.5</f>
        <v>29.2300000000001</v>
      </c>
      <c r="V88" s="76">
        <v>30</v>
      </c>
      <c r="W88" s="76">
        <f>STOCK[[#This Row],[Precio Final]]-STOCK[[#This Row],[Costo total]]</f>
        <v>10.5133333333333</v>
      </c>
      <c r="X88" s="76">
        <f>STOCK[[#This Row],[Ganancia Unitaria]]*STOCK[[#This Row],[Salidas]]</f>
        <v>10.5133333333333</v>
      </c>
      <c r="Y88" s="76" t="s">
        <v>167</v>
      </c>
      <c r="AA88" s="76">
        <f>STOCK[[#This Row],[Costo total]]*STOCK[[#This Row],[Entradas]]</f>
        <v>19.4866666666667</v>
      </c>
      <c r="AB88" s="76">
        <f>STOCK[[#This Row],[Stock Actual]]*STOCK[[#This Row],[Costo total]]</f>
        <v>0</v>
      </c>
    </row>
    <row r="89" s="77" customFormat="1" ht="50" hidden="1" customHeight="1" spans="1:28">
      <c r="A89" s="77" t="s">
        <v>222</v>
      </c>
      <c r="B89" s="6"/>
      <c r="C89" s="77" t="s">
        <v>30</v>
      </c>
      <c r="D89" s="77" t="s">
        <v>42</v>
      </c>
      <c r="E89" s="77" t="s">
        <v>223</v>
      </c>
      <c r="F89" s="77" t="s">
        <v>38</v>
      </c>
      <c r="G89" s="77" t="s">
        <v>34</v>
      </c>
      <c r="H89" s="77">
        <f>STOCK[[#This Row],[Precio Final]]</f>
        <v>18</v>
      </c>
      <c r="I89" s="77">
        <f>STOCK[[#This Row],[Precio Venta Ideal (x1.5)]]</f>
        <v>16.47</v>
      </c>
      <c r="J89" s="92">
        <v>1</v>
      </c>
      <c r="K89" s="92">
        <f>SUMIFS(VENTAS[Cantidad],VENTAS[Código del producto Vendido],STOCK[[#This Row],[Code]])</f>
        <v>1</v>
      </c>
      <c r="L89" s="92">
        <f>STOCK[[#This Row],[Entradas]]-STOCK[[#This Row],[Salidas]]</f>
        <v>0</v>
      </c>
      <c r="M89" s="77">
        <f>STOCK[[#This Row],[Precio Final]]*10%</f>
        <v>1.8</v>
      </c>
      <c r="N89" s="77">
        <v>135</v>
      </c>
      <c r="O89" s="77">
        <v>18</v>
      </c>
      <c r="P89" s="77">
        <v>7.5</v>
      </c>
      <c r="Q89" s="92">
        <v>210</v>
      </c>
      <c r="R89" s="77">
        <v>8</v>
      </c>
      <c r="S89" s="77">
        <f>STOCK[[#This Row],[Peso (g)]]*STOCK[[#This Row],[Precio Envío Kilogramo (USD)]]/1000</f>
        <v>1.68</v>
      </c>
      <c r="T89" s="76">
        <f>STOCK[[#This Row],[Costo Unitario (USD)]]+STOCK[[#This Row],[Costo Envío (USD)]]+STOCK[[#This Row],[Comisión 10%]]</f>
        <v>10.98</v>
      </c>
      <c r="U89" s="77">
        <f>STOCK[[#This Row],[Costo total]]*1.5</f>
        <v>16.47</v>
      </c>
      <c r="V89" s="77">
        <v>18</v>
      </c>
      <c r="W89" s="77">
        <f>STOCK[[#This Row],[Precio Final]]-STOCK[[#This Row],[Costo total]]</f>
        <v>7.02</v>
      </c>
      <c r="X89" s="77">
        <f>STOCK[[#This Row],[Ganancia Unitaria]]*STOCK[[#This Row],[Salidas]]</f>
        <v>7.02</v>
      </c>
      <c r="Y89" s="77" t="s">
        <v>167</v>
      </c>
      <c r="AA89" s="77">
        <f>STOCK[[#This Row],[Costo total]]*STOCK[[#This Row],[Entradas]]</f>
        <v>10.98</v>
      </c>
      <c r="AB89" s="77">
        <f>STOCK[[#This Row],[Stock Actual]]*STOCK[[#This Row],[Costo total]]</f>
        <v>0</v>
      </c>
    </row>
    <row r="90" s="76" customFormat="1" ht="50" hidden="1" customHeight="1" spans="1:28">
      <c r="A90" s="76" t="s">
        <v>224</v>
      </c>
      <c r="B90" s="6"/>
      <c r="C90" s="76" t="s">
        <v>30</v>
      </c>
      <c r="D90" s="76" t="s">
        <v>42</v>
      </c>
      <c r="E90" s="76" t="s">
        <v>166</v>
      </c>
      <c r="F90" s="76" t="s">
        <v>47</v>
      </c>
      <c r="G90" s="76" t="s">
        <v>34</v>
      </c>
      <c r="H90" s="76">
        <f>STOCK[[#This Row],[Precio Final]]</f>
        <v>22</v>
      </c>
      <c r="I90" s="76">
        <f>STOCK[[#This Row],[Precio Venta Ideal (x1.5)]]</f>
        <v>22.6066666666667</v>
      </c>
      <c r="J90" s="91">
        <v>1</v>
      </c>
      <c r="K90" s="91">
        <f>SUMIFS(VENTAS[Cantidad],VENTAS[Código del producto Vendido],STOCK[[#This Row],[Code]])</f>
        <v>1</v>
      </c>
      <c r="L90" s="91">
        <f>STOCK[[#This Row],[Entradas]]-STOCK[[#This Row],[Salidas]]</f>
        <v>0</v>
      </c>
      <c r="M90" s="76">
        <f>STOCK[[#This Row],[Precio Final]]*10%</f>
        <v>2.2</v>
      </c>
      <c r="N90" s="76">
        <v>200</v>
      </c>
      <c r="O90" s="76">
        <v>18</v>
      </c>
      <c r="P90" s="76">
        <v>11.1111111111111</v>
      </c>
      <c r="Q90" s="91">
        <v>220</v>
      </c>
      <c r="R90" s="76">
        <v>8</v>
      </c>
      <c r="S90" s="76">
        <f>STOCK[[#This Row],[Peso (g)]]*STOCK[[#This Row],[Precio Envío Kilogramo (USD)]]/1000</f>
        <v>1.76</v>
      </c>
      <c r="T90" s="76">
        <f>STOCK[[#This Row],[Costo Unitario (USD)]]+STOCK[[#This Row],[Costo Envío (USD)]]+STOCK[[#This Row],[Comisión 10%]]</f>
        <v>15.0711111111111</v>
      </c>
      <c r="U90" s="76">
        <f>STOCK[[#This Row],[Costo total]]*1.5</f>
        <v>22.6066666666667</v>
      </c>
      <c r="V90" s="76">
        <v>22</v>
      </c>
      <c r="W90" s="76">
        <f>STOCK[[#This Row],[Precio Final]]-STOCK[[#This Row],[Costo total]]</f>
        <v>6.9288888888889</v>
      </c>
      <c r="X90" s="76">
        <f>STOCK[[#This Row],[Ganancia Unitaria]]*STOCK[[#This Row],[Salidas]]</f>
        <v>6.9288888888889</v>
      </c>
      <c r="Y90" s="76" t="s">
        <v>167</v>
      </c>
      <c r="AA90" s="76">
        <f>STOCK[[#This Row],[Costo total]]*STOCK[[#This Row],[Entradas]]</f>
        <v>15.0711111111111</v>
      </c>
      <c r="AB90" s="76">
        <f>STOCK[[#This Row],[Stock Actual]]*STOCK[[#This Row],[Costo total]]</f>
        <v>0</v>
      </c>
    </row>
    <row r="91" s="77" customFormat="1" ht="50" hidden="1" customHeight="1" spans="1:28">
      <c r="A91" s="77" t="s">
        <v>225</v>
      </c>
      <c r="B91" s="6"/>
      <c r="C91" s="77" t="s">
        <v>30</v>
      </c>
      <c r="D91" s="77" t="s">
        <v>151</v>
      </c>
      <c r="E91" s="77" t="s">
        <v>226</v>
      </c>
      <c r="F91" s="77" t="s">
        <v>227</v>
      </c>
      <c r="G91" s="77" t="s">
        <v>34</v>
      </c>
      <c r="H91" s="77">
        <f>STOCK[[#This Row],[Precio Final]]</f>
        <v>23</v>
      </c>
      <c r="I91" s="77">
        <f>STOCK[[#This Row],[Precio Venta Ideal (x1.5)]]</f>
        <v>24.3666666666666</v>
      </c>
      <c r="J91" s="92">
        <v>1</v>
      </c>
      <c r="K91" s="92">
        <f>SUMIFS(VENTAS[Cantidad],VENTAS[Código del producto Vendido],STOCK[[#This Row],[Code]])</f>
        <v>1</v>
      </c>
      <c r="L91" s="92">
        <f>STOCK[[#This Row],[Entradas]]-STOCK[[#This Row],[Salidas]]</f>
        <v>0</v>
      </c>
      <c r="M91" s="77">
        <f>STOCK[[#This Row],[Precio Final]]*10%</f>
        <v>2.3</v>
      </c>
      <c r="N91" s="77">
        <v>215</v>
      </c>
      <c r="O91" s="77">
        <v>18</v>
      </c>
      <c r="P91" s="77">
        <v>11.9444444444444</v>
      </c>
      <c r="Q91" s="92">
        <v>250</v>
      </c>
      <c r="R91" s="77">
        <v>8</v>
      </c>
      <c r="S91" s="77">
        <f>STOCK[[#This Row],[Peso (g)]]*STOCK[[#This Row],[Precio Envío Kilogramo (USD)]]/1000</f>
        <v>2</v>
      </c>
      <c r="T91" s="76">
        <f>STOCK[[#This Row],[Costo Unitario (USD)]]+STOCK[[#This Row],[Costo Envío (USD)]]+STOCK[[#This Row],[Comisión 10%]]</f>
        <v>16.2444444444444</v>
      </c>
      <c r="U91" s="77">
        <f>STOCK[[#This Row],[Costo total]]*1.5</f>
        <v>24.3666666666666</v>
      </c>
      <c r="V91" s="77">
        <v>23</v>
      </c>
      <c r="W91" s="77">
        <f>STOCK[[#This Row],[Precio Final]]-STOCK[[#This Row],[Costo total]]</f>
        <v>6.7555555555556</v>
      </c>
      <c r="X91" s="77">
        <f>STOCK[[#This Row],[Ganancia Unitaria]]*STOCK[[#This Row],[Salidas]]</f>
        <v>6.7555555555556</v>
      </c>
      <c r="Y91" s="77" t="s">
        <v>167</v>
      </c>
      <c r="AA91" s="77">
        <f>STOCK[[#This Row],[Costo total]]*STOCK[[#This Row],[Entradas]]</f>
        <v>16.2444444444444</v>
      </c>
      <c r="AB91" s="77">
        <f>STOCK[[#This Row],[Stock Actual]]*STOCK[[#This Row],[Costo total]]</f>
        <v>0</v>
      </c>
    </row>
    <row r="92" s="76" customFormat="1" ht="50" hidden="1" customHeight="1" spans="1:28">
      <c r="A92" s="76" t="s">
        <v>228</v>
      </c>
      <c r="B92" s="6"/>
      <c r="C92" s="76" t="s">
        <v>30</v>
      </c>
      <c r="D92" s="76" t="s">
        <v>151</v>
      </c>
      <c r="E92" s="76" t="s">
        <v>229</v>
      </c>
      <c r="F92" s="76" t="s">
        <v>227</v>
      </c>
      <c r="G92" s="76" t="s">
        <v>34</v>
      </c>
      <c r="H92" s="76">
        <f>STOCK[[#This Row],[Precio Final]]</f>
        <v>23</v>
      </c>
      <c r="I92" s="76">
        <f>STOCK[[#This Row],[Precio Venta Ideal (x1.5)]]</f>
        <v>24.3666666666666</v>
      </c>
      <c r="J92" s="91">
        <v>1</v>
      </c>
      <c r="K92" s="91">
        <f>SUMIFS(VENTAS[Cantidad],VENTAS[Código del producto Vendido],STOCK[[#This Row],[Code]])</f>
        <v>1</v>
      </c>
      <c r="L92" s="91">
        <f>STOCK[[#This Row],[Entradas]]-STOCK[[#This Row],[Salidas]]</f>
        <v>0</v>
      </c>
      <c r="M92" s="76">
        <f>STOCK[[#This Row],[Precio Final]]*10%</f>
        <v>2.3</v>
      </c>
      <c r="N92" s="76">
        <v>215</v>
      </c>
      <c r="O92" s="76">
        <v>18</v>
      </c>
      <c r="P92" s="76">
        <v>11.9444444444444</v>
      </c>
      <c r="Q92" s="91">
        <v>250</v>
      </c>
      <c r="R92" s="76">
        <v>8</v>
      </c>
      <c r="S92" s="76">
        <f>STOCK[[#This Row],[Peso (g)]]*STOCK[[#This Row],[Precio Envío Kilogramo (USD)]]/1000</f>
        <v>2</v>
      </c>
      <c r="T92" s="76">
        <f>STOCK[[#This Row],[Costo Unitario (USD)]]+STOCK[[#This Row],[Costo Envío (USD)]]+STOCK[[#This Row],[Comisión 10%]]</f>
        <v>16.2444444444444</v>
      </c>
      <c r="U92" s="76">
        <f>STOCK[[#This Row],[Costo total]]*1.5</f>
        <v>24.3666666666666</v>
      </c>
      <c r="V92" s="76">
        <v>23</v>
      </c>
      <c r="W92" s="76">
        <f>STOCK[[#This Row],[Precio Final]]-STOCK[[#This Row],[Costo total]]</f>
        <v>6.7555555555556</v>
      </c>
      <c r="X92" s="76">
        <f>STOCK[[#This Row],[Ganancia Unitaria]]*STOCK[[#This Row],[Salidas]]</f>
        <v>6.7555555555556</v>
      </c>
      <c r="Y92" s="76" t="s">
        <v>167</v>
      </c>
      <c r="AA92" s="76">
        <f>STOCK[[#This Row],[Costo total]]*STOCK[[#This Row],[Entradas]]</f>
        <v>16.2444444444444</v>
      </c>
      <c r="AB92" s="76">
        <f>STOCK[[#This Row],[Stock Actual]]*STOCK[[#This Row],[Costo total]]</f>
        <v>0</v>
      </c>
    </row>
    <row r="93" s="77" customFormat="1" ht="50" hidden="1" customHeight="1" spans="1:28">
      <c r="A93" s="77" t="s">
        <v>230</v>
      </c>
      <c r="B93" s="6"/>
      <c r="C93" s="77" t="s">
        <v>30</v>
      </c>
      <c r="D93" s="77" t="s">
        <v>42</v>
      </c>
      <c r="E93" s="77" t="s">
        <v>231</v>
      </c>
      <c r="F93" s="77" t="s">
        <v>60</v>
      </c>
      <c r="G93" s="77" t="s">
        <v>34</v>
      </c>
      <c r="H93" s="77">
        <f>STOCK[[#This Row],[Precio Final]]</f>
        <v>28</v>
      </c>
      <c r="I93" s="77">
        <f>STOCK[[#This Row],[Precio Venta Ideal (x1.5)]]</f>
        <v>31.92</v>
      </c>
      <c r="J93" s="92">
        <v>1</v>
      </c>
      <c r="K93" s="92">
        <f>SUMIFS(VENTAS[Cantidad],VENTAS[Código del producto Vendido],STOCK[[#This Row],[Code]])</f>
        <v>1</v>
      </c>
      <c r="L93" s="92">
        <f>STOCK[[#This Row],[Entradas]]-STOCK[[#This Row],[Salidas]]</f>
        <v>0</v>
      </c>
      <c r="M93" s="77">
        <f>STOCK[[#This Row],[Precio Final]]*10%</f>
        <v>2.8</v>
      </c>
      <c r="N93" s="77">
        <v>270</v>
      </c>
      <c r="O93" s="77">
        <v>18</v>
      </c>
      <c r="P93" s="77">
        <v>15</v>
      </c>
      <c r="Q93" s="92">
        <v>435</v>
      </c>
      <c r="R93" s="77">
        <v>8</v>
      </c>
      <c r="S93" s="77">
        <f>STOCK[[#This Row],[Peso (g)]]*STOCK[[#This Row],[Precio Envío Kilogramo (USD)]]/1000</f>
        <v>3.48</v>
      </c>
      <c r="T93" s="76">
        <f>STOCK[[#This Row],[Costo Unitario (USD)]]+STOCK[[#This Row],[Costo Envío (USD)]]+STOCK[[#This Row],[Comisión 10%]]</f>
        <v>21.28</v>
      </c>
      <c r="U93" s="77">
        <f>STOCK[[#This Row],[Costo total]]*1.5</f>
        <v>31.92</v>
      </c>
      <c r="V93" s="77">
        <v>28</v>
      </c>
      <c r="W93" s="77">
        <f>STOCK[[#This Row],[Precio Final]]-STOCK[[#This Row],[Costo total]]</f>
        <v>6.72</v>
      </c>
      <c r="X93" s="77">
        <f>STOCK[[#This Row],[Ganancia Unitaria]]*STOCK[[#This Row],[Salidas]]</f>
        <v>6.72</v>
      </c>
      <c r="Y93" s="77" t="s">
        <v>167</v>
      </c>
      <c r="AA93" s="77">
        <f>STOCK[[#This Row],[Costo total]]*STOCK[[#This Row],[Entradas]]</f>
        <v>21.28</v>
      </c>
      <c r="AB93" s="77">
        <f>STOCK[[#This Row],[Stock Actual]]*STOCK[[#This Row],[Costo total]]</f>
        <v>0</v>
      </c>
    </row>
    <row r="94" s="76" customFormat="1" ht="50" hidden="1" customHeight="1" spans="1:28">
      <c r="A94" s="76" t="s">
        <v>232</v>
      </c>
      <c r="B94" s="6"/>
      <c r="C94" s="76" t="s">
        <v>30</v>
      </c>
      <c r="D94" s="76" t="s">
        <v>173</v>
      </c>
      <c r="E94" s="76" t="s">
        <v>233</v>
      </c>
      <c r="F94" s="76" t="s">
        <v>47</v>
      </c>
      <c r="G94" s="76" t="s">
        <v>34</v>
      </c>
      <c r="H94" s="76">
        <f>STOCK[[#This Row],[Precio Final]]</f>
        <v>14</v>
      </c>
      <c r="I94" s="76">
        <f>STOCK[[#This Row],[Precio Venta Ideal (x1.5)]]</f>
        <v>14.4333333333333</v>
      </c>
      <c r="J94" s="91">
        <v>1</v>
      </c>
      <c r="K94" s="91">
        <f>SUMIFS(VENTAS[Cantidad],VENTAS[Código del producto Vendido],STOCK[[#This Row],[Code]])</f>
        <v>1</v>
      </c>
      <c r="L94" s="91">
        <f>STOCK[[#This Row],[Entradas]]-STOCK[[#This Row],[Salidas]]</f>
        <v>0</v>
      </c>
      <c r="M94" s="76">
        <f>STOCK[[#This Row],[Precio Final]]*10%</f>
        <v>1.4</v>
      </c>
      <c r="N94" s="76">
        <v>130</v>
      </c>
      <c r="O94" s="76">
        <v>18</v>
      </c>
      <c r="P94" s="76">
        <v>7.22222222222222</v>
      </c>
      <c r="Q94" s="91">
        <v>125</v>
      </c>
      <c r="R94" s="76">
        <v>8</v>
      </c>
      <c r="S94" s="76">
        <f>STOCK[[#This Row],[Peso (g)]]*STOCK[[#This Row],[Precio Envío Kilogramo (USD)]]/1000</f>
        <v>1</v>
      </c>
      <c r="T94" s="76">
        <f>STOCK[[#This Row],[Costo Unitario (USD)]]+STOCK[[#This Row],[Costo Envío (USD)]]+STOCK[[#This Row],[Comisión 10%]]</f>
        <v>9.62222222222222</v>
      </c>
      <c r="U94" s="76">
        <f>STOCK[[#This Row],[Costo total]]*1.5</f>
        <v>14.4333333333333</v>
      </c>
      <c r="V94" s="76">
        <v>14</v>
      </c>
      <c r="W94" s="76">
        <f>STOCK[[#This Row],[Precio Final]]-STOCK[[#This Row],[Costo total]]</f>
        <v>4.37777777777778</v>
      </c>
      <c r="X94" s="76">
        <f>STOCK[[#This Row],[Ganancia Unitaria]]*STOCK[[#This Row],[Salidas]]</f>
        <v>4.37777777777778</v>
      </c>
      <c r="Y94" s="76" t="s">
        <v>167</v>
      </c>
      <c r="AA94" s="76">
        <f>STOCK[[#This Row],[Costo total]]*STOCK[[#This Row],[Entradas]]</f>
        <v>9.62222222222222</v>
      </c>
      <c r="AB94" s="76">
        <f>STOCK[[#This Row],[Stock Actual]]*STOCK[[#This Row],[Costo total]]</f>
        <v>0</v>
      </c>
    </row>
    <row r="95" s="77" customFormat="1" ht="50" hidden="1" customHeight="1" spans="1:28">
      <c r="A95" s="77" t="s">
        <v>234</v>
      </c>
      <c r="B95" s="6"/>
      <c r="C95" s="77" t="s">
        <v>30</v>
      </c>
      <c r="D95" s="77" t="s">
        <v>173</v>
      </c>
      <c r="E95" s="77" t="s">
        <v>235</v>
      </c>
      <c r="F95" s="77" t="s">
        <v>38</v>
      </c>
      <c r="G95" s="77" t="s">
        <v>34</v>
      </c>
      <c r="H95" s="77">
        <f>STOCK[[#This Row],[Precio Final]]</f>
        <v>12</v>
      </c>
      <c r="I95" s="77">
        <f>STOCK[[#This Row],[Precio Venta Ideal (x1.5)]]</f>
        <v>13.6566666666667</v>
      </c>
      <c r="J95" s="92">
        <v>1</v>
      </c>
      <c r="K95" s="92">
        <f>SUMIFS(VENTAS[Cantidad],VENTAS[Código del producto Vendido],STOCK[[#This Row],[Code]])</f>
        <v>1</v>
      </c>
      <c r="L95" s="92">
        <f>STOCK[[#This Row],[Entradas]]-STOCK[[#This Row],[Salidas]]</f>
        <v>0</v>
      </c>
      <c r="M95" s="77">
        <f>STOCK[[#This Row],[Precio Final]]*10%</f>
        <v>1.2</v>
      </c>
      <c r="N95" s="77">
        <v>125</v>
      </c>
      <c r="O95" s="77">
        <v>18</v>
      </c>
      <c r="P95" s="77">
        <v>6.94444444444444</v>
      </c>
      <c r="Q95" s="92">
        <v>120</v>
      </c>
      <c r="R95" s="77">
        <v>8</v>
      </c>
      <c r="S95" s="77">
        <f>STOCK[[#This Row],[Peso (g)]]*STOCK[[#This Row],[Precio Envío Kilogramo (USD)]]/1000</f>
        <v>0.96</v>
      </c>
      <c r="T95" s="76">
        <f>STOCK[[#This Row],[Costo Unitario (USD)]]+STOCK[[#This Row],[Costo Envío (USD)]]+STOCK[[#This Row],[Comisión 10%]]</f>
        <v>9.10444444444444</v>
      </c>
      <c r="U95" s="77">
        <f>STOCK[[#This Row],[Costo total]]*1.5</f>
        <v>13.6566666666667</v>
      </c>
      <c r="V95" s="77">
        <v>12</v>
      </c>
      <c r="W95" s="77">
        <f>STOCK[[#This Row],[Precio Final]]-STOCK[[#This Row],[Costo total]]</f>
        <v>2.89555555555556</v>
      </c>
      <c r="X95" s="77">
        <f>STOCK[[#This Row],[Ganancia Unitaria]]*STOCK[[#This Row],[Salidas]]</f>
        <v>2.89555555555556</v>
      </c>
      <c r="Y95" s="77" t="s">
        <v>167</v>
      </c>
      <c r="AA95" s="77">
        <f>STOCK[[#This Row],[Costo total]]*STOCK[[#This Row],[Entradas]]</f>
        <v>9.10444444444444</v>
      </c>
      <c r="AB95" s="77">
        <f>STOCK[[#This Row],[Stock Actual]]*STOCK[[#This Row],[Costo total]]</f>
        <v>0</v>
      </c>
    </row>
    <row r="96" s="76" customFormat="1" ht="50" hidden="1" customHeight="1" spans="1:28">
      <c r="A96" s="76" t="s">
        <v>236</v>
      </c>
      <c r="B96" s="6"/>
      <c r="C96" s="76" t="s">
        <v>30</v>
      </c>
      <c r="D96" s="76" t="s">
        <v>173</v>
      </c>
      <c r="E96" s="76" t="s">
        <v>235</v>
      </c>
      <c r="F96" s="76" t="s">
        <v>47</v>
      </c>
      <c r="G96" s="76" t="s">
        <v>34</v>
      </c>
      <c r="H96" s="76">
        <f>STOCK[[#This Row],[Precio Final]]</f>
        <v>12</v>
      </c>
      <c r="I96" s="76">
        <f>STOCK[[#This Row],[Precio Venta Ideal (x1.5)]]</f>
        <v>13.6566666666667</v>
      </c>
      <c r="J96" s="91">
        <v>1</v>
      </c>
      <c r="K96" s="91">
        <f>SUMIFS(VENTAS[Cantidad],VENTAS[Código del producto Vendido],STOCK[[#This Row],[Code]])</f>
        <v>1</v>
      </c>
      <c r="L96" s="91">
        <f>STOCK[[#This Row],[Entradas]]-STOCK[[#This Row],[Salidas]]</f>
        <v>0</v>
      </c>
      <c r="M96" s="76">
        <f>STOCK[[#This Row],[Precio Final]]*10%</f>
        <v>1.2</v>
      </c>
      <c r="N96" s="76">
        <v>125</v>
      </c>
      <c r="O96" s="76">
        <v>18</v>
      </c>
      <c r="P96" s="76">
        <v>6.94444444444444</v>
      </c>
      <c r="Q96" s="91">
        <v>120</v>
      </c>
      <c r="R96" s="76">
        <v>8</v>
      </c>
      <c r="S96" s="76">
        <f>STOCK[[#This Row],[Peso (g)]]*STOCK[[#This Row],[Precio Envío Kilogramo (USD)]]/1000</f>
        <v>0.96</v>
      </c>
      <c r="T96" s="76">
        <f>STOCK[[#This Row],[Costo Unitario (USD)]]+STOCK[[#This Row],[Costo Envío (USD)]]+STOCK[[#This Row],[Comisión 10%]]</f>
        <v>9.10444444444444</v>
      </c>
      <c r="U96" s="76">
        <f>STOCK[[#This Row],[Costo total]]*1.5</f>
        <v>13.6566666666667</v>
      </c>
      <c r="V96" s="76">
        <v>12</v>
      </c>
      <c r="W96" s="76">
        <f>STOCK[[#This Row],[Precio Final]]-STOCK[[#This Row],[Costo total]]</f>
        <v>2.89555555555556</v>
      </c>
      <c r="X96" s="76">
        <f>STOCK[[#This Row],[Ganancia Unitaria]]*STOCK[[#This Row],[Salidas]]</f>
        <v>2.89555555555556</v>
      </c>
      <c r="Y96" s="76" t="s">
        <v>167</v>
      </c>
      <c r="AA96" s="76">
        <f>STOCK[[#This Row],[Costo total]]*STOCK[[#This Row],[Entradas]]</f>
        <v>9.10444444444444</v>
      </c>
      <c r="AB96" s="76">
        <f>STOCK[[#This Row],[Stock Actual]]*STOCK[[#This Row],[Costo total]]</f>
        <v>0</v>
      </c>
    </row>
    <row r="97" s="77" customFormat="1" ht="50" hidden="1" customHeight="1" spans="1:28">
      <c r="A97" s="77" t="s">
        <v>237</v>
      </c>
      <c r="B97" s="6"/>
      <c r="C97" s="77" t="s">
        <v>30</v>
      </c>
      <c r="D97" s="77" t="s">
        <v>42</v>
      </c>
      <c r="E97" s="77" t="s">
        <v>238</v>
      </c>
      <c r="F97" s="77" t="s">
        <v>47</v>
      </c>
      <c r="G97" s="77" t="s">
        <v>34</v>
      </c>
      <c r="H97" s="77">
        <f>STOCK[[#This Row],[Precio Final]]</f>
        <v>28</v>
      </c>
      <c r="I97" s="77">
        <f>STOCK[[#This Row],[Precio Venta Ideal (x1.5)]]</f>
        <v>31.7966666666667</v>
      </c>
      <c r="J97" s="92">
        <v>1</v>
      </c>
      <c r="K97" s="92">
        <f>SUMIFS(VENTAS[Cantidad],VENTAS[Código del producto Vendido],STOCK[[#This Row],[Code]])</f>
        <v>1</v>
      </c>
      <c r="L97" s="92">
        <f>STOCK[[#This Row],[Entradas]]-STOCK[[#This Row],[Salidas]]</f>
        <v>0</v>
      </c>
      <c r="M97" s="77">
        <f>STOCK[[#This Row],[Precio Final]]*10%</f>
        <v>2.8</v>
      </c>
      <c r="N97" s="77">
        <v>275</v>
      </c>
      <c r="O97" s="77">
        <v>18</v>
      </c>
      <c r="P97" s="77">
        <v>15.2777777777778</v>
      </c>
      <c r="Q97" s="92">
        <v>390</v>
      </c>
      <c r="R97" s="77">
        <v>8</v>
      </c>
      <c r="S97" s="77">
        <f>STOCK[[#This Row],[Peso (g)]]*STOCK[[#This Row],[Precio Envío Kilogramo (USD)]]/1000</f>
        <v>3.12</v>
      </c>
      <c r="T97" s="76">
        <f>STOCK[[#This Row],[Costo Unitario (USD)]]+STOCK[[#This Row],[Costo Envío (USD)]]+STOCK[[#This Row],[Comisión 10%]]</f>
        <v>21.1977777777778</v>
      </c>
      <c r="U97" s="77">
        <f>STOCK[[#This Row],[Costo total]]*1.5</f>
        <v>31.7966666666667</v>
      </c>
      <c r="V97" s="77">
        <v>28</v>
      </c>
      <c r="W97" s="77">
        <f>STOCK[[#This Row],[Precio Final]]-STOCK[[#This Row],[Costo total]]</f>
        <v>6.8022222222222</v>
      </c>
      <c r="X97" s="77">
        <f>STOCK[[#This Row],[Ganancia Unitaria]]*STOCK[[#This Row],[Salidas]]</f>
        <v>6.8022222222222</v>
      </c>
      <c r="Y97" s="77" t="s">
        <v>167</v>
      </c>
      <c r="AA97" s="77">
        <f>STOCK[[#This Row],[Costo total]]*STOCK[[#This Row],[Entradas]]</f>
        <v>21.1977777777778</v>
      </c>
      <c r="AB97" s="77">
        <f>STOCK[[#This Row],[Stock Actual]]*STOCK[[#This Row],[Costo total]]</f>
        <v>0</v>
      </c>
    </row>
    <row r="98" s="76" customFormat="1" ht="50" hidden="1" customHeight="1" spans="1:28">
      <c r="A98" s="76" t="s">
        <v>239</v>
      </c>
      <c r="B98" s="6"/>
      <c r="C98" s="76" t="s">
        <v>30</v>
      </c>
      <c r="D98" s="76" t="s">
        <v>42</v>
      </c>
      <c r="E98" s="76" t="s">
        <v>238</v>
      </c>
      <c r="F98" s="76" t="s">
        <v>38</v>
      </c>
      <c r="G98" s="76" t="s">
        <v>34</v>
      </c>
      <c r="H98" s="76">
        <f>STOCK[[#This Row],[Precio Final]]</f>
        <v>28</v>
      </c>
      <c r="I98" s="76">
        <f>STOCK[[#This Row],[Precio Venta Ideal (x1.5)]]</f>
        <v>30.6566666666667</v>
      </c>
      <c r="J98" s="91">
        <v>1</v>
      </c>
      <c r="K98" s="91">
        <f>SUMIFS(VENTAS[Cantidad],VENTAS[Código del producto Vendido],STOCK[[#This Row],[Code]])</f>
        <v>1</v>
      </c>
      <c r="L98" s="91">
        <f>STOCK[[#This Row],[Entradas]]-STOCK[[#This Row],[Salidas]]</f>
        <v>0</v>
      </c>
      <c r="M98" s="76">
        <f>STOCK[[#This Row],[Precio Final]]*10%</f>
        <v>2.8</v>
      </c>
      <c r="N98" s="76">
        <v>275</v>
      </c>
      <c r="O98" s="76">
        <v>18</v>
      </c>
      <c r="P98" s="76">
        <v>15.2777777777778</v>
      </c>
      <c r="Q98" s="91">
        <v>295</v>
      </c>
      <c r="R98" s="76">
        <v>8</v>
      </c>
      <c r="S98" s="76">
        <f>STOCK[[#This Row],[Peso (g)]]*STOCK[[#This Row],[Precio Envío Kilogramo (USD)]]/1000</f>
        <v>2.36</v>
      </c>
      <c r="T98" s="76">
        <f>STOCK[[#This Row],[Costo Unitario (USD)]]+STOCK[[#This Row],[Costo Envío (USD)]]+STOCK[[#This Row],[Comisión 10%]]</f>
        <v>20.4377777777778</v>
      </c>
      <c r="U98" s="76">
        <f>STOCK[[#This Row],[Costo total]]*1.5</f>
        <v>30.6566666666667</v>
      </c>
      <c r="V98" s="76">
        <v>28</v>
      </c>
      <c r="W98" s="76">
        <f>STOCK[[#This Row],[Precio Final]]-STOCK[[#This Row],[Costo total]]</f>
        <v>7.5622222222222</v>
      </c>
      <c r="X98" s="76">
        <f>STOCK[[#This Row],[Ganancia Unitaria]]*STOCK[[#This Row],[Salidas]]</f>
        <v>7.5622222222222</v>
      </c>
      <c r="Y98" s="76" t="s">
        <v>167</v>
      </c>
      <c r="AA98" s="76">
        <f>STOCK[[#This Row],[Costo total]]*STOCK[[#This Row],[Entradas]]</f>
        <v>20.4377777777778</v>
      </c>
      <c r="AB98" s="76">
        <f>STOCK[[#This Row],[Stock Actual]]*STOCK[[#This Row],[Costo total]]</f>
        <v>0</v>
      </c>
    </row>
    <row r="99" s="77" customFormat="1" ht="50" hidden="1" customHeight="1" spans="1:28">
      <c r="A99" s="77" t="s">
        <v>240</v>
      </c>
      <c r="B99" s="6"/>
      <c r="C99" s="77" t="s">
        <v>30</v>
      </c>
      <c r="D99" s="77" t="s">
        <v>42</v>
      </c>
      <c r="E99" s="77" t="s">
        <v>241</v>
      </c>
      <c r="F99" s="77" t="s">
        <v>44</v>
      </c>
      <c r="G99" s="77" t="s">
        <v>34</v>
      </c>
      <c r="H99" s="77">
        <f>STOCK[[#This Row],[Precio Final]]</f>
        <v>20</v>
      </c>
      <c r="I99" s="77">
        <f>STOCK[[#This Row],[Precio Venta Ideal (x1.5)]]</f>
        <v>20.8133333333334</v>
      </c>
      <c r="J99" s="92">
        <v>1</v>
      </c>
      <c r="K99" s="92">
        <f>SUMIFS(VENTAS[Cantidad],VENTAS[Código del producto Vendido],STOCK[[#This Row],[Code]])</f>
        <v>1</v>
      </c>
      <c r="L99" s="92">
        <f>STOCK[[#This Row],[Entradas]]-STOCK[[#This Row],[Salidas]]</f>
        <v>0</v>
      </c>
      <c r="M99" s="77">
        <f>STOCK[[#This Row],[Precio Final]]*10%</f>
        <v>2</v>
      </c>
      <c r="N99" s="77">
        <v>190</v>
      </c>
      <c r="O99" s="77">
        <v>18</v>
      </c>
      <c r="P99" s="77">
        <v>10.5555555555556</v>
      </c>
      <c r="Q99" s="92">
        <v>165</v>
      </c>
      <c r="R99" s="77">
        <v>8</v>
      </c>
      <c r="S99" s="77">
        <f>STOCK[[#This Row],[Peso (g)]]*STOCK[[#This Row],[Precio Envío Kilogramo (USD)]]/1000</f>
        <v>1.32</v>
      </c>
      <c r="T99" s="76">
        <f>STOCK[[#This Row],[Costo Unitario (USD)]]+STOCK[[#This Row],[Costo Envío (USD)]]+STOCK[[#This Row],[Comisión 10%]]</f>
        <v>13.8755555555556</v>
      </c>
      <c r="U99" s="77">
        <f>STOCK[[#This Row],[Costo total]]*1.5</f>
        <v>20.8133333333334</v>
      </c>
      <c r="V99" s="77">
        <v>20</v>
      </c>
      <c r="W99" s="77">
        <f>STOCK[[#This Row],[Precio Final]]-STOCK[[#This Row],[Costo total]]</f>
        <v>6.1244444444444</v>
      </c>
      <c r="X99" s="77">
        <f>STOCK[[#This Row],[Ganancia Unitaria]]*STOCK[[#This Row],[Salidas]]</f>
        <v>6.1244444444444</v>
      </c>
      <c r="Y99" s="77" t="s">
        <v>167</v>
      </c>
      <c r="AA99" s="77">
        <f>STOCK[[#This Row],[Costo total]]*STOCK[[#This Row],[Entradas]]</f>
        <v>13.8755555555556</v>
      </c>
      <c r="AB99" s="77">
        <f>STOCK[[#This Row],[Stock Actual]]*STOCK[[#This Row],[Costo total]]</f>
        <v>0</v>
      </c>
    </row>
    <row r="100" s="76" customFormat="1" ht="50" hidden="1" customHeight="1" spans="1:28">
      <c r="A100" s="76" t="s">
        <v>242</v>
      </c>
      <c r="B100" s="6"/>
      <c r="C100" s="76" t="s">
        <v>30</v>
      </c>
      <c r="D100" s="76" t="s">
        <v>42</v>
      </c>
      <c r="E100" s="76" t="s">
        <v>241</v>
      </c>
      <c r="F100" s="76" t="s">
        <v>47</v>
      </c>
      <c r="G100" s="76" t="s">
        <v>34</v>
      </c>
      <c r="H100" s="76">
        <f>STOCK[[#This Row],[Precio Final]]</f>
        <v>20</v>
      </c>
      <c r="I100" s="76">
        <f>STOCK[[#This Row],[Precio Venta Ideal (x1.5)]]</f>
        <v>20.6933333333334</v>
      </c>
      <c r="J100" s="91">
        <v>1</v>
      </c>
      <c r="K100" s="91">
        <f>SUMIFS(VENTAS[Cantidad],VENTAS[Código del producto Vendido],STOCK[[#This Row],[Code]])</f>
        <v>1</v>
      </c>
      <c r="L100" s="91">
        <f>STOCK[[#This Row],[Entradas]]-STOCK[[#This Row],[Salidas]]</f>
        <v>0</v>
      </c>
      <c r="M100" s="76">
        <f>STOCK[[#This Row],[Precio Final]]*10%</f>
        <v>2</v>
      </c>
      <c r="N100" s="76">
        <v>190</v>
      </c>
      <c r="O100" s="76">
        <v>18</v>
      </c>
      <c r="P100" s="76">
        <v>10.5555555555556</v>
      </c>
      <c r="Q100" s="91">
        <v>155</v>
      </c>
      <c r="R100" s="76">
        <v>8</v>
      </c>
      <c r="S100" s="76">
        <f>STOCK[[#This Row],[Peso (g)]]*STOCK[[#This Row],[Precio Envío Kilogramo (USD)]]/1000</f>
        <v>1.24</v>
      </c>
      <c r="T100" s="76">
        <f>STOCK[[#This Row],[Costo Unitario (USD)]]+STOCK[[#This Row],[Costo Envío (USD)]]+STOCK[[#This Row],[Comisión 10%]]</f>
        <v>13.7955555555556</v>
      </c>
      <c r="U100" s="76">
        <f>STOCK[[#This Row],[Costo total]]*1.5</f>
        <v>20.6933333333334</v>
      </c>
      <c r="V100" s="76">
        <v>20</v>
      </c>
      <c r="W100" s="76">
        <f>STOCK[[#This Row],[Precio Final]]-STOCK[[#This Row],[Costo total]]</f>
        <v>6.2044444444444</v>
      </c>
      <c r="X100" s="76">
        <f>STOCK[[#This Row],[Ganancia Unitaria]]*STOCK[[#This Row],[Salidas]]</f>
        <v>6.2044444444444</v>
      </c>
      <c r="Y100" s="76" t="s">
        <v>167</v>
      </c>
      <c r="AA100" s="76">
        <f>STOCK[[#This Row],[Costo total]]*STOCK[[#This Row],[Entradas]]</f>
        <v>13.7955555555556</v>
      </c>
      <c r="AB100" s="76">
        <f>STOCK[[#This Row],[Stock Actual]]*STOCK[[#This Row],[Costo total]]</f>
        <v>0</v>
      </c>
    </row>
    <row r="101" s="77" customFormat="1" ht="50" hidden="1" customHeight="1" spans="1:28">
      <c r="A101" s="77" t="s">
        <v>243</v>
      </c>
      <c r="B101" s="6"/>
      <c r="C101" s="77" t="s">
        <v>30</v>
      </c>
      <c r="D101" s="77" t="s">
        <v>173</v>
      </c>
      <c r="E101" s="77" t="s">
        <v>244</v>
      </c>
      <c r="F101" s="77" t="s">
        <v>47</v>
      </c>
      <c r="G101" s="77" t="s">
        <v>34</v>
      </c>
      <c r="H101" s="77">
        <f>STOCK[[#This Row],[Precio Final]]</f>
        <v>14</v>
      </c>
      <c r="I101" s="77">
        <f>STOCK[[#This Row],[Precio Venta Ideal (x1.5)]]</f>
        <v>15.7566666666667</v>
      </c>
      <c r="J101" s="92">
        <v>1</v>
      </c>
      <c r="K101" s="92">
        <f>SUMIFS(VENTAS[Cantidad],VENTAS[Código del producto Vendido],STOCK[[#This Row],[Code]])</f>
        <v>1</v>
      </c>
      <c r="L101" s="92">
        <f>STOCK[[#This Row],[Entradas]]-STOCK[[#This Row],[Salidas]]</f>
        <v>0</v>
      </c>
      <c r="M101" s="77">
        <f>STOCK[[#This Row],[Precio Final]]*10%</f>
        <v>1.4</v>
      </c>
      <c r="N101" s="77">
        <v>143</v>
      </c>
      <c r="O101" s="77">
        <v>18</v>
      </c>
      <c r="P101" s="77">
        <v>7.94444444444444</v>
      </c>
      <c r="Q101" s="92">
        <v>145</v>
      </c>
      <c r="R101" s="77">
        <v>8</v>
      </c>
      <c r="S101" s="77">
        <f>STOCK[[#This Row],[Peso (g)]]*STOCK[[#This Row],[Precio Envío Kilogramo (USD)]]/1000</f>
        <v>1.16</v>
      </c>
      <c r="T101" s="76">
        <f>STOCK[[#This Row],[Costo Unitario (USD)]]+STOCK[[#This Row],[Costo Envío (USD)]]+STOCK[[#This Row],[Comisión 10%]]</f>
        <v>10.5044444444444</v>
      </c>
      <c r="U101" s="77">
        <f>STOCK[[#This Row],[Costo total]]*1.5</f>
        <v>15.7566666666667</v>
      </c>
      <c r="V101" s="77">
        <v>14</v>
      </c>
      <c r="W101" s="77">
        <f>STOCK[[#This Row],[Precio Final]]-STOCK[[#This Row],[Costo total]]</f>
        <v>3.49555555555556</v>
      </c>
      <c r="X101" s="77">
        <f>STOCK[[#This Row],[Ganancia Unitaria]]*STOCK[[#This Row],[Salidas]]</f>
        <v>3.49555555555556</v>
      </c>
      <c r="Y101" s="77" t="s">
        <v>167</v>
      </c>
      <c r="AA101" s="77">
        <f>STOCK[[#This Row],[Costo total]]*STOCK[[#This Row],[Entradas]]</f>
        <v>10.5044444444444</v>
      </c>
      <c r="AB101" s="77">
        <f>STOCK[[#This Row],[Stock Actual]]*STOCK[[#This Row],[Costo total]]</f>
        <v>0</v>
      </c>
    </row>
    <row r="102" s="76" customFormat="1" ht="50" hidden="1" customHeight="1" spans="1:28">
      <c r="A102" s="76" t="s">
        <v>245</v>
      </c>
      <c r="B102" s="6"/>
      <c r="C102" s="76" t="s">
        <v>30</v>
      </c>
      <c r="D102" s="76" t="s">
        <v>246</v>
      </c>
      <c r="E102" s="76" t="s">
        <v>247</v>
      </c>
      <c r="F102" s="76" t="s">
        <v>204</v>
      </c>
      <c r="G102" s="76" t="s">
        <v>34</v>
      </c>
      <c r="H102" s="76">
        <f>STOCK[[#This Row],[Precio Final]]</f>
        <v>13</v>
      </c>
      <c r="I102" s="76">
        <f>STOCK[[#This Row],[Precio Venta Ideal (x1.5)]]</f>
        <v>14.0133333333333</v>
      </c>
      <c r="J102" s="91">
        <v>1</v>
      </c>
      <c r="K102" s="91">
        <f>SUMIFS(VENTAS[Cantidad],VENTAS[Código del producto Vendido],STOCK[[#This Row],[Code]])</f>
        <v>1</v>
      </c>
      <c r="L102" s="91">
        <f>STOCK[[#This Row],[Entradas]]-STOCK[[#This Row],[Salidas]]</f>
        <v>0</v>
      </c>
      <c r="M102" s="76">
        <f>STOCK[[#This Row],[Precio Final]]*10%</f>
        <v>1.3</v>
      </c>
      <c r="N102" s="76">
        <v>121</v>
      </c>
      <c r="O102" s="76">
        <v>18</v>
      </c>
      <c r="P102" s="76">
        <v>6.72222222222222</v>
      </c>
      <c r="Q102" s="91">
        <v>165</v>
      </c>
      <c r="R102" s="76">
        <v>8</v>
      </c>
      <c r="S102" s="76">
        <f>STOCK[[#This Row],[Peso (g)]]*STOCK[[#This Row],[Precio Envío Kilogramo (USD)]]/1000</f>
        <v>1.32</v>
      </c>
      <c r="T102" s="76">
        <f>STOCK[[#This Row],[Costo Unitario (USD)]]+STOCK[[#This Row],[Costo Envío (USD)]]+STOCK[[#This Row],[Comisión 10%]]</f>
        <v>9.34222222222222</v>
      </c>
      <c r="U102" s="76">
        <f>STOCK[[#This Row],[Costo total]]*1.5</f>
        <v>14.0133333333333</v>
      </c>
      <c r="V102" s="76">
        <v>13</v>
      </c>
      <c r="W102" s="76">
        <f>STOCK[[#This Row],[Precio Final]]-STOCK[[#This Row],[Costo total]]</f>
        <v>3.65777777777778</v>
      </c>
      <c r="X102" s="76">
        <f>STOCK[[#This Row],[Ganancia Unitaria]]*STOCK[[#This Row],[Salidas]]</f>
        <v>3.65777777777778</v>
      </c>
      <c r="Y102" s="76" t="s">
        <v>167</v>
      </c>
      <c r="AA102" s="76">
        <f>STOCK[[#This Row],[Costo total]]*STOCK[[#This Row],[Entradas]]</f>
        <v>9.34222222222222</v>
      </c>
      <c r="AB102" s="76">
        <f>STOCK[[#This Row],[Stock Actual]]*STOCK[[#This Row],[Costo total]]</f>
        <v>0</v>
      </c>
    </row>
    <row r="103" s="77" customFormat="1" ht="50" hidden="1" customHeight="1" spans="1:28">
      <c r="A103" s="77" t="s">
        <v>248</v>
      </c>
      <c r="B103" s="6"/>
      <c r="C103" s="77" t="s">
        <v>30</v>
      </c>
      <c r="D103" s="77" t="s">
        <v>42</v>
      </c>
      <c r="E103" s="77" t="s">
        <v>249</v>
      </c>
      <c r="F103" s="77" t="s">
        <v>40</v>
      </c>
      <c r="G103" s="77" t="s">
        <v>34</v>
      </c>
      <c r="H103" s="77">
        <f>STOCK[[#This Row],[Precio Final]]</f>
        <v>25</v>
      </c>
      <c r="I103" s="77">
        <f>STOCK[[#This Row],[Precio Venta Ideal (x1.5)]]</f>
        <v>29.55</v>
      </c>
      <c r="J103" s="92">
        <v>1</v>
      </c>
      <c r="K103" s="92">
        <f>SUMIFS(VENTAS[Cantidad],VENTAS[Código del producto Vendido],STOCK[[#This Row],[Code]])</f>
        <v>1</v>
      </c>
      <c r="L103" s="92">
        <f>STOCK[[#This Row],[Entradas]]-STOCK[[#This Row],[Salidas]]</f>
        <v>0</v>
      </c>
      <c r="M103" s="77">
        <f>STOCK[[#This Row],[Precio Final]]*10%</f>
        <v>2.5</v>
      </c>
      <c r="N103" s="77">
        <v>270</v>
      </c>
      <c r="O103" s="77">
        <v>18</v>
      </c>
      <c r="P103" s="77">
        <v>15</v>
      </c>
      <c r="Q103" s="92">
        <v>275</v>
      </c>
      <c r="R103" s="77">
        <v>8</v>
      </c>
      <c r="S103" s="77">
        <f>STOCK[[#This Row],[Peso (g)]]*STOCK[[#This Row],[Precio Envío Kilogramo (USD)]]/1000</f>
        <v>2.2</v>
      </c>
      <c r="T103" s="76">
        <f>STOCK[[#This Row],[Costo Unitario (USD)]]+STOCK[[#This Row],[Costo Envío (USD)]]+STOCK[[#This Row],[Comisión 10%]]</f>
        <v>19.7</v>
      </c>
      <c r="U103" s="77">
        <f>STOCK[[#This Row],[Costo total]]*1.5</f>
        <v>29.55</v>
      </c>
      <c r="V103" s="77">
        <v>25</v>
      </c>
      <c r="W103" s="77">
        <f>STOCK[[#This Row],[Precio Final]]-STOCK[[#This Row],[Costo total]]</f>
        <v>5.3</v>
      </c>
      <c r="X103" s="77">
        <f>STOCK[[#This Row],[Ganancia Unitaria]]*STOCK[[#This Row],[Salidas]]</f>
        <v>5.3</v>
      </c>
      <c r="Y103" s="77" t="s">
        <v>167</v>
      </c>
      <c r="AA103" s="77">
        <f>STOCK[[#This Row],[Costo total]]*STOCK[[#This Row],[Entradas]]</f>
        <v>19.7</v>
      </c>
      <c r="AB103" s="77">
        <f>STOCK[[#This Row],[Stock Actual]]*STOCK[[#This Row],[Costo total]]</f>
        <v>0</v>
      </c>
    </row>
    <row r="104" s="76" customFormat="1" ht="50" hidden="1" customHeight="1" spans="1:28">
      <c r="A104" s="76" t="s">
        <v>250</v>
      </c>
      <c r="B104" s="6"/>
      <c r="C104" s="76" t="s">
        <v>30</v>
      </c>
      <c r="D104" s="76" t="s">
        <v>42</v>
      </c>
      <c r="E104" s="76" t="s">
        <v>251</v>
      </c>
      <c r="F104" s="76" t="s">
        <v>210</v>
      </c>
      <c r="G104" s="76" t="s">
        <v>34</v>
      </c>
      <c r="H104" s="76">
        <f>STOCK[[#This Row],[Precio Final]]</f>
        <v>25</v>
      </c>
      <c r="I104" s="76">
        <f>STOCK[[#This Row],[Precio Venta Ideal (x1.5)]]</f>
        <v>28.89</v>
      </c>
      <c r="J104" s="91">
        <v>1</v>
      </c>
      <c r="K104" s="91">
        <f>SUMIFS(VENTAS[Cantidad],VENTAS[Código del producto Vendido],STOCK[[#This Row],[Code]])</f>
        <v>1</v>
      </c>
      <c r="L104" s="91">
        <f>STOCK[[#This Row],[Entradas]]-STOCK[[#This Row],[Salidas]]</f>
        <v>0</v>
      </c>
      <c r="M104" s="76">
        <f>STOCK[[#This Row],[Precio Final]]*10%</f>
        <v>2.5</v>
      </c>
      <c r="N104" s="76">
        <v>270</v>
      </c>
      <c r="O104" s="76">
        <v>18</v>
      </c>
      <c r="P104" s="76">
        <v>15</v>
      </c>
      <c r="Q104" s="91">
        <v>220</v>
      </c>
      <c r="R104" s="76">
        <v>8</v>
      </c>
      <c r="S104" s="76">
        <f>STOCK[[#This Row],[Peso (g)]]*STOCK[[#This Row],[Precio Envío Kilogramo (USD)]]/1000</f>
        <v>1.76</v>
      </c>
      <c r="T104" s="76">
        <f>STOCK[[#This Row],[Costo Unitario (USD)]]+STOCK[[#This Row],[Costo Envío (USD)]]+STOCK[[#This Row],[Comisión 10%]]</f>
        <v>19.26</v>
      </c>
      <c r="U104" s="76">
        <f>STOCK[[#This Row],[Costo total]]*1.5</f>
        <v>28.89</v>
      </c>
      <c r="V104" s="76">
        <v>25</v>
      </c>
      <c r="W104" s="76">
        <f>STOCK[[#This Row],[Precio Final]]-STOCK[[#This Row],[Costo total]]</f>
        <v>5.74</v>
      </c>
      <c r="X104" s="76">
        <f>STOCK[[#This Row],[Ganancia Unitaria]]*STOCK[[#This Row],[Salidas]]</f>
        <v>5.74</v>
      </c>
      <c r="Y104" s="76" t="s">
        <v>167</v>
      </c>
      <c r="AA104" s="76">
        <f>STOCK[[#This Row],[Costo total]]*STOCK[[#This Row],[Entradas]]</f>
        <v>19.26</v>
      </c>
      <c r="AB104" s="76">
        <f>STOCK[[#This Row],[Stock Actual]]*STOCK[[#This Row],[Costo total]]</f>
        <v>0</v>
      </c>
    </row>
    <row r="105" s="77" customFormat="1" ht="50" hidden="1" customHeight="1" spans="1:28">
      <c r="A105" s="77" t="s">
        <v>252</v>
      </c>
      <c r="B105" s="6"/>
      <c r="C105" s="77" t="s">
        <v>30</v>
      </c>
      <c r="D105" s="77" t="s">
        <v>42</v>
      </c>
      <c r="E105" s="77" t="s">
        <v>249</v>
      </c>
      <c r="F105" s="77" t="s">
        <v>60</v>
      </c>
      <c r="G105" s="77" t="s">
        <v>34</v>
      </c>
      <c r="H105" s="77">
        <f>STOCK[[#This Row],[Precio Final]]</f>
        <v>25</v>
      </c>
      <c r="I105" s="77">
        <f>STOCK[[#This Row],[Precio Venta Ideal (x1.5)]]</f>
        <v>28.95</v>
      </c>
      <c r="J105" s="92">
        <v>1</v>
      </c>
      <c r="K105" s="92">
        <f>SUMIFS(VENTAS[Cantidad],VENTAS[Código del producto Vendido],STOCK[[#This Row],[Code]])</f>
        <v>1</v>
      </c>
      <c r="L105" s="92">
        <f>STOCK[[#This Row],[Entradas]]-STOCK[[#This Row],[Salidas]]</f>
        <v>0</v>
      </c>
      <c r="M105" s="77">
        <f>STOCK[[#This Row],[Precio Final]]*10%</f>
        <v>2.5</v>
      </c>
      <c r="N105" s="77">
        <v>270</v>
      </c>
      <c r="O105" s="77">
        <v>18</v>
      </c>
      <c r="P105" s="77">
        <v>15</v>
      </c>
      <c r="Q105" s="92">
        <v>225</v>
      </c>
      <c r="R105" s="77">
        <v>8</v>
      </c>
      <c r="S105" s="77">
        <f>STOCK[[#This Row],[Peso (g)]]*STOCK[[#This Row],[Precio Envío Kilogramo (USD)]]/1000</f>
        <v>1.8</v>
      </c>
      <c r="T105" s="76">
        <f>STOCK[[#This Row],[Costo Unitario (USD)]]+STOCK[[#This Row],[Costo Envío (USD)]]+STOCK[[#This Row],[Comisión 10%]]</f>
        <v>19.3</v>
      </c>
      <c r="U105" s="77">
        <f>STOCK[[#This Row],[Costo total]]*1.5</f>
        <v>28.95</v>
      </c>
      <c r="V105" s="77">
        <v>25</v>
      </c>
      <c r="W105" s="77">
        <f>STOCK[[#This Row],[Precio Final]]-STOCK[[#This Row],[Costo total]]</f>
        <v>5.7</v>
      </c>
      <c r="X105" s="77">
        <f>STOCK[[#This Row],[Ganancia Unitaria]]*STOCK[[#This Row],[Salidas]]</f>
        <v>5.7</v>
      </c>
      <c r="Y105" s="77" t="s">
        <v>167</v>
      </c>
      <c r="AA105" s="77">
        <f>STOCK[[#This Row],[Costo total]]*STOCK[[#This Row],[Entradas]]</f>
        <v>19.3</v>
      </c>
      <c r="AB105" s="77">
        <f>STOCK[[#This Row],[Stock Actual]]*STOCK[[#This Row],[Costo total]]</f>
        <v>0</v>
      </c>
    </row>
    <row r="106" s="76" customFormat="1" ht="50" hidden="1" customHeight="1" spans="1:28">
      <c r="A106" s="76" t="s">
        <v>253</v>
      </c>
      <c r="B106" s="6"/>
      <c r="C106" s="76" t="s">
        <v>30</v>
      </c>
      <c r="D106" s="76" t="s">
        <v>173</v>
      </c>
      <c r="E106" s="76" t="s">
        <v>254</v>
      </c>
      <c r="F106" s="76" t="s">
        <v>186</v>
      </c>
      <c r="G106" s="76" t="s">
        <v>34</v>
      </c>
      <c r="H106" s="76">
        <f>STOCK[[#This Row],[Precio Final]]</f>
        <v>12</v>
      </c>
      <c r="I106" s="76">
        <f>STOCK[[#This Row],[Precio Venta Ideal (x1.5)]]</f>
        <v>14.3133333333333</v>
      </c>
      <c r="J106" s="91">
        <v>1</v>
      </c>
      <c r="K106" s="91">
        <f>SUMIFS(VENTAS[Cantidad],VENTAS[Código del producto Vendido],STOCK[[#This Row],[Code]])</f>
        <v>1</v>
      </c>
      <c r="L106" s="91">
        <f>STOCK[[#This Row],[Entradas]]-STOCK[[#This Row],[Salidas]]</f>
        <v>0</v>
      </c>
      <c r="M106" s="76">
        <f>STOCK[[#This Row],[Precio Final]]*10%</f>
        <v>1.2</v>
      </c>
      <c r="N106" s="76">
        <v>130</v>
      </c>
      <c r="O106" s="76">
        <v>18</v>
      </c>
      <c r="P106" s="76">
        <v>7.22222222222222</v>
      </c>
      <c r="Q106" s="91">
        <v>140</v>
      </c>
      <c r="R106" s="76">
        <v>8</v>
      </c>
      <c r="S106" s="76">
        <f>STOCK[[#This Row],[Peso (g)]]*STOCK[[#This Row],[Precio Envío Kilogramo (USD)]]/1000</f>
        <v>1.12</v>
      </c>
      <c r="T106" s="76">
        <f>STOCK[[#This Row],[Costo Unitario (USD)]]+STOCK[[#This Row],[Costo Envío (USD)]]+STOCK[[#This Row],[Comisión 10%]]</f>
        <v>9.54222222222222</v>
      </c>
      <c r="U106" s="76">
        <f>STOCK[[#This Row],[Costo total]]*1.5</f>
        <v>14.3133333333333</v>
      </c>
      <c r="V106" s="76">
        <v>12</v>
      </c>
      <c r="W106" s="76">
        <f>STOCK[[#This Row],[Precio Final]]-STOCK[[#This Row],[Costo total]]</f>
        <v>2.45777777777778</v>
      </c>
      <c r="X106" s="76">
        <f>STOCK[[#This Row],[Ganancia Unitaria]]*STOCK[[#This Row],[Salidas]]</f>
        <v>2.45777777777778</v>
      </c>
      <c r="Y106" s="76" t="s">
        <v>167</v>
      </c>
      <c r="AA106" s="76">
        <f>STOCK[[#This Row],[Costo total]]*STOCK[[#This Row],[Entradas]]</f>
        <v>9.54222222222222</v>
      </c>
      <c r="AB106" s="76">
        <f>STOCK[[#This Row],[Stock Actual]]*STOCK[[#This Row],[Costo total]]</f>
        <v>0</v>
      </c>
    </row>
    <row r="107" s="77" customFormat="1" ht="50" hidden="1" customHeight="1" spans="1:28">
      <c r="A107" s="77" t="s">
        <v>255</v>
      </c>
      <c r="B107" s="6"/>
      <c r="C107" s="77" t="s">
        <v>30</v>
      </c>
      <c r="D107" s="77" t="s">
        <v>173</v>
      </c>
      <c r="E107" s="77" t="s">
        <v>256</v>
      </c>
      <c r="F107" s="77" t="s">
        <v>257</v>
      </c>
      <c r="G107" s="77" t="s">
        <v>34</v>
      </c>
      <c r="H107" s="77">
        <f>STOCK[[#This Row],[Precio Final]]</f>
        <v>14</v>
      </c>
      <c r="I107" s="77">
        <f>STOCK[[#This Row],[Precio Venta Ideal (x1.5)]]</f>
        <v>14.6133333333333</v>
      </c>
      <c r="J107" s="92">
        <v>1</v>
      </c>
      <c r="K107" s="92">
        <f>SUMIFS(VENTAS[Cantidad],VENTAS[Código del producto Vendido],STOCK[[#This Row],[Code]])</f>
        <v>1</v>
      </c>
      <c r="L107" s="92">
        <f>STOCK[[#This Row],[Entradas]]-STOCK[[#This Row],[Salidas]]</f>
        <v>0</v>
      </c>
      <c r="M107" s="77">
        <f>STOCK[[#This Row],[Precio Final]]*10%</f>
        <v>1.4</v>
      </c>
      <c r="N107" s="77">
        <v>130</v>
      </c>
      <c r="O107" s="77">
        <v>18</v>
      </c>
      <c r="P107" s="77">
        <v>7.22222222222222</v>
      </c>
      <c r="Q107" s="92">
        <v>140</v>
      </c>
      <c r="R107" s="77">
        <v>8</v>
      </c>
      <c r="S107" s="77">
        <f>STOCK[[#This Row],[Peso (g)]]*STOCK[[#This Row],[Precio Envío Kilogramo (USD)]]/1000</f>
        <v>1.12</v>
      </c>
      <c r="T107" s="76">
        <f>STOCK[[#This Row],[Costo Unitario (USD)]]+STOCK[[#This Row],[Costo Envío (USD)]]+STOCK[[#This Row],[Comisión 10%]]</f>
        <v>9.74222222222222</v>
      </c>
      <c r="U107" s="77">
        <f>STOCK[[#This Row],[Costo total]]*1.5</f>
        <v>14.6133333333333</v>
      </c>
      <c r="V107" s="77">
        <v>14</v>
      </c>
      <c r="W107" s="77">
        <f>STOCK[[#This Row],[Precio Final]]-STOCK[[#This Row],[Costo total]]</f>
        <v>4.25777777777778</v>
      </c>
      <c r="X107" s="77">
        <f>STOCK[[#This Row],[Ganancia Unitaria]]*STOCK[[#This Row],[Salidas]]</f>
        <v>4.25777777777778</v>
      </c>
      <c r="Y107" s="77" t="s">
        <v>167</v>
      </c>
      <c r="AA107" s="77">
        <f>STOCK[[#This Row],[Costo total]]*STOCK[[#This Row],[Entradas]]</f>
        <v>9.74222222222222</v>
      </c>
      <c r="AB107" s="77">
        <f>STOCK[[#This Row],[Stock Actual]]*STOCK[[#This Row],[Costo total]]</f>
        <v>0</v>
      </c>
    </row>
    <row r="108" s="76" customFormat="1" ht="50" hidden="1" customHeight="1" spans="1:28">
      <c r="A108" s="76" t="s">
        <v>258</v>
      </c>
      <c r="B108" s="6"/>
      <c r="C108" s="76" t="s">
        <v>30</v>
      </c>
      <c r="D108" s="76" t="s">
        <v>173</v>
      </c>
      <c r="E108" s="76" t="s">
        <v>259</v>
      </c>
      <c r="F108" s="76" t="s">
        <v>60</v>
      </c>
      <c r="G108" s="76" t="s">
        <v>34</v>
      </c>
      <c r="H108" s="76">
        <f>STOCK[[#This Row],[Precio Final]]</f>
        <v>12</v>
      </c>
      <c r="I108" s="76">
        <f>STOCK[[#This Row],[Precio Venta Ideal (x1.5)]]</f>
        <v>13.0666666666667</v>
      </c>
      <c r="J108" s="91">
        <v>1</v>
      </c>
      <c r="K108" s="91">
        <f>SUMIFS(VENTAS[Cantidad],VENTAS[Código del producto Vendido],STOCK[[#This Row],[Code]])</f>
        <v>1</v>
      </c>
      <c r="L108" s="91">
        <f>STOCK[[#This Row],[Entradas]]-STOCK[[#This Row],[Salidas]]</f>
        <v>0</v>
      </c>
      <c r="M108" s="76">
        <f>STOCK[[#This Row],[Precio Final]]*10%</f>
        <v>1.2</v>
      </c>
      <c r="N108" s="76">
        <v>110</v>
      </c>
      <c r="O108" s="76">
        <v>18</v>
      </c>
      <c r="P108" s="76">
        <v>6.11111111111111</v>
      </c>
      <c r="Q108" s="91">
        <v>175</v>
      </c>
      <c r="R108" s="76">
        <v>8</v>
      </c>
      <c r="S108" s="76">
        <f>STOCK[[#This Row],[Peso (g)]]*STOCK[[#This Row],[Precio Envío Kilogramo (USD)]]/1000</f>
        <v>1.4</v>
      </c>
      <c r="T108" s="76">
        <f>STOCK[[#This Row],[Costo Unitario (USD)]]+STOCK[[#This Row],[Costo Envío (USD)]]+STOCK[[#This Row],[Comisión 10%]]</f>
        <v>8.71111111111111</v>
      </c>
      <c r="U108" s="76">
        <f>STOCK[[#This Row],[Costo total]]*1.5</f>
        <v>13.0666666666667</v>
      </c>
      <c r="V108" s="76">
        <v>12</v>
      </c>
      <c r="W108" s="76">
        <f>STOCK[[#This Row],[Precio Final]]-STOCK[[#This Row],[Costo total]]</f>
        <v>3.28888888888889</v>
      </c>
      <c r="X108" s="76">
        <f>STOCK[[#This Row],[Ganancia Unitaria]]*STOCK[[#This Row],[Salidas]]</f>
        <v>3.28888888888889</v>
      </c>
      <c r="Y108" s="76" t="s">
        <v>167</v>
      </c>
      <c r="AA108" s="76">
        <f>STOCK[[#This Row],[Costo total]]*STOCK[[#This Row],[Entradas]]</f>
        <v>8.71111111111111</v>
      </c>
      <c r="AB108" s="76">
        <f>STOCK[[#This Row],[Stock Actual]]*STOCK[[#This Row],[Costo total]]</f>
        <v>0</v>
      </c>
    </row>
    <row r="109" s="77" customFormat="1" ht="50" hidden="1" customHeight="1" spans="1:28">
      <c r="A109" s="77" t="s">
        <v>260</v>
      </c>
      <c r="B109" s="6"/>
      <c r="C109" s="77" t="s">
        <v>30</v>
      </c>
      <c r="D109" s="77" t="s">
        <v>173</v>
      </c>
      <c r="E109" s="77" t="s">
        <v>261</v>
      </c>
      <c r="F109" s="77" t="s">
        <v>60</v>
      </c>
      <c r="G109" s="77" t="s">
        <v>34</v>
      </c>
      <c r="H109" s="77">
        <f>STOCK[[#This Row],[Precio Final]]</f>
        <v>14</v>
      </c>
      <c r="I109" s="77">
        <f>STOCK[[#This Row],[Precio Venta Ideal (x1.5)]]</f>
        <v>14.2533333333333</v>
      </c>
      <c r="J109" s="92">
        <v>1</v>
      </c>
      <c r="K109" s="92">
        <f>SUMIFS(VENTAS[Cantidad],VENTAS[Código del producto Vendido],STOCK[[#This Row],[Code]])</f>
        <v>1</v>
      </c>
      <c r="L109" s="92">
        <f>STOCK[[#This Row],[Entradas]]-STOCK[[#This Row],[Salidas]]</f>
        <v>0</v>
      </c>
      <c r="M109" s="77">
        <f>STOCK[[#This Row],[Precio Final]]*10%</f>
        <v>1.4</v>
      </c>
      <c r="N109" s="77">
        <v>130</v>
      </c>
      <c r="O109" s="77">
        <v>18</v>
      </c>
      <c r="P109" s="77">
        <v>7.22222222222222</v>
      </c>
      <c r="Q109" s="92">
        <v>110</v>
      </c>
      <c r="R109" s="77">
        <v>8</v>
      </c>
      <c r="S109" s="77">
        <f>STOCK[[#This Row],[Peso (g)]]*STOCK[[#This Row],[Precio Envío Kilogramo (USD)]]/1000</f>
        <v>0.88</v>
      </c>
      <c r="T109" s="76">
        <f>STOCK[[#This Row],[Costo Unitario (USD)]]+STOCK[[#This Row],[Costo Envío (USD)]]+STOCK[[#This Row],[Comisión 10%]]</f>
        <v>9.50222222222222</v>
      </c>
      <c r="U109" s="77">
        <f>STOCK[[#This Row],[Costo total]]*1.5</f>
        <v>14.2533333333333</v>
      </c>
      <c r="V109" s="77">
        <v>14</v>
      </c>
      <c r="W109" s="77">
        <f>STOCK[[#This Row],[Precio Final]]-STOCK[[#This Row],[Costo total]]</f>
        <v>4.49777777777778</v>
      </c>
      <c r="X109" s="77">
        <f>STOCK[[#This Row],[Ganancia Unitaria]]*STOCK[[#This Row],[Salidas]]</f>
        <v>4.49777777777778</v>
      </c>
      <c r="Y109" s="77" t="s">
        <v>167</v>
      </c>
      <c r="AA109" s="77">
        <f>STOCK[[#This Row],[Costo total]]*STOCK[[#This Row],[Entradas]]</f>
        <v>9.50222222222222</v>
      </c>
      <c r="AB109" s="77">
        <f>STOCK[[#This Row],[Stock Actual]]*STOCK[[#This Row],[Costo total]]</f>
        <v>0</v>
      </c>
    </row>
    <row r="110" s="76" customFormat="1" ht="50" hidden="1" customHeight="1" spans="1:28">
      <c r="A110" s="76" t="s">
        <v>262</v>
      </c>
      <c r="B110" s="6"/>
      <c r="C110" s="76" t="s">
        <v>30</v>
      </c>
      <c r="D110" s="76" t="s">
        <v>173</v>
      </c>
      <c r="E110" s="76" t="s">
        <v>261</v>
      </c>
      <c r="F110" s="76" t="s">
        <v>47</v>
      </c>
      <c r="G110" s="76" t="s">
        <v>34</v>
      </c>
      <c r="H110" s="76">
        <f>STOCK[[#This Row],[Precio Final]]</f>
        <v>14</v>
      </c>
      <c r="I110" s="76">
        <f>STOCK[[#This Row],[Precio Venta Ideal (x1.5)]]</f>
        <v>14.1333333333333</v>
      </c>
      <c r="J110" s="91">
        <v>1</v>
      </c>
      <c r="K110" s="91">
        <f>SUMIFS(VENTAS[Cantidad],VENTAS[Código del producto Vendido],STOCK[[#This Row],[Code]])</f>
        <v>1</v>
      </c>
      <c r="L110" s="91">
        <f>STOCK[[#This Row],[Entradas]]-STOCK[[#This Row],[Salidas]]</f>
        <v>0</v>
      </c>
      <c r="M110" s="76">
        <f>STOCK[[#This Row],[Precio Final]]*10%</f>
        <v>1.4</v>
      </c>
      <c r="N110" s="76">
        <v>130</v>
      </c>
      <c r="O110" s="76">
        <v>18</v>
      </c>
      <c r="P110" s="76">
        <v>7.22222222222222</v>
      </c>
      <c r="Q110" s="91">
        <v>100</v>
      </c>
      <c r="R110" s="76">
        <v>8</v>
      </c>
      <c r="S110" s="76">
        <f>STOCK[[#This Row],[Peso (g)]]*STOCK[[#This Row],[Precio Envío Kilogramo (USD)]]/1000</f>
        <v>0.8</v>
      </c>
      <c r="T110" s="76">
        <f>STOCK[[#This Row],[Costo Unitario (USD)]]+STOCK[[#This Row],[Costo Envío (USD)]]+STOCK[[#This Row],[Comisión 10%]]</f>
        <v>9.42222222222222</v>
      </c>
      <c r="U110" s="76">
        <f>STOCK[[#This Row],[Costo total]]*1.5</f>
        <v>14.1333333333333</v>
      </c>
      <c r="V110" s="76">
        <v>14</v>
      </c>
      <c r="W110" s="76">
        <f>STOCK[[#This Row],[Precio Final]]-STOCK[[#This Row],[Costo total]]</f>
        <v>4.57777777777778</v>
      </c>
      <c r="X110" s="76">
        <f>STOCK[[#This Row],[Ganancia Unitaria]]*STOCK[[#This Row],[Salidas]]</f>
        <v>4.57777777777778</v>
      </c>
      <c r="Y110" s="76" t="s">
        <v>167</v>
      </c>
      <c r="AA110" s="76">
        <f>STOCK[[#This Row],[Costo total]]*STOCK[[#This Row],[Entradas]]</f>
        <v>9.42222222222222</v>
      </c>
      <c r="AB110" s="76">
        <f>STOCK[[#This Row],[Stock Actual]]*STOCK[[#This Row],[Costo total]]</f>
        <v>0</v>
      </c>
    </row>
    <row r="111" s="77" customFormat="1" ht="50" hidden="1" customHeight="1" spans="1:28">
      <c r="A111" s="77" t="s">
        <v>263</v>
      </c>
      <c r="B111" s="6"/>
      <c r="C111" s="77" t="s">
        <v>30</v>
      </c>
      <c r="D111" s="77" t="s">
        <v>173</v>
      </c>
      <c r="E111" s="77" t="s">
        <v>261</v>
      </c>
      <c r="F111" s="77" t="s">
        <v>44</v>
      </c>
      <c r="G111" s="77" t="s">
        <v>34</v>
      </c>
      <c r="H111" s="77">
        <f>STOCK[[#This Row],[Precio Final]]</f>
        <v>14</v>
      </c>
      <c r="I111" s="77">
        <f>STOCK[[#This Row],[Precio Venta Ideal (x1.5)]]</f>
        <v>14.4933333333333</v>
      </c>
      <c r="J111" s="92">
        <v>1</v>
      </c>
      <c r="K111" s="92">
        <f>SUMIFS(VENTAS[Cantidad],VENTAS[Código del producto Vendido],STOCK[[#This Row],[Code]])</f>
        <v>1</v>
      </c>
      <c r="L111" s="92">
        <f>STOCK[[#This Row],[Entradas]]-STOCK[[#This Row],[Salidas]]</f>
        <v>0</v>
      </c>
      <c r="M111" s="77">
        <f>STOCK[[#This Row],[Precio Final]]*10%</f>
        <v>1.4</v>
      </c>
      <c r="N111" s="77">
        <v>130</v>
      </c>
      <c r="O111" s="77">
        <v>18</v>
      </c>
      <c r="P111" s="77">
        <v>7.22222222222222</v>
      </c>
      <c r="Q111" s="92">
        <v>130</v>
      </c>
      <c r="R111" s="77">
        <v>8</v>
      </c>
      <c r="S111" s="77">
        <f>STOCK[[#This Row],[Peso (g)]]*STOCK[[#This Row],[Precio Envío Kilogramo (USD)]]/1000</f>
        <v>1.04</v>
      </c>
      <c r="T111" s="76">
        <f>STOCK[[#This Row],[Costo Unitario (USD)]]+STOCK[[#This Row],[Costo Envío (USD)]]+STOCK[[#This Row],[Comisión 10%]]</f>
        <v>9.66222222222222</v>
      </c>
      <c r="U111" s="77">
        <f>STOCK[[#This Row],[Costo total]]*1.5</f>
        <v>14.4933333333333</v>
      </c>
      <c r="V111" s="77">
        <v>14</v>
      </c>
      <c r="W111" s="77">
        <f>STOCK[[#This Row],[Precio Final]]-STOCK[[#This Row],[Costo total]]</f>
        <v>4.33777777777778</v>
      </c>
      <c r="X111" s="77">
        <f>STOCK[[#This Row],[Ganancia Unitaria]]*STOCK[[#This Row],[Salidas]]</f>
        <v>4.33777777777778</v>
      </c>
      <c r="Y111" s="77" t="s">
        <v>167</v>
      </c>
      <c r="AA111" s="77">
        <f>STOCK[[#This Row],[Costo total]]*STOCK[[#This Row],[Entradas]]</f>
        <v>9.66222222222222</v>
      </c>
      <c r="AB111" s="77">
        <f>STOCK[[#This Row],[Stock Actual]]*STOCK[[#This Row],[Costo total]]</f>
        <v>0</v>
      </c>
    </row>
    <row r="112" s="76" customFormat="1" ht="50" hidden="1" customHeight="1" spans="1:28">
      <c r="A112" s="76" t="s">
        <v>264</v>
      </c>
      <c r="B112" s="6"/>
      <c r="C112" s="76" t="s">
        <v>30</v>
      </c>
      <c r="D112" s="76" t="s">
        <v>42</v>
      </c>
      <c r="E112" s="76" t="s">
        <v>265</v>
      </c>
      <c r="F112" s="76" t="s">
        <v>60</v>
      </c>
      <c r="G112" s="76" t="s">
        <v>34</v>
      </c>
      <c r="H112" s="76">
        <f>STOCK[[#This Row],[Precio Final]]</f>
        <v>0</v>
      </c>
      <c r="I112" s="76">
        <f>STOCK[[#This Row],[Precio Venta Ideal (x1.5)]]</f>
        <v>26.8733333333334</v>
      </c>
      <c r="J112" s="91">
        <v>1</v>
      </c>
      <c r="K112" s="91">
        <f>SUMIFS(VENTAS[Cantidad],VENTAS[Código del producto Vendido],STOCK[[#This Row],[Code]])</f>
        <v>1</v>
      </c>
      <c r="L112" s="91">
        <f>STOCK[[#This Row],[Entradas]]-STOCK[[#This Row],[Salidas]]</f>
        <v>0</v>
      </c>
      <c r="M112" s="76">
        <f>STOCK[[#This Row],[Precio Final]]*10%</f>
        <v>0</v>
      </c>
      <c r="N112" s="76">
        <v>280</v>
      </c>
      <c r="O112" s="76">
        <v>18</v>
      </c>
      <c r="P112" s="76">
        <v>15.5555555555556</v>
      </c>
      <c r="Q112" s="91">
        <v>295</v>
      </c>
      <c r="R112" s="76">
        <v>8</v>
      </c>
      <c r="S112" s="76">
        <f>STOCK[[#This Row],[Peso (g)]]*STOCK[[#This Row],[Precio Envío Kilogramo (USD)]]/1000</f>
        <v>2.36</v>
      </c>
      <c r="T112" s="76">
        <f>STOCK[[#This Row],[Costo Unitario (USD)]]+STOCK[[#This Row],[Costo Envío (USD)]]+STOCK[[#This Row],[Comisión 10%]]</f>
        <v>17.9155555555556</v>
      </c>
      <c r="U112" s="76">
        <f>STOCK[[#This Row],[Costo total]]*1.5</f>
        <v>26.8733333333334</v>
      </c>
      <c r="V112" s="76">
        <v>0</v>
      </c>
      <c r="W112" s="76">
        <f>STOCK[[#This Row],[Precio Final]]-STOCK[[#This Row],[Costo total]]</f>
        <v>-17.9155555555556</v>
      </c>
      <c r="X112" s="76">
        <f>STOCK[[#This Row],[Ganancia Unitaria]]*STOCK[[#This Row],[Salidas]]</f>
        <v>-17.9155555555556</v>
      </c>
      <c r="Y112" s="76" t="s">
        <v>167</v>
      </c>
      <c r="AA112" s="76">
        <f>STOCK[[#This Row],[Costo total]]*STOCK[[#This Row],[Entradas]]</f>
        <v>17.9155555555556</v>
      </c>
      <c r="AB112" s="76">
        <f>STOCK[[#This Row],[Stock Actual]]*STOCK[[#This Row],[Costo total]]</f>
        <v>0</v>
      </c>
    </row>
    <row r="113" s="77" customFormat="1" ht="50" hidden="1" customHeight="1" spans="1:28">
      <c r="A113" s="77" t="s">
        <v>266</v>
      </c>
      <c r="B113" s="6"/>
      <c r="C113" s="77" t="s">
        <v>30</v>
      </c>
      <c r="D113" s="77" t="s">
        <v>42</v>
      </c>
      <c r="E113" s="77" t="s">
        <v>267</v>
      </c>
      <c r="F113" s="77" t="s">
        <v>47</v>
      </c>
      <c r="G113" s="77" t="s">
        <v>34</v>
      </c>
      <c r="H113" s="77">
        <f>STOCK[[#This Row],[Precio Final]]</f>
        <v>25</v>
      </c>
      <c r="I113" s="77">
        <f>STOCK[[#This Row],[Precio Venta Ideal (x1.5)]]</f>
        <v>23.4166666666667</v>
      </c>
      <c r="J113" s="92">
        <v>1</v>
      </c>
      <c r="K113" s="92">
        <f>SUMIFS(VENTAS[Cantidad],VENTAS[Código del producto Vendido],STOCK[[#This Row],[Code]])</f>
        <v>1</v>
      </c>
      <c r="L113" s="92">
        <f>STOCK[[#This Row],[Entradas]]-STOCK[[#This Row],[Salidas]]</f>
        <v>0</v>
      </c>
      <c r="M113" s="77">
        <f>STOCK[[#This Row],[Precio Final]]*10%</f>
        <v>2.5</v>
      </c>
      <c r="N113" s="77">
        <v>200</v>
      </c>
      <c r="O113" s="77">
        <v>18</v>
      </c>
      <c r="P113" s="77">
        <v>11.1111111111111</v>
      </c>
      <c r="Q113" s="92">
        <v>250</v>
      </c>
      <c r="R113" s="77">
        <v>8</v>
      </c>
      <c r="S113" s="77">
        <f>STOCK[[#This Row],[Peso (g)]]*STOCK[[#This Row],[Precio Envío Kilogramo (USD)]]/1000</f>
        <v>2</v>
      </c>
      <c r="T113" s="76">
        <f>STOCK[[#This Row],[Costo Unitario (USD)]]+STOCK[[#This Row],[Costo Envío (USD)]]+STOCK[[#This Row],[Comisión 10%]]</f>
        <v>15.6111111111111</v>
      </c>
      <c r="U113" s="77">
        <f>STOCK[[#This Row],[Costo total]]*1.5</f>
        <v>23.4166666666667</v>
      </c>
      <c r="V113" s="77">
        <v>25</v>
      </c>
      <c r="W113" s="77">
        <f>STOCK[[#This Row],[Precio Final]]-STOCK[[#This Row],[Costo total]]</f>
        <v>9.3888888888889</v>
      </c>
      <c r="X113" s="77">
        <f>STOCK[[#This Row],[Ganancia Unitaria]]*STOCK[[#This Row],[Salidas]]</f>
        <v>9.3888888888889</v>
      </c>
      <c r="Y113" s="77" t="s">
        <v>167</v>
      </c>
      <c r="AA113" s="77">
        <f>STOCK[[#This Row],[Costo total]]*STOCK[[#This Row],[Entradas]]</f>
        <v>15.6111111111111</v>
      </c>
      <c r="AB113" s="77">
        <f>STOCK[[#This Row],[Stock Actual]]*STOCK[[#This Row],[Costo total]]</f>
        <v>0</v>
      </c>
    </row>
    <row r="114" s="76" customFormat="1" ht="50" hidden="1" customHeight="1" spans="1:28">
      <c r="A114" s="76" t="s">
        <v>268</v>
      </c>
      <c r="B114" s="6"/>
      <c r="C114" s="76" t="s">
        <v>30</v>
      </c>
      <c r="D114" s="76" t="s">
        <v>42</v>
      </c>
      <c r="E114" s="76" t="s">
        <v>267</v>
      </c>
      <c r="F114" s="76" t="s">
        <v>60</v>
      </c>
      <c r="G114" s="76" t="s">
        <v>34</v>
      </c>
      <c r="H114" s="76">
        <f>STOCK[[#This Row],[Precio Final]]</f>
        <v>25</v>
      </c>
      <c r="I114" s="76">
        <f>STOCK[[#This Row],[Precio Venta Ideal (x1.5)]]</f>
        <v>23.3566666666667</v>
      </c>
      <c r="J114" s="91">
        <v>1</v>
      </c>
      <c r="K114" s="91">
        <f>SUMIFS(VENTAS[Cantidad],VENTAS[Código del producto Vendido],STOCK[[#This Row],[Code]])</f>
        <v>1</v>
      </c>
      <c r="L114" s="91">
        <f>STOCK[[#This Row],[Entradas]]-STOCK[[#This Row],[Salidas]]</f>
        <v>0</v>
      </c>
      <c r="M114" s="76">
        <f>STOCK[[#This Row],[Precio Final]]*10%</f>
        <v>2.5</v>
      </c>
      <c r="N114" s="76">
        <v>200</v>
      </c>
      <c r="O114" s="76">
        <v>18</v>
      </c>
      <c r="P114" s="76">
        <v>11.1111111111111</v>
      </c>
      <c r="Q114" s="91">
        <v>245</v>
      </c>
      <c r="R114" s="76">
        <v>8</v>
      </c>
      <c r="S114" s="76">
        <f>STOCK[[#This Row],[Peso (g)]]*STOCK[[#This Row],[Precio Envío Kilogramo (USD)]]/1000</f>
        <v>1.96</v>
      </c>
      <c r="T114" s="76">
        <f>STOCK[[#This Row],[Costo Unitario (USD)]]+STOCK[[#This Row],[Costo Envío (USD)]]+STOCK[[#This Row],[Comisión 10%]]</f>
        <v>15.5711111111111</v>
      </c>
      <c r="U114" s="76">
        <f>STOCK[[#This Row],[Costo total]]*1.5</f>
        <v>23.3566666666667</v>
      </c>
      <c r="V114" s="76">
        <v>25</v>
      </c>
      <c r="W114" s="76">
        <f>STOCK[[#This Row],[Precio Final]]-STOCK[[#This Row],[Costo total]]</f>
        <v>9.4288888888889</v>
      </c>
      <c r="X114" s="76">
        <f>STOCK[[#This Row],[Ganancia Unitaria]]*STOCK[[#This Row],[Salidas]]</f>
        <v>9.4288888888889</v>
      </c>
      <c r="Y114" s="76" t="s">
        <v>167</v>
      </c>
      <c r="AA114" s="76">
        <f>STOCK[[#This Row],[Costo total]]*STOCK[[#This Row],[Entradas]]</f>
        <v>15.5711111111111</v>
      </c>
      <c r="AB114" s="76">
        <f>STOCK[[#This Row],[Stock Actual]]*STOCK[[#This Row],[Costo total]]</f>
        <v>0</v>
      </c>
    </row>
    <row r="115" s="77" customFormat="1" ht="50" hidden="1" customHeight="1" spans="1:28">
      <c r="A115" s="77" t="s">
        <v>269</v>
      </c>
      <c r="B115" s="6"/>
      <c r="C115" s="77" t="s">
        <v>30</v>
      </c>
      <c r="D115" s="77" t="s">
        <v>215</v>
      </c>
      <c r="E115" s="77" t="s">
        <v>270</v>
      </c>
      <c r="F115" s="77" t="s">
        <v>210</v>
      </c>
      <c r="G115" s="77" t="s">
        <v>34</v>
      </c>
      <c r="H115" s="77">
        <f>STOCK[[#This Row],[Precio Final]]</f>
        <v>20</v>
      </c>
      <c r="I115" s="77">
        <f>STOCK[[#This Row],[Precio Venta Ideal (x1.5)]]</f>
        <v>23.0833333333333</v>
      </c>
      <c r="J115" s="92">
        <v>1</v>
      </c>
      <c r="K115" s="92">
        <f>SUMIFS(VENTAS[Cantidad],VENTAS[Código del producto Vendido],STOCK[[#This Row],[Code]])</f>
        <v>1</v>
      </c>
      <c r="L115" s="92">
        <f>STOCK[[#This Row],[Entradas]]-STOCK[[#This Row],[Salidas]]</f>
        <v>0</v>
      </c>
      <c r="M115" s="77">
        <f>STOCK[[#This Row],[Precio Final]]*10%</f>
        <v>2</v>
      </c>
      <c r="N115" s="77">
        <v>205</v>
      </c>
      <c r="O115" s="77">
        <v>18</v>
      </c>
      <c r="P115" s="77">
        <v>11.3888888888889</v>
      </c>
      <c r="Q115" s="92">
        <v>250</v>
      </c>
      <c r="R115" s="77">
        <v>8</v>
      </c>
      <c r="S115" s="77">
        <f>STOCK[[#This Row],[Peso (g)]]*STOCK[[#This Row],[Precio Envío Kilogramo (USD)]]/1000</f>
        <v>2</v>
      </c>
      <c r="T115" s="76">
        <f>STOCK[[#This Row],[Costo Unitario (USD)]]+STOCK[[#This Row],[Costo Envío (USD)]]+STOCK[[#This Row],[Comisión 10%]]</f>
        <v>15.3888888888889</v>
      </c>
      <c r="U115" s="77">
        <f>STOCK[[#This Row],[Costo total]]*1.5</f>
        <v>23.0833333333333</v>
      </c>
      <c r="V115" s="77">
        <v>20</v>
      </c>
      <c r="W115" s="77">
        <f>STOCK[[#This Row],[Precio Final]]-STOCK[[#This Row],[Costo total]]</f>
        <v>4.6111111111111</v>
      </c>
      <c r="X115" s="77">
        <f>STOCK[[#This Row],[Ganancia Unitaria]]*STOCK[[#This Row],[Salidas]]</f>
        <v>4.6111111111111</v>
      </c>
      <c r="Y115" s="77" t="s">
        <v>167</v>
      </c>
      <c r="AA115" s="77">
        <f>STOCK[[#This Row],[Costo total]]*STOCK[[#This Row],[Entradas]]</f>
        <v>15.3888888888889</v>
      </c>
      <c r="AB115" s="77">
        <f>STOCK[[#This Row],[Stock Actual]]*STOCK[[#This Row],[Costo total]]</f>
        <v>0</v>
      </c>
    </row>
    <row r="116" s="76" customFormat="1" ht="50" hidden="1" customHeight="1" spans="1:28">
      <c r="A116" s="76" t="s">
        <v>271</v>
      </c>
      <c r="B116" s="6"/>
      <c r="C116" s="76" t="s">
        <v>30</v>
      </c>
      <c r="D116" s="76" t="s">
        <v>42</v>
      </c>
      <c r="E116" s="76" t="s">
        <v>272</v>
      </c>
      <c r="F116" s="76" t="s">
        <v>60</v>
      </c>
      <c r="G116" s="76" t="s">
        <v>34</v>
      </c>
      <c r="H116" s="76">
        <f>STOCK[[#This Row],[Precio Final]]</f>
        <v>22</v>
      </c>
      <c r="I116" s="76">
        <f>STOCK[[#This Row],[Precio Venta Ideal (x1.5)]]</f>
        <v>23.3833333333333</v>
      </c>
      <c r="J116" s="91">
        <v>1</v>
      </c>
      <c r="K116" s="91">
        <f>SUMIFS(VENTAS[Cantidad],VENTAS[Código del producto Vendido],STOCK[[#This Row],[Code]])</f>
        <v>1</v>
      </c>
      <c r="L116" s="91">
        <f>STOCK[[#This Row],[Entradas]]-STOCK[[#This Row],[Salidas]]</f>
        <v>0</v>
      </c>
      <c r="M116" s="76">
        <f>STOCK[[#This Row],[Precio Final]]*10%</f>
        <v>2.2</v>
      </c>
      <c r="N116" s="76">
        <v>205</v>
      </c>
      <c r="O116" s="76">
        <v>18</v>
      </c>
      <c r="P116" s="76">
        <v>11.3888888888889</v>
      </c>
      <c r="Q116" s="91">
        <v>250</v>
      </c>
      <c r="R116" s="76">
        <v>8</v>
      </c>
      <c r="S116" s="76">
        <f>STOCK[[#This Row],[Peso (g)]]*STOCK[[#This Row],[Precio Envío Kilogramo (USD)]]/1000</f>
        <v>2</v>
      </c>
      <c r="T116" s="76">
        <f>STOCK[[#This Row],[Costo Unitario (USD)]]+STOCK[[#This Row],[Costo Envío (USD)]]+STOCK[[#This Row],[Comisión 10%]]</f>
        <v>15.5888888888889</v>
      </c>
      <c r="U116" s="76">
        <f>STOCK[[#This Row],[Costo total]]*1.5</f>
        <v>23.3833333333333</v>
      </c>
      <c r="V116" s="76">
        <v>22</v>
      </c>
      <c r="W116" s="76">
        <f>STOCK[[#This Row],[Precio Final]]-STOCK[[#This Row],[Costo total]]</f>
        <v>6.4111111111111</v>
      </c>
      <c r="X116" s="76">
        <f>STOCK[[#This Row],[Ganancia Unitaria]]*STOCK[[#This Row],[Salidas]]</f>
        <v>6.4111111111111</v>
      </c>
      <c r="Y116" s="76" t="s">
        <v>167</v>
      </c>
      <c r="AA116" s="76">
        <f>STOCK[[#This Row],[Costo total]]*STOCK[[#This Row],[Entradas]]</f>
        <v>15.5888888888889</v>
      </c>
      <c r="AB116" s="76">
        <f>STOCK[[#This Row],[Stock Actual]]*STOCK[[#This Row],[Costo total]]</f>
        <v>0</v>
      </c>
    </row>
    <row r="117" s="77" customFormat="1" ht="50" hidden="1" customHeight="1" spans="1:28">
      <c r="A117" s="77" t="s">
        <v>273</v>
      </c>
      <c r="B117" s="6"/>
      <c r="C117" s="77" t="s">
        <v>30</v>
      </c>
      <c r="D117" s="77" t="s">
        <v>202</v>
      </c>
      <c r="E117" s="77" t="s">
        <v>270</v>
      </c>
      <c r="F117" s="77" t="s">
        <v>81</v>
      </c>
      <c r="G117" s="77" t="s">
        <v>34</v>
      </c>
      <c r="H117" s="77">
        <f>STOCK[[#This Row],[Precio Final]]</f>
        <v>20</v>
      </c>
      <c r="I117" s="77">
        <f>STOCK[[#This Row],[Precio Venta Ideal (x1.5)]]</f>
        <v>23.6833333333334</v>
      </c>
      <c r="J117" s="92">
        <v>1</v>
      </c>
      <c r="K117" s="92">
        <f>SUMIFS(VENTAS[Cantidad],VENTAS[Código del producto Vendido],STOCK[[#This Row],[Code]])</f>
        <v>1</v>
      </c>
      <c r="L117" s="92">
        <f>STOCK[[#This Row],[Entradas]]-STOCK[[#This Row],[Salidas]]</f>
        <v>0</v>
      </c>
      <c r="M117" s="77">
        <f>STOCK[[#This Row],[Precio Final]]*10%</f>
        <v>2</v>
      </c>
      <c r="N117" s="77">
        <v>205</v>
      </c>
      <c r="O117" s="77">
        <v>18</v>
      </c>
      <c r="P117" s="77">
        <v>11.3888888888889</v>
      </c>
      <c r="Q117" s="92">
        <v>300</v>
      </c>
      <c r="R117" s="77">
        <v>8</v>
      </c>
      <c r="S117" s="77">
        <f>STOCK[[#This Row],[Peso (g)]]*STOCK[[#This Row],[Precio Envío Kilogramo (USD)]]/1000</f>
        <v>2.4</v>
      </c>
      <c r="T117" s="76">
        <f>STOCK[[#This Row],[Costo Unitario (USD)]]+STOCK[[#This Row],[Costo Envío (USD)]]+STOCK[[#This Row],[Comisión 10%]]</f>
        <v>15.7888888888889</v>
      </c>
      <c r="U117" s="77">
        <f>STOCK[[#This Row],[Costo total]]*1.5</f>
        <v>23.6833333333334</v>
      </c>
      <c r="V117" s="77">
        <v>20</v>
      </c>
      <c r="W117" s="77">
        <f>STOCK[[#This Row],[Precio Final]]-STOCK[[#This Row],[Costo total]]</f>
        <v>4.2111111111111</v>
      </c>
      <c r="X117" s="77">
        <f>STOCK[[#This Row],[Ganancia Unitaria]]*STOCK[[#This Row],[Salidas]]</f>
        <v>4.2111111111111</v>
      </c>
      <c r="Y117" s="77" t="s">
        <v>167</v>
      </c>
      <c r="AA117" s="77">
        <f>STOCK[[#This Row],[Costo total]]*STOCK[[#This Row],[Entradas]]</f>
        <v>15.7888888888889</v>
      </c>
      <c r="AB117" s="77">
        <f>STOCK[[#This Row],[Stock Actual]]*STOCK[[#This Row],[Costo total]]</f>
        <v>0</v>
      </c>
    </row>
    <row r="118" s="76" customFormat="1" ht="50" hidden="1" customHeight="1" spans="1:28">
      <c r="A118" s="76" t="s">
        <v>274</v>
      </c>
      <c r="B118" s="6"/>
      <c r="C118" s="76" t="s">
        <v>30</v>
      </c>
      <c r="D118" s="76" t="s">
        <v>42</v>
      </c>
      <c r="E118" s="76" t="s">
        <v>272</v>
      </c>
      <c r="F118" s="76" t="s">
        <v>44</v>
      </c>
      <c r="G118" s="76" t="s">
        <v>34</v>
      </c>
      <c r="H118" s="76">
        <f>STOCK[[#This Row],[Precio Final]]</f>
        <v>22</v>
      </c>
      <c r="I118" s="76">
        <f>STOCK[[#This Row],[Precio Venta Ideal (x1.5)]]</f>
        <v>23.9833333333334</v>
      </c>
      <c r="J118" s="91">
        <v>1</v>
      </c>
      <c r="K118" s="91">
        <f>SUMIFS(VENTAS[Cantidad],VENTAS[Código del producto Vendido],STOCK[[#This Row],[Code]])</f>
        <v>1</v>
      </c>
      <c r="L118" s="91">
        <f>STOCK[[#This Row],[Entradas]]-STOCK[[#This Row],[Salidas]]</f>
        <v>0</v>
      </c>
      <c r="M118" s="76">
        <f>STOCK[[#This Row],[Precio Final]]*10%</f>
        <v>2.2</v>
      </c>
      <c r="N118" s="76">
        <v>205</v>
      </c>
      <c r="O118" s="76">
        <v>18</v>
      </c>
      <c r="P118" s="76">
        <v>11.3888888888889</v>
      </c>
      <c r="Q118" s="91">
        <v>300</v>
      </c>
      <c r="R118" s="76">
        <v>8</v>
      </c>
      <c r="S118" s="76">
        <f>STOCK[[#This Row],[Peso (g)]]*STOCK[[#This Row],[Precio Envío Kilogramo (USD)]]/1000</f>
        <v>2.4</v>
      </c>
      <c r="T118" s="76">
        <f>STOCK[[#This Row],[Costo Unitario (USD)]]+STOCK[[#This Row],[Costo Envío (USD)]]+STOCK[[#This Row],[Comisión 10%]]</f>
        <v>15.9888888888889</v>
      </c>
      <c r="U118" s="76">
        <f>STOCK[[#This Row],[Costo total]]*1.5</f>
        <v>23.9833333333334</v>
      </c>
      <c r="V118" s="76">
        <v>22</v>
      </c>
      <c r="W118" s="76">
        <f>STOCK[[#This Row],[Precio Final]]-STOCK[[#This Row],[Costo total]]</f>
        <v>6.0111111111111</v>
      </c>
      <c r="X118" s="76">
        <f>STOCK[[#This Row],[Ganancia Unitaria]]*STOCK[[#This Row],[Salidas]]</f>
        <v>6.0111111111111</v>
      </c>
      <c r="Y118" s="76" t="s">
        <v>167</v>
      </c>
      <c r="AA118" s="76">
        <f>STOCK[[#This Row],[Costo total]]*STOCK[[#This Row],[Entradas]]</f>
        <v>15.9888888888889</v>
      </c>
      <c r="AB118" s="76">
        <f>STOCK[[#This Row],[Stock Actual]]*STOCK[[#This Row],[Costo total]]</f>
        <v>0</v>
      </c>
    </row>
    <row r="119" s="77" customFormat="1" ht="50" hidden="1" customHeight="1" spans="1:29">
      <c r="A119" s="77" t="s">
        <v>275</v>
      </c>
      <c r="B119" s="6"/>
      <c r="C119" s="77" t="s">
        <v>30</v>
      </c>
      <c r="D119" s="77" t="s">
        <v>195</v>
      </c>
      <c r="E119" s="77" t="s">
        <v>276</v>
      </c>
      <c r="F119" s="77" t="s">
        <v>47</v>
      </c>
      <c r="G119" s="77" t="s">
        <v>34</v>
      </c>
      <c r="H119" s="77">
        <f>STOCK[[#This Row],[Precio Final]]</f>
        <v>25</v>
      </c>
      <c r="I119" s="77">
        <f>STOCK[[#This Row],[Precio Venta Ideal (x1.5)]]</f>
        <v>22.8166666666666</v>
      </c>
      <c r="J119" s="92">
        <v>1</v>
      </c>
      <c r="K119" s="92">
        <f>SUMIFS(VENTAS[Cantidad],VENTAS[Código del producto Vendido],STOCK[[#This Row],[Code]])</f>
        <v>0</v>
      </c>
      <c r="L119" s="92">
        <f>STOCK[[#This Row],[Entradas]]-STOCK[[#This Row],[Salidas]]</f>
        <v>1</v>
      </c>
      <c r="M119" s="77">
        <f>STOCK[[#This Row],[Precio Final]]*10%</f>
        <v>2.5</v>
      </c>
      <c r="N119" s="77">
        <v>200</v>
      </c>
      <c r="O119" s="77">
        <v>18</v>
      </c>
      <c r="P119" s="77">
        <v>11.1111111111111</v>
      </c>
      <c r="Q119" s="92">
        <v>200</v>
      </c>
      <c r="R119" s="77">
        <v>8</v>
      </c>
      <c r="S119" s="77">
        <f>STOCK[[#This Row],[Peso (g)]]*STOCK[[#This Row],[Precio Envío Kilogramo (USD)]]/1000</f>
        <v>1.6</v>
      </c>
      <c r="T119" s="76">
        <f>STOCK[[#This Row],[Costo Unitario (USD)]]+STOCK[[#This Row],[Costo Envío (USD)]]+STOCK[[#This Row],[Comisión 10%]]</f>
        <v>15.2111111111111</v>
      </c>
      <c r="U119" s="77">
        <f>STOCK[[#This Row],[Costo total]]*1.5</f>
        <v>22.8166666666666</v>
      </c>
      <c r="V119" s="77">
        <v>25</v>
      </c>
      <c r="W119" s="77">
        <f>STOCK[[#This Row],[Precio Final]]-STOCK[[#This Row],[Costo total]]</f>
        <v>9.7888888888889</v>
      </c>
      <c r="X119" s="77">
        <f>STOCK[[#This Row],[Ganancia Unitaria]]*STOCK[[#This Row],[Salidas]]</f>
        <v>0</v>
      </c>
      <c r="Y119" s="77" t="s">
        <v>277</v>
      </c>
      <c r="AA119" s="77">
        <f>STOCK[[#This Row],[Costo total]]*STOCK[[#This Row],[Entradas]]</f>
        <v>15.2111111111111</v>
      </c>
      <c r="AB119" s="77">
        <f>STOCK[[#This Row],[Stock Actual]]*STOCK[[#This Row],[Costo total]]</f>
        <v>15.2111111111111</v>
      </c>
      <c r="AC119" s="77">
        <v>18</v>
      </c>
    </row>
    <row r="120" s="76" customFormat="1" ht="50" hidden="1" customHeight="1" spans="1:28">
      <c r="A120" s="76" t="s">
        <v>278</v>
      </c>
      <c r="B120" s="6"/>
      <c r="C120" s="76" t="s">
        <v>30</v>
      </c>
      <c r="D120" s="76" t="s">
        <v>173</v>
      </c>
      <c r="E120" s="76" t="s">
        <v>279</v>
      </c>
      <c r="F120" s="76" t="s">
        <v>280</v>
      </c>
      <c r="G120" s="76" t="s">
        <v>34</v>
      </c>
      <c r="H120" s="76">
        <f>STOCK[[#This Row],[Precio Final]]</f>
        <v>14</v>
      </c>
      <c r="I120" s="76">
        <f>STOCK[[#This Row],[Precio Venta Ideal (x1.5)]]</f>
        <v>12.5933333333333</v>
      </c>
      <c r="J120" s="91">
        <v>1</v>
      </c>
      <c r="K120" s="91">
        <f>SUMIFS(VENTAS[Cantidad],VENTAS[Código del producto Vendido],STOCK[[#This Row],[Code]])</f>
        <v>1</v>
      </c>
      <c r="L120" s="91">
        <f>STOCK[[#This Row],[Entradas]]-STOCK[[#This Row],[Salidas]]</f>
        <v>0</v>
      </c>
      <c r="M120" s="76">
        <f>STOCK[[#This Row],[Precio Final]]*10%</f>
        <v>1.4</v>
      </c>
      <c r="N120" s="76">
        <v>100</v>
      </c>
      <c r="O120" s="76">
        <v>18</v>
      </c>
      <c r="P120" s="76">
        <v>5.55555555555556</v>
      </c>
      <c r="Q120" s="91">
        <v>180</v>
      </c>
      <c r="R120" s="76">
        <v>8</v>
      </c>
      <c r="S120" s="76">
        <f>STOCK[[#This Row],[Peso (g)]]*STOCK[[#This Row],[Precio Envío Kilogramo (USD)]]/1000</f>
        <v>1.44</v>
      </c>
      <c r="T120" s="76">
        <f>STOCK[[#This Row],[Costo Unitario (USD)]]+STOCK[[#This Row],[Costo Envío (USD)]]+STOCK[[#This Row],[Comisión 10%]]</f>
        <v>8.39555555555556</v>
      </c>
      <c r="U120" s="76">
        <f>STOCK[[#This Row],[Costo total]]*1.5</f>
        <v>12.5933333333333</v>
      </c>
      <c r="V120" s="76">
        <v>14</v>
      </c>
      <c r="W120" s="76">
        <f>STOCK[[#This Row],[Precio Final]]-STOCK[[#This Row],[Costo total]]</f>
        <v>5.60444444444444</v>
      </c>
      <c r="X120" s="76">
        <f>STOCK[[#This Row],[Ganancia Unitaria]]*STOCK[[#This Row],[Salidas]]</f>
        <v>5.60444444444444</v>
      </c>
      <c r="Y120" s="76" t="s">
        <v>277</v>
      </c>
      <c r="AA120" s="76">
        <f>STOCK[[#This Row],[Costo total]]*STOCK[[#This Row],[Entradas]]</f>
        <v>8.39555555555556</v>
      </c>
      <c r="AB120" s="76">
        <f>STOCK[[#This Row],[Stock Actual]]*STOCK[[#This Row],[Costo total]]</f>
        <v>0</v>
      </c>
    </row>
    <row r="121" s="77" customFormat="1" ht="50" hidden="1" customHeight="1" spans="1:28">
      <c r="A121" s="77" t="s">
        <v>281</v>
      </c>
      <c r="B121" s="6"/>
      <c r="C121" s="77" t="s">
        <v>30</v>
      </c>
      <c r="D121" s="77" t="s">
        <v>282</v>
      </c>
      <c r="E121" s="77" t="s">
        <v>283</v>
      </c>
      <c r="F121" s="77" t="s">
        <v>186</v>
      </c>
      <c r="G121" s="77" t="s">
        <v>34</v>
      </c>
      <c r="H121" s="77">
        <f>STOCK[[#This Row],[Precio Final]]</f>
        <v>20</v>
      </c>
      <c r="I121" s="77">
        <f>STOCK[[#This Row],[Precio Venta Ideal (x1.5)]]</f>
        <v>21.3033333333333</v>
      </c>
      <c r="J121" s="92">
        <v>1</v>
      </c>
      <c r="K121" s="92">
        <f>SUMIFS(VENTAS[Cantidad],VENTAS[Código del producto Vendido],STOCK[[#This Row],[Code]])</f>
        <v>1</v>
      </c>
      <c r="L121" s="92">
        <f>STOCK[[#This Row],[Entradas]]-STOCK[[#This Row],[Salidas]]</f>
        <v>0</v>
      </c>
      <c r="M121" s="77">
        <f>STOCK[[#This Row],[Precio Final]]*10%</f>
        <v>2</v>
      </c>
      <c r="N121" s="77">
        <v>175</v>
      </c>
      <c r="O121" s="77">
        <v>18</v>
      </c>
      <c r="P121" s="77">
        <v>9.72222222222222</v>
      </c>
      <c r="Q121" s="92">
        <v>310</v>
      </c>
      <c r="R121" s="77">
        <v>8</v>
      </c>
      <c r="S121" s="77">
        <f>STOCK[[#This Row],[Peso (g)]]*STOCK[[#This Row],[Precio Envío Kilogramo (USD)]]/1000</f>
        <v>2.48</v>
      </c>
      <c r="T121" s="76">
        <f>STOCK[[#This Row],[Costo Unitario (USD)]]+STOCK[[#This Row],[Costo Envío (USD)]]+STOCK[[#This Row],[Comisión 10%]]</f>
        <v>14.2022222222222</v>
      </c>
      <c r="U121" s="77">
        <f>STOCK[[#This Row],[Costo total]]*1.5</f>
        <v>21.3033333333333</v>
      </c>
      <c r="V121" s="77">
        <v>20</v>
      </c>
      <c r="W121" s="77">
        <f>STOCK[[#This Row],[Precio Final]]-STOCK[[#This Row],[Costo total]]</f>
        <v>5.79777777777778</v>
      </c>
      <c r="X121" s="77">
        <f>STOCK[[#This Row],[Ganancia Unitaria]]*STOCK[[#This Row],[Salidas]]</f>
        <v>5.79777777777778</v>
      </c>
      <c r="Y121" s="77" t="s">
        <v>277</v>
      </c>
      <c r="AA121" s="77">
        <f>STOCK[[#This Row],[Costo total]]*STOCK[[#This Row],[Entradas]]</f>
        <v>14.2022222222222</v>
      </c>
      <c r="AB121" s="77">
        <f>STOCK[[#This Row],[Stock Actual]]*STOCK[[#This Row],[Costo total]]</f>
        <v>0</v>
      </c>
    </row>
    <row r="122" s="76" customFormat="1" ht="50" hidden="1" customHeight="1" spans="1:28">
      <c r="A122" s="76" t="s">
        <v>284</v>
      </c>
      <c r="B122" s="6"/>
      <c r="C122" s="76" t="s">
        <v>30</v>
      </c>
      <c r="D122" s="76" t="s">
        <v>42</v>
      </c>
      <c r="E122" s="76" t="s">
        <v>285</v>
      </c>
      <c r="F122" s="76" t="s">
        <v>60</v>
      </c>
      <c r="G122" s="76" t="s">
        <v>34</v>
      </c>
      <c r="H122" s="76">
        <f>STOCK[[#This Row],[Precio Final]]</f>
        <v>20</v>
      </c>
      <c r="I122" s="76">
        <f>STOCK[[#This Row],[Precio Venta Ideal (x1.5)]]</f>
        <v>23.2666666666667</v>
      </c>
      <c r="J122" s="91">
        <v>1</v>
      </c>
      <c r="K122" s="91">
        <f>SUMIFS(VENTAS[Cantidad],VENTAS[Código del producto Vendido],STOCK[[#This Row],[Code]])</f>
        <v>1</v>
      </c>
      <c r="L122" s="91">
        <f>STOCK[[#This Row],[Entradas]]-STOCK[[#This Row],[Salidas]]</f>
        <v>0</v>
      </c>
      <c r="M122" s="76">
        <f>STOCK[[#This Row],[Precio Final]]*10%</f>
        <v>2</v>
      </c>
      <c r="N122" s="76">
        <v>200</v>
      </c>
      <c r="O122" s="76">
        <v>18</v>
      </c>
      <c r="P122" s="76">
        <v>11.1111111111111</v>
      </c>
      <c r="Q122" s="91">
        <v>300</v>
      </c>
      <c r="R122" s="76">
        <v>8</v>
      </c>
      <c r="S122" s="76">
        <f>STOCK[[#This Row],[Peso (g)]]*STOCK[[#This Row],[Precio Envío Kilogramo (USD)]]/1000</f>
        <v>2.4</v>
      </c>
      <c r="T122" s="76">
        <f>STOCK[[#This Row],[Costo Unitario (USD)]]+STOCK[[#This Row],[Costo Envío (USD)]]+STOCK[[#This Row],[Comisión 10%]]</f>
        <v>15.5111111111111</v>
      </c>
      <c r="U122" s="76">
        <f>STOCK[[#This Row],[Costo total]]*1.5</f>
        <v>23.2666666666667</v>
      </c>
      <c r="V122" s="76">
        <v>20</v>
      </c>
      <c r="W122" s="76">
        <f>STOCK[[#This Row],[Precio Final]]-STOCK[[#This Row],[Costo total]]</f>
        <v>4.4888888888889</v>
      </c>
      <c r="X122" s="76">
        <f>STOCK[[#This Row],[Ganancia Unitaria]]*STOCK[[#This Row],[Salidas]]</f>
        <v>4.4888888888889</v>
      </c>
      <c r="Y122" s="76" t="s">
        <v>277</v>
      </c>
      <c r="AA122" s="76">
        <f>STOCK[[#This Row],[Costo total]]*STOCK[[#This Row],[Entradas]]</f>
        <v>15.5111111111111</v>
      </c>
      <c r="AB122" s="76">
        <f>STOCK[[#This Row],[Stock Actual]]*STOCK[[#This Row],[Costo total]]</f>
        <v>0</v>
      </c>
    </row>
    <row r="123" s="77" customFormat="1" ht="50" hidden="1" customHeight="1" spans="1:28">
      <c r="A123" s="77" t="s">
        <v>286</v>
      </c>
      <c r="B123" s="6"/>
      <c r="C123" s="77" t="s">
        <v>30</v>
      </c>
      <c r="D123" s="77" t="s">
        <v>287</v>
      </c>
      <c r="E123" s="77" t="s">
        <v>288</v>
      </c>
      <c r="F123" s="77" t="s">
        <v>60</v>
      </c>
      <c r="G123" s="77" t="s">
        <v>34</v>
      </c>
      <c r="H123" s="77">
        <f>STOCK[[#This Row],[Precio Final]]</f>
        <v>30</v>
      </c>
      <c r="I123" s="77">
        <f>STOCK[[#This Row],[Precio Venta Ideal (x1.5)]]</f>
        <v>24.11</v>
      </c>
      <c r="J123" s="92">
        <v>1</v>
      </c>
      <c r="K123" s="92">
        <f>SUMIFS(VENTAS[Cantidad],VENTAS[Código del producto Vendido],STOCK[[#This Row],[Code]])</f>
        <v>1</v>
      </c>
      <c r="L123" s="92">
        <f>STOCK[[#This Row],[Entradas]]-STOCK[[#This Row],[Salidas]]</f>
        <v>0</v>
      </c>
      <c r="M123" s="77">
        <f>STOCK[[#This Row],[Precio Final]]*10%</f>
        <v>3</v>
      </c>
      <c r="N123" s="77">
        <v>195</v>
      </c>
      <c r="O123" s="77">
        <v>18</v>
      </c>
      <c r="P123" s="77">
        <v>10.8333333333333</v>
      </c>
      <c r="Q123" s="92">
        <v>280</v>
      </c>
      <c r="R123" s="77">
        <v>8</v>
      </c>
      <c r="S123" s="77">
        <f>STOCK[[#This Row],[Peso (g)]]*STOCK[[#This Row],[Precio Envío Kilogramo (USD)]]/1000</f>
        <v>2.24</v>
      </c>
      <c r="T123" s="76">
        <f>STOCK[[#This Row],[Costo Unitario (USD)]]+STOCK[[#This Row],[Costo Envío (USD)]]+STOCK[[#This Row],[Comisión 10%]]</f>
        <v>16.0733333333333</v>
      </c>
      <c r="U123" s="77">
        <f>STOCK[[#This Row],[Costo total]]*1.5</f>
        <v>24.11</v>
      </c>
      <c r="V123" s="77">
        <v>30</v>
      </c>
      <c r="W123" s="77">
        <f>STOCK[[#This Row],[Precio Final]]-STOCK[[#This Row],[Costo total]]</f>
        <v>13.9266666666667</v>
      </c>
      <c r="X123" s="77">
        <f>STOCK[[#This Row],[Ganancia Unitaria]]*STOCK[[#This Row],[Salidas]]</f>
        <v>13.9266666666667</v>
      </c>
      <c r="Y123" s="77" t="s">
        <v>277</v>
      </c>
      <c r="AA123" s="77">
        <f>STOCK[[#This Row],[Costo total]]*STOCK[[#This Row],[Entradas]]</f>
        <v>16.0733333333333</v>
      </c>
      <c r="AB123" s="77">
        <f>STOCK[[#This Row],[Stock Actual]]*STOCK[[#This Row],[Costo total]]</f>
        <v>0</v>
      </c>
    </row>
    <row r="124" s="76" customFormat="1" ht="50" hidden="1" customHeight="1" spans="1:28">
      <c r="A124" s="76" t="s">
        <v>289</v>
      </c>
      <c r="B124" s="6"/>
      <c r="C124" s="76" t="s">
        <v>30</v>
      </c>
      <c r="D124" s="76" t="s">
        <v>287</v>
      </c>
      <c r="E124" s="76" t="s">
        <v>288</v>
      </c>
      <c r="F124" s="76" t="s">
        <v>47</v>
      </c>
      <c r="G124" s="76" t="s">
        <v>34</v>
      </c>
      <c r="H124" s="76">
        <f>STOCK[[#This Row],[Precio Final]]</f>
        <v>30</v>
      </c>
      <c r="I124" s="76">
        <f>STOCK[[#This Row],[Precio Venta Ideal (x1.5)]]</f>
        <v>24.3499999999999</v>
      </c>
      <c r="J124" s="91">
        <v>1</v>
      </c>
      <c r="K124" s="91">
        <f>SUMIFS(VENTAS[Cantidad],VENTAS[Código del producto Vendido],STOCK[[#This Row],[Code]])</f>
        <v>1</v>
      </c>
      <c r="L124" s="91">
        <f>STOCK[[#This Row],[Entradas]]-STOCK[[#This Row],[Salidas]]</f>
        <v>0</v>
      </c>
      <c r="M124" s="76">
        <f>STOCK[[#This Row],[Precio Final]]*10%</f>
        <v>3</v>
      </c>
      <c r="N124" s="76">
        <v>195</v>
      </c>
      <c r="O124" s="76">
        <v>18</v>
      </c>
      <c r="P124" s="76">
        <v>10.8333333333333</v>
      </c>
      <c r="Q124" s="91">
        <v>300</v>
      </c>
      <c r="R124" s="76">
        <v>8</v>
      </c>
      <c r="S124" s="76">
        <f>STOCK[[#This Row],[Peso (g)]]*STOCK[[#This Row],[Precio Envío Kilogramo (USD)]]/1000</f>
        <v>2.4</v>
      </c>
      <c r="T124" s="76">
        <f>STOCK[[#This Row],[Costo Unitario (USD)]]+STOCK[[#This Row],[Costo Envío (USD)]]+STOCK[[#This Row],[Comisión 10%]]</f>
        <v>16.2333333333333</v>
      </c>
      <c r="U124" s="76">
        <f>STOCK[[#This Row],[Costo total]]*1.5</f>
        <v>24.3499999999999</v>
      </c>
      <c r="V124" s="76">
        <v>30</v>
      </c>
      <c r="W124" s="76">
        <f>STOCK[[#This Row],[Precio Final]]-STOCK[[#This Row],[Costo total]]</f>
        <v>13.7666666666667</v>
      </c>
      <c r="X124" s="76">
        <f>STOCK[[#This Row],[Ganancia Unitaria]]*STOCK[[#This Row],[Salidas]]</f>
        <v>13.7666666666667</v>
      </c>
      <c r="Y124" s="76" t="s">
        <v>277</v>
      </c>
      <c r="AA124" s="76">
        <f>STOCK[[#This Row],[Costo total]]*STOCK[[#This Row],[Entradas]]</f>
        <v>16.2333333333333</v>
      </c>
      <c r="AB124" s="76">
        <f>STOCK[[#This Row],[Stock Actual]]*STOCK[[#This Row],[Costo total]]</f>
        <v>0</v>
      </c>
    </row>
    <row r="125" s="77" customFormat="1" ht="50" hidden="1" customHeight="1" spans="1:28">
      <c r="A125" s="77" t="s">
        <v>290</v>
      </c>
      <c r="B125" s="6"/>
      <c r="C125" s="77" t="s">
        <v>30</v>
      </c>
      <c r="D125" s="77" t="s">
        <v>287</v>
      </c>
      <c r="E125" s="77" t="s">
        <v>291</v>
      </c>
      <c r="F125" s="77" t="s">
        <v>60</v>
      </c>
      <c r="G125" s="77" t="s">
        <v>34</v>
      </c>
      <c r="H125" s="77">
        <f>STOCK[[#This Row],[Precio Final]]</f>
        <v>30</v>
      </c>
      <c r="I125" s="77">
        <f>STOCK[[#This Row],[Precio Venta Ideal (x1.5)]]</f>
        <v>26.69</v>
      </c>
      <c r="J125" s="92">
        <v>1</v>
      </c>
      <c r="K125" s="92">
        <f>SUMIFS(VENTAS[Cantidad],VENTAS[Código del producto Vendido],STOCK[[#This Row],[Code]])</f>
        <v>1</v>
      </c>
      <c r="L125" s="92">
        <f>STOCK[[#This Row],[Entradas]]-STOCK[[#This Row],[Salidas]]</f>
        <v>0</v>
      </c>
      <c r="M125" s="77">
        <f>STOCK[[#This Row],[Precio Final]]*10%</f>
        <v>3</v>
      </c>
      <c r="N125" s="77">
        <v>213</v>
      </c>
      <c r="O125" s="77">
        <v>18</v>
      </c>
      <c r="P125" s="77">
        <v>11.8333333333333</v>
      </c>
      <c r="Q125" s="92">
        <v>370</v>
      </c>
      <c r="R125" s="77">
        <v>8</v>
      </c>
      <c r="S125" s="77">
        <f>STOCK[[#This Row],[Peso (g)]]*STOCK[[#This Row],[Precio Envío Kilogramo (USD)]]/1000</f>
        <v>2.96</v>
      </c>
      <c r="T125" s="76">
        <f>STOCK[[#This Row],[Costo Unitario (USD)]]+STOCK[[#This Row],[Costo Envío (USD)]]+STOCK[[#This Row],[Comisión 10%]]</f>
        <v>17.7933333333333</v>
      </c>
      <c r="U125" s="77">
        <f>STOCK[[#This Row],[Costo total]]*1.5</f>
        <v>26.69</v>
      </c>
      <c r="V125" s="77">
        <v>30</v>
      </c>
      <c r="W125" s="77">
        <f>STOCK[[#This Row],[Precio Final]]-STOCK[[#This Row],[Costo total]]</f>
        <v>12.2066666666667</v>
      </c>
      <c r="X125" s="77">
        <f>STOCK[[#This Row],[Ganancia Unitaria]]*STOCK[[#This Row],[Salidas]]</f>
        <v>12.2066666666667</v>
      </c>
      <c r="Y125" s="77" t="s">
        <v>277</v>
      </c>
      <c r="AA125" s="77">
        <f>STOCK[[#This Row],[Costo total]]*STOCK[[#This Row],[Entradas]]</f>
        <v>17.7933333333333</v>
      </c>
      <c r="AB125" s="77">
        <f>STOCK[[#This Row],[Stock Actual]]*STOCK[[#This Row],[Costo total]]</f>
        <v>0</v>
      </c>
    </row>
    <row r="126" s="76" customFormat="1" ht="50" hidden="1" customHeight="1" spans="1:29">
      <c r="A126" s="76" t="s">
        <v>292</v>
      </c>
      <c r="B126" s="6"/>
      <c r="C126" s="76" t="s">
        <v>30</v>
      </c>
      <c r="D126" s="76" t="s">
        <v>293</v>
      </c>
      <c r="E126" s="76" t="s">
        <v>294</v>
      </c>
      <c r="F126" s="76" t="s">
        <v>47</v>
      </c>
      <c r="G126" s="76" t="s">
        <v>34</v>
      </c>
      <c r="H126" s="76">
        <f>STOCK[[#This Row],[Precio Final]]</f>
        <v>20</v>
      </c>
      <c r="I126" s="76">
        <f>STOCK[[#This Row],[Precio Venta Ideal (x1.5)]]</f>
        <v>16.86</v>
      </c>
      <c r="J126" s="91">
        <v>1</v>
      </c>
      <c r="K126" s="91">
        <f>SUMIFS(VENTAS[Cantidad],VENTAS[Código del producto Vendido],STOCK[[#This Row],[Code]])</f>
        <v>0</v>
      </c>
      <c r="L126" s="91">
        <f>STOCK[[#This Row],[Entradas]]-STOCK[[#This Row],[Salidas]]</f>
        <v>1</v>
      </c>
      <c r="M126" s="76">
        <f>STOCK[[#This Row],[Precio Final]]*10%</f>
        <v>2</v>
      </c>
      <c r="N126" s="76">
        <v>287</v>
      </c>
      <c r="O126" s="76">
        <v>18</v>
      </c>
      <c r="P126" s="76">
        <v>5</v>
      </c>
      <c r="Q126" s="91">
        <v>530</v>
      </c>
      <c r="R126" s="76">
        <v>8</v>
      </c>
      <c r="S126" s="76">
        <f>STOCK[[#This Row],[Peso (g)]]*STOCK[[#This Row],[Precio Envío Kilogramo (USD)]]/1000</f>
        <v>4.24</v>
      </c>
      <c r="T126" s="76">
        <f>STOCK[[#This Row],[Costo Unitario (USD)]]+STOCK[[#This Row],[Costo Envío (USD)]]+STOCK[[#This Row],[Comisión 10%]]</f>
        <v>11.24</v>
      </c>
      <c r="U126" s="76">
        <f>STOCK[[#This Row],[Costo total]]*1.5</f>
        <v>16.86</v>
      </c>
      <c r="V126" s="76">
        <v>20</v>
      </c>
      <c r="W126" s="76">
        <f>STOCK[[#This Row],[Precio Final]]-STOCK[[#This Row],[Costo total]]</f>
        <v>8.76</v>
      </c>
      <c r="X126" s="76">
        <f>STOCK[[#This Row],[Ganancia Unitaria]]*STOCK[[#This Row],[Salidas]]</f>
        <v>0</v>
      </c>
      <c r="Y126" s="76" t="s">
        <v>277</v>
      </c>
      <c r="AA126" s="76">
        <f>STOCK[[#This Row],[Costo total]]*STOCK[[#This Row],[Entradas]]</f>
        <v>11.24</v>
      </c>
      <c r="AB126" s="76">
        <f>STOCK[[#This Row],[Stock Actual]]*STOCK[[#This Row],[Costo total]]</f>
        <v>11.24</v>
      </c>
      <c r="AC126" s="76">
        <v>12</v>
      </c>
    </row>
    <row r="127" s="77" customFormat="1" ht="50" hidden="1" customHeight="1" spans="1:28">
      <c r="A127" s="77" t="s">
        <v>295</v>
      </c>
      <c r="B127" s="6"/>
      <c r="C127" s="77" t="s">
        <v>30</v>
      </c>
      <c r="D127" s="77" t="s">
        <v>287</v>
      </c>
      <c r="E127" s="77" t="s">
        <v>296</v>
      </c>
      <c r="F127" s="77" t="s">
        <v>47</v>
      </c>
      <c r="G127" s="77" t="s">
        <v>34</v>
      </c>
      <c r="H127" s="77">
        <f>STOCK[[#This Row],[Precio Final]]</f>
        <v>45</v>
      </c>
      <c r="I127" s="77">
        <f>STOCK[[#This Row],[Precio Venta Ideal (x1.5)]]</f>
        <v>35.4799999999999</v>
      </c>
      <c r="J127" s="92">
        <v>1</v>
      </c>
      <c r="K127" s="92">
        <f>SUMIFS(VENTAS[Cantidad],VENTAS[Código del producto Vendido],STOCK[[#This Row],[Code]])</f>
        <v>1</v>
      </c>
      <c r="L127" s="92">
        <f>STOCK[[#This Row],[Entradas]]-STOCK[[#This Row],[Salidas]]</f>
        <v>0</v>
      </c>
      <c r="M127" s="77">
        <f>STOCK[[#This Row],[Precio Final]]*10%</f>
        <v>4.5</v>
      </c>
      <c r="N127" s="77">
        <v>267</v>
      </c>
      <c r="O127" s="77">
        <v>18</v>
      </c>
      <c r="P127" s="77">
        <v>14.8333333333333</v>
      </c>
      <c r="Q127" s="92">
        <v>540</v>
      </c>
      <c r="R127" s="77">
        <v>8</v>
      </c>
      <c r="S127" s="77">
        <f>STOCK[[#This Row],[Peso (g)]]*STOCK[[#This Row],[Precio Envío Kilogramo (USD)]]/1000</f>
        <v>4.32</v>
      </c>
      <c r="T127" s="76">
        <f>STOCK[[#This Row],[Costo Unitario (USD)]]+STOCK[[#This Row],[Costo Envío (USD)]]+STOCK[[#This Row],[Comisión 10%]]</f>
        <v>23.6533333333333</v>
      </c>
      <c r="U127" s="77">
        <f>STOCK[[#This Row],[Costo total]]*1.5</f>
        <v>35.4799999999999</v>
      </c>
      <c r="V127" s="77">
        <v>45</v>
      </c>
      <c r="W127" s="77">
        <f>STOCK[[#This Row],[Precio Final]]-STOCK[[#This Row],[Costo total]]</f>
        <v>21.3466666666667</v>
      </c>
      <c r="X127" s="77">
        <f>STOCK[[#This Row],[Ganancia Unitaria]]*STOCK[[#This Row],[Salidas]]</f>
        <v>21.3466666666667</v>
      </c>
      <c r="Y127" s="77" t="s">
        <v>277</v>
      </c>
      <c r="AA127" s="77">
        <f>STOCK[[#This Row],[Costo total]]*STOCK[[#This Row],[Entradas]]</f>
        <v>23.6533333333333</v>
      </c>
      <c r="AB127" s="77">
        <f>STOCK[[#This Row],[Stock Actual]]*STOCK[[#This Row],[Costo total]]</f>
        <v>0</v>
      </c>
    </row>
    <row r="128" s="76" customFormat="1" ht="50" hidden="1" customHeight="1" spans="1:29">
      <c r="A128" s="76" t="s">
        <v>297</v>
      </c>
      <c r="B128" s="6"/>
      <c r="C128" s="76" t="s">
        <v>30</v>
      </c>
      <c r="D128" s="76" t="s">
        <v>298</v>
      </c>
      <c r="E128" s="76" t="s">
        <v>299</v>
      </c>
      <c r="F128" s="76" t="s">
        <v>60</v>
      </c>
      <c r="G128" s="76" t="s">
        <v>34</v>
      </c>
      <c r="H128" s="76">
        <f>STOCK[[#This Row],[Precio Final]]</f>
        <v>30</v>
      </c>
      <c r="I128" s="76">
        <f>STOCK[[#This Row],[Precio Venta Ideal (x1.5)]]</f>
        <v>29</v>
      </c>
      <c r="J128" s="91">
        <v>1</v>
      </c>
      <c r="K128" s="91">
        <f>SUMIFS(VENTAS[Cantidad],VENTAS[Código del producto Vendido],STOCK[[#This Row],[Code]])</f>
        <v>0</v>
      </c>
      <c r="L128" s="91">
        <f>STOCK[[#This Row],[Entradas]]-STOCK[[#This Row],[Salidas]]</f>
        <v>1</v>
      </c>
      <c r="M128" s="76">
        <f>STOCK[[#This Row],[Precio Final]]*10%</f>
        <v>3</v>
      </c>
      <c r="N128" s="76">
        <v>258</v>
      </c>
      <c r="O128" s="76">
        <v>18</v>
      </c>
      <c r="P128" s="76">
        <v>14.3333333333333</v>
      </c>
      <c r="Q128" s="91">
        <v>250</v>
      </c>
      <c r="R128" s="76">
        <v>8</v>
      </c>
      <c r="S128" s="76">
        <f>STOCK[[#This Row],[Peso (g)]]*STOCK[[#This Row],[Precio Envío Kilogramo (USD)]]/1000</f>
        <v>2</v>
      </c>
      <c r="T128" s="76">
        <f>STOCK[[#This Row],[Costo Unitario (USD)]]+STOCK[[#This Row],[Costo Envío (USD)]]+STOCK[[#This Row],[Comisión 10%]]</f>
        <v>19.3333333333333</v>
      </c>
      <c r="U128" s="76">
        <f>STOCK[[#This Row],[Costo total]]*1.5</f>
        <v>29</v>
      </c>
      <c r="V128" s="76">
        <v>30</v>
      </c>
      <c r="W128" s="76">
        <f>STOCK[[#This Row],[Precio Final]]-STOCK[[#This Row],[Costo total]]</f>
        <v>10.6666666666667</v>
      </c>
      <c r="X128" s="76">
        <f>STOCK[[#This Row],[Ganancia Unitaria]]*STOCK[[#This Row],[Salidas]]</f>
        <v>0</v>
      </c>
      <c r="Y128" s="76" t="s">
        <v>277</v>
      </c>
      <c r="AA128" s="76">
        <f>STOCK[[#This Row],[Costo total]]*STOCK[[#This Row],[Entradas]]</f>
        <v>19.3333333333333</v>
      </c>
      <c r="AB128" s="76">
        <f>STOCK[[#This Row],[Stock Actual]]*STOCK[[#This Row],[Costo total]]</f>
        <v>19.3333333333333</v>
      </c>
      <c r="AC128" s="76">
        <v>25</v>
      </c>
    </row>
    <row r="129" s="77" customFormat="1" ht="50" hidden="1" customHeight="1" spans="1:28">
      <c r="A129" s="77" t="s">
        <v>300</v>
      </c>
      <c r="B129" s="6"/>
      <c r="C129" s="77" t="s">
        <v>30</v>
      </c>
      <c r="D129" s="77" t="s">
        <v>301</v>
      </c>
      <c r="E129" s="77" t="s">
        <v>302</v>
      </c>
      <c r="F129" s="77" t="s">
        <v>47</v>
      </c>
      <c r="G129" s="77" t="s">
        <v>34</v>
      </c>
      <c r="H129" s="77">
        <f>STOCK[[#This Row],[Precio Final]]</f>
        <v>30</v>
      </c>
      <c r="I129" s="77">
        <f>STOCK[[#This Row],[Precio Venta Ideal (x1.5)]]</f>
        <v>29</v>
      </c>
      <c r="J129" s="92">
        <v>1</v>
      </c>
      <c r="K129" s="92">
        <f>SUMIFS(VENTAS[Cantidad],VENTAS[Código del producto Vendido],STOCK[[#This Row],[Code]])</f>
        <v>1</v>
      </c>
      <c r="L129" s="92">
        <f>STOCK[[#This Row],[Entradas]]-STOCK[[#This Row],[Salidas]]</f>
        <v>0</v>
      </c>
      <c r="M129" s="77">
        <f>STOCK[[#This Row],[Precio Final]]*10%</f>
        <v>3</v>
      </c>
      <c r="N129" s="77">
        <v>258</v>
      </c>
      <c r="O129" s="77">
        <v>18</v>
      </c>
      <c r="P129" s="77">
        <v>14.3333333333333</v>
      </c>
      <c r="Q129" s="92">
        <v>250</v>
      </c>
      <c r="R129" s="77">
        <v>8</v>
      </c>
      <c r="S129" s="77">
        <f>STOCK[[#This Row],[Peso (g)]]*STOCK[[#This Row],[Precio Envío Kilogramo (USD)]]/1000</f>
        <v>2</v>
      </c>
      <c r="T129" s="76">
        <f>STOCK[[#This Row],[Costo Unitario (USD)]]+STOCK[[#This Row],[Costo Envío (USD)]]+STOCK[[#This Row],[Comisión 10%]]</f>
        <v>19.3333333333333</v>
      </c>
      <c r="U129" s="77">
        <f>STOCK[[#This Row],[Costo total]]*1.5</f>
        <v>29</v>
      </c>
      <c r="V129" s="77">
        <v>30</v>
      </c>
      <c r="W129" s="77">
        <f>STOCK[[#This Row],[Precio Final]]-STOCK[[#This Row],[Costo total]]</f>
        <v>10.6666666666667</v>
      </c>
      <c r="X129" s="77">
        <f>STOCK[[#This Row],[Ganancia Unitaria]]*STOCK[[#This Row],[Salidas]]</f>
        <v>10.6666666666667</v>
      </c>
      <c r="Y129" s="77" t="s">
        <v>277</v>
      </c>
      <c r="AA129" s="77">
        <f>STOCK[[#This Row],[Costo total]]*STOCK[[#This Row],[Entradas]]</f>
        <v>19.3333333333333</v>
      </c>
      <c r="AB129" s="77">
        <f>STOCK[[#This Row],[Stock Actual]]*STOCK[[#This Row],[Costo total]]</f>
        <v>0</v>
      </c>
    </row>
    <row r="130" s="76" customFormat="1" ht="50" hidden="1" customHeight="1" spans="1:28">
      <c r="A130" s="76" t="s">
        <v>303</v>
      </c>
      <c r="B130" s="6"/>
      <c r="C130" s="76" t="s">
        <v>30</v>
      </c>
      <c r="D130" s="76" t="s">
        <v>301</v>
      </c>
      <c r="E130" s="76" t="s">
        <v>302</v>
      </c>
      <c r="F130" s="76" t="s">
        <v>44</v>
      </c>
      <c r="G130" s="76" t="s">
        <v>34</v>
      </c>
      <c r="H130" s="76">
        <f>STOCK[[#This Row],[Precio Final]]</f>
        <v>30</v>
      </c>
      <c r="I130" s="76">
        <f>STOCK[[#This Row],[Precio Venta Ideal (x1.5)]]</f>
        <v>29</v>
      </c>
      <c r="J130" s="91">
        <v>1</v>
      </c>
      <c r="K130" s="91">
        <f>SUMIFS(VENTAS[Cantidad],VENTAS[Código del producto Vendido],STOCK[[#This Row],[Code]])</f>
        <v>1</v>
      </c>
      <c r="L130" s="91">
        <f>STOCK[[#This Row],[Entradas]]-STOCK[[#This Row],[Salidas]]</f>
        <v>0</v>
      </c>
      <c r="M130" s="76">
        <f>STOCK[[#This Row],[Precio Final]]*10%</f>
        <v>3</v>
      </c>
      <c r="N130" s="76">
        <v>258</v>
      </c>
      <c r="O130" s="76">
        <v>18</v>
      </c>
      <c r="P130" s="76">
        <v>14.3333333333333</v>
      </c>
      <c r="Q130" s="91">
        <v>250</v>
      </c>
      <c r="R130" s="76">
        <v>8</v>
      </c>
      <c r="S130" s="76">
        <f>STOCK[[#This Row],[Peso (g)]]*STOCK[[#This Row],[Precio Envío Kilogramo (USD)]]/1000</f>
        <v>2</v>
      </c>
      <c r="T130" s="76">
        <f>STOCK[[#This Row],[Costo Unitario (USD)]]+STOCK[[#This Row],[Costo Envío (USD)]]+STOCK[[#This Row],[Comisión 10%]]</f>
        <v>19.3333333333333</v>
      </c>
      <c r="U130" s="76">
        <f>STOCK[[#This Row],[Costo total]]*1.5</f>
        <v>29</v>
      </c>
      <c r="V130" s="76">
        <v>30</v>
      </c>
      <c r="W130" s="76">
        <f>STOCK[[#This Row],[Precio Final]]-STOCK[[#This Row],[Costo total]]</f>
        <v>10.6666666666667</v>
      </c>
      <c r="X130" s="76">
        <f>STOCK[[#This Row],[Ganancia Unitaria]]*STOCK[[#This Row],[Salidas]]</f>
        <v>10.6666666666667</v>
      </c>
      <c r="Y130" s="76" t="s">
        <v>277</v>
      </c>
      <c r="AA130" s="76">
        <f>STOCK[[#This Row],[Costo total]]*STOCK[[#This Row],[Entradas]]</f>
        <v>19.3333333333333</v>
      </c>
      <c r="AB130" s="76">
        <f>STOCK[[#This Row],[Stock Actual]]*STOCK[[#This Row],[Costo total]]</f>
        <v>0</v>
      </c>
    </row>
    <row r="131" s="77" customFormat="1" ht="50" hidden="1" customHeight="1" spans="1:28">
      <c r="A131" s="77" t="s">
        <v>304</v>
      </c>
      <c r="B131" s="6"/>
      <c r="C131" s="77" t="s">
        <v>30</v>
      </c>
      <c r="D131" s="77" t="s">
        <v>287</v>
      </c>
      <c r="E131" s="77" t="s">
        <v>305</v>
      </c>
      <c r="F131" s="77" t="s">
        <v>47</v>
      </c>
      <c r="G131" s="77" t="s">
        <v>34</v>
      </c>
      <c r="H131" s="77">
        <f>STOCK[[#This Row],[Precio Final]]</f>
        <v>28</v>
      </c>
      <c r="I131" s="77">
        <f>STOCK[[#This Row],[Precio Venta Ideal (x1.5)]]</f>
        <v>29.45</v>
      </c>
      <c r="J131" s="92">
        <v>1</v>
      </c>
      <c r="K131" s="92">
        <f>SUMIFS(VENTAS[Cantidad],VENTAS[Código del producto Vendido],STOCK[[#This Row],[Code]])</f>
        <v>1</v>
      </c>
      <c r="L131" s="92">
        <f>STOCK[[#This Row],[Entradas]]-STOCK[[#This Row],[Salidas]]</f>
        <v>0</v>
      </c>
      <c r="M131" s="77">
        <f>STOCK[[#This Row],[Precio Final]]*10%</f>
        <v>2.8</v>
      </c>
      <c r="N131" s="77">
        <v>267</v>
      </c>
      <c r="O131" s="77">
        <v>18</v>
      </c>
      <c r="P131" s="77">
        <v>14.8333333333333</v>
      </c>
      <c r="Q131" s="92">
        <v>250</v>
      </c>
      <c r="R131" s="77">
        <v>8</v>
      </c>
      <c r="S131" s="77">
        <f>STOCK[[#This Row],[Peso (g)]]*STOCK[[#This Row],[Precio Envío Kilogramo (USD)]]/1000</f>
        <v>2</v>
      </c>
      <c r="T131" s="76">
        <f>STOCK[[#This Row],[Costo Unitario (USD)]]+STOCK[[#This Row],[Costo Envío (USD)]]+STOCK[[#This Row],[Comisión 10%]]</f>
        <v>19.6333333333333</v>
      </c>
      <c r="U131" s="77">
        <f>STOCK[[#This Row],[Costo total]]*1.5</f>
        <v>29.45</v>
      </c>
      <c r="V131" s="77">
        <v>28</v>
      </c>
      <c r="W131" s="77">
        <f>STOCK[[#This Row],[Precio Final]]-STOCK[[#This Row],[Costo total]]</f>
        <v>8.3666666666667</v>
      </c>
      <c r="X131" s="77">
        <f>STOCK[[#This Row],[Ganancia Unitaria]]*STOCK[[#This Row],[Salidas]]</f>
        <v>8.3666666666667</v>
      </c>
      <c r="Y131" s="77" t="s">
        <v>277</v>
      </c>
      <c r="AA131" s="77">
        <f>STOCK[[#This Row],[Costo total]]*STOCK[[#This Row],[Entradas]]</f>
        <v>19.6333333333333</v>
      </c>
      <c r="AB131" s="77">
        <f>STOCK[[#This Row],[Stock Actual]]*STOCK[[#This Row],[Costo total]]</f>
        <v>0</v>
      </c>
    </row>
    <row r="132" s="76" customFormat="1" ht="50" hidden="1" customHeight="1" spans="1:28">
      <c r="A132" s="76" t="s">
        <v>306</v>
      </c>
      <c r="B132" s="6"/>
      <c r="C132" s="76" t="s">
        <v>30</v>
      </c>
      <c r="D132" s="76" t="s">
        <v>287</v>
      </c>
      <c r="E132" s="76" t="s">
        <v>305</v>
      </c>
      <c r="F132" s="76" t="s">
        <v>38</v>
      </c>
      <c r="G132" s="76" t="s">
        <v>34</v>
      </c>
      <c r="H132" s="76">
        <f>STOCK[[#This Row],[Precio Final]]</f>
        <v>28</v>
      </c>
      <c r="I132" s="76">
        <f>STOCK[[#This Row],[Precio Venta Ideal (x1.5)]]</f>
        <v>29.45</v>
      </c>
      <c r="J132" s="91">
        <v>1</v>
      </c>
      <c r="K132" s="91">
        <f>SUMIFS(VENTAS[Cantidad],VENTAS[Código del producto Vendido],STOCK[[#This Row],[Code]])</f>
        <v>1</v>
      </c>
      <c r="L132" s="91">
        <f>STOCK[[#This Row],[Entradas]]-STOCK[[#This Row],[Salidas]]</f>
        <v>0</v>
      </c>
      <c r="M132" s="76">
        <f>STOCK[[#This Row],[Precio Final]]*10%</f>
        <v>2.8</v>
      </c>
      <c r="N132" s="76">
        <v>267</v>
      </c>
      <c r="O132" s="76">
        <v>18</v>
      </c>
      <c r="P132" s="76">
        <v>14.8333333333333</v>
      </c>
      <c r="Q132" s="91">
        <v>250</v>
      </c>
      <c r="R132" s="76">
        <v>8</v>
      </c>
      <c r="S132" s="76">
        <f>STOCK[[#This Row],[Peso (g)]]*STOCK[[#This Row],[Precio Envío Kilogramo (USD)]]/1000</f>
        <v>2</v>
      </c>
      <c r="T132" s="76">
        <f>STOCK[[#This Row],[Costo Unitario (USD)]]+STOCK[[#This Row],[Costo Envío (USD)]]+STOCK[[#This Row],[Comisión 10%]]</f>
        <v>19.6333333333333</v>
      </c>
      <c r="U132" s="76">
        <f>STOCK[[#This Row],[Costo total]]*1.5</f>
        <v>29.45</v>
      </c>
      <c r="V132" s="76">
        <v>28</v>
      </c>
      <c r="W132" s="76">
        <f>STOCK[[#This Row],[Precio Final]]-STOCK[[#This Row],[Costo total]]</f>
        <v>8.3666666666667</v>
      </c>
      <c r="X132" s="76">
        <f>STOCK[[#This Row],[Ganancia Unitaria]]*STOCK[[#This Row],[Salidas]]</f>
        <v>8.3666666666667</v>
      </c>
      <c r="Y132" s="76" t="s">
        <v>277</v>
      </c>
      <c r="AA132" s="76">
        <f>STOCK[[#This Row],[Costo total]]*STOCK[[#This Row],[Entradas]]</f>
        <v>19.6333333333333</v>
      </c>
      <c r="AB132" s="76">
        <f>STOCK[[#This Row],[Stock Actual]]*STOCK[[#This Row],[Costo total]]</f>
        <v>0</v>
      </c>
    </row>
    <row r="133" s="77" customFormat="1" ht="50" hidden="1" customHeight="1" spans="1:29">
      <c r="A133" s="77" t="s">
        <v>307</v>
      </c>
      <c r="B133" s="6"/>
      <c r="C133" s="77" t="s">
        <v>30</v>
      </c>
      <c r="D133" s="77" t="s">
        <v>282</v>
      </c>
      <c r="E133" s="77" t="s">
        <v>308</v>
      </c>
      <c r="F133" s="77" t="s">
        <v>47</v>
      </c>
      <c r="G133" s="77" t="s">
        <v>34</v>
      </c>
      <c r="H133" s="77">
        <f>STOCK[[#This Row],[Precio Final]]</f>
        <v>35</v>
      </c>
      <c r="I133" s="77">
        <f>STOCK[[#This Row],[Precio Venta Ideal (x1.5)]]</f>
        <v>31.7</v>
      </c>
      <c r="J133" s="92">
        <v>1</v>
      </c>
      <c r="K133" s="92">
        <f>SUMIFS(VENTAS[Cantidad],VENTAS[Código del producto Vendido],STOCK[[#This Row],[Code]])</f>
        <v>0</v>
      </c>
      <c r="L133" s="92">
        <f>STOCK[[#This Row],[Entradas]]-STOCK[[#This Row],[Salidas]]</f>
        <v>1</v>
      </c>
      <c r="M133" s="77">
        <f>STOCK[[#This Row],[Precio Final]]*10%</f>
        <v>3.5</v>
      </c>
      <c r="N133" s="77">
        <v>267</v>
      </c>
      <c r="O133" s="77">
        <v>18</v>
      </c>
      <c r="P133" s="77">
        <v>14.8333333333333</v>
      </c>
      <c r="Q133" s="92">
        <v>350</v>
      </c>
      <c r="R133" s="77">
        <v>8</v>
      </c>
      <c r="S133" s="77">
        <f>STOCK[[#This Row],[Peso (g)]]*STOCK[[#This Row],[Precio Envío Kilogramo (USD)]]/1000</f>
        <v>2.8</v>
      </c>
      <c r="T133" s="76">
        <f>STOCK[[#This Row],[Costo Unitario (USD)]]+STOCK[[#This Row],[Costo Envío (USD)]]+STOCK[[#This Row],[Comisión 10%]]</f>
        <v>21.1333333333333</v>
      </c>
      <c r="U133" s="77">
        <f>STOCK[[#This Row],[Costo total]]*1.5</f>
        <v>31.7</v>
      </c>
      <c r="V133" s="77">
        <v>35</v>
      </c>
      <c r="W133" s="77">
        <f>STOCK[[#This Row],[Precio Final]]-STOCK[[#This Row],[Costo total]]</f>
        <v>13.8666666666667</v>
      </c>
      <c r="X133" s="77">
        <f>STOCK[[#This Row],[Ganancia Unitaria]]*STOCK[[#This Row],[Salidas]]</f>
        <v>0</v>
      </c>
      <c r="Y133" s="77" t="s">
        <v>277</v>
      </c>
      <c r="AA133" s="77">
        <f>STOCK[[#This Row],[Costo total]]*STOCK[[#This Row],[Entradas]]</f>
        <v>21.1333333333333</v>
      </c>
      <c r="AB133" s="77">
        <f>STOCK[[#This Row],[Stock Actual]]*STOCK[[#This Row],[Costo total]]</f>
        <v>21.1333333333333</v>
      </c>
      <c r="AC133" s="77">
        <v>25</v>
      </c>
    </row>
    <row r="134" s="76" customFormat="1" ht="50" hidden="1" customHeight="1" spans="1:28">
      <c r="A134" s="76" t="s">
        <v>309</v>
      </c>
      <c r="B134" s="6"/>
      <c r="C134" s="76" t="s">
        <v>30</v>
      </c>
      <c r="D134" s="76" t="s">
        <v>42</v>
      </c>
      <c r="E134" s="76" t="s">
        <v>310</v>
      </c>
      <c r="F134" s="76" t="s">
        <v>60</v>
      </c>
      <c r="G134" s="76" t="s">
        <v>34</v>
      </c>
      <c r="H134" s="76">
        <f>STOCK[[#This Row],[Precio Final]]</f>
        <v>25</v>
      </c>
      <c r="I134" s="76">
        <f>STOCK[[#This Row],[Precio Venta Ideal (x1.5)]]</f>
        <v>23.4166666666667</v>
      </c>
      <c r="J134" s="91">
        <v>1</v>
      </c>
      <c r="K134" s="91">
        <f>SUMIFS(VENTAS[Cantidad],VENTAS[Código del producto Vendido],STOCK[[#This Row],[Code]])</f>
        <v>1</v>
      </c>
      <c r="L134" s="91">
        <f>STOCK[[#This Row],[Entradas]]-STOCK[[#This Row],[Salidas]]</f>
        <v>0</v>
      </c>
      <c r="M134" s="76">
        <f>STOCK[[#This Row],[Precio Final]]*10%</f>
        <v>2.5</v>
      </c>
      <c r="N134" s="76">
        <v>200</v>
      </c>
      <c r="O134" s="76">
        <v>18</v>
      </c>
      <c r="P134" s="76">
        <v>11.1111111111111</v>
      </c>
      <c r="Q134" s="91">
        <v>250</v>
      </c>
      <c r="R134" s="76">
        <v>8</v>
      </c>
      <c r="S134" s="76">
        <f>STOCK[[#This Row],[Peso (g)]]*STOCK[[#This Row],[Precio Envío Kilogramo (USD)]]/1000</f>
        <v>2</v>
      </c>
      <c r="T134" s="76">
        <f>STOCK[[#This Row],[Costo Unitario (USD)]]+STOCK[[#This Row],[Costo Envío (USD)]]+STOCK[[#This Row],[Comisión 10%]]</f>
        <v>15.6111111111111</v>
      </c>
      <c r="U134" s="76">
        <f>STOCK[[#This Row],[Costo total]]*1.5</f>
        <v>23.4166666666667</v>
      </c>
      <c r="V134" s="76">
        <v>25</v>
      </c>
      <c r="W134" s="76">
        <f>STOCK[[#This Row],[Precio Final]]-STOCK[[#This Row],[Costo total]]</f>
        <v>9.3888888888889</v>
      </c>
      <c r="X134" s="76">
        <f>STOCK[[#This Row],[Ganancia Unitaria]]*STOCK[[#This Row],[Salidas]]</f>
        <v>9.3888888888889</v>
      </c>
      <c r="Y134" s="76" t="s">
        <v>277</v>
      </c>
      <c r="AA134" s="76">
        <f>STOCK[[#This Row],[Costo total]]*STOCK[[#This Row],[Entradas]]</f>
        <v>15.6111111111111</v>
      </c>
      <c r="AB134" s="76">
        <f>STOCK[[#This Row],[Stock Actual]]*STOCK[[#This Row],[Costo total]]</f>
        <v>0</v>
      </c>
    </row>
    <row r="135" s="77" customFormat="1" ht="50" hidden="1" customHeight="1" spans="1:28">
      <c r="A135" s="77" t="s">
        <v>311</v>
      </c>
      <c r="B135" s="6"/>
      <c r="C135" s="77" t="s">
        <v>30</v>
      </c>
      <c r="D135" s="77" t="s">
        <v>215</v>
      </c>
      <c r="E135" s="77" t="s">
        <v>310</v>
      </c>
      <c r="F135" s="77" t="s">
        <v>186</v>
      </c>
      <c r="G135" s="77" t="s">
        <v>34</v>
      </c>
      <c r="H135" s="77">
        <f>STOCK[[#This Row],[Precio Final]]</f>
        <v>22</v>
      </c>
      <c r="I135" s="77">
        <f>STOCK[[#This Row],[Precio Venta Ideal (x1.5)]]</f>
        <v>22.9666666666666</v>
      </c>
      <c r="J135" s="92">
        <v>1</v>
      </c>
      <c r="K135" s="92">
        <f>SUMIFS(VENTAS[Cantidad],VENTAS[Código del producto Vendido],STOCK[[#This Row],[Code]])</f>
        <v>1</v>
      </c>
      <c r="L135" s="92">
        <f>STOCK[[#This Row],[Entradas]]-STOCK[[#This Row],[Salidas]]</f>
        <v>0</v>
      </c>
      <c r="M135" s="77">
        <f>STOCK[[#This Row],[Precio Final]]*10%</f>
        <v>2.2</v>
      </c>
      <c r="N135" s="77">
        <v>200</v>
      </c>
      <c r="O135" s="77">
        <v>18</v>
      </c>
      <c r="P135" s="77">
        <v>11.1111111111111</v>
      </c>
      <c r="Q135" s="92">
        <v>250</v>
      </c>
      <c r="R135" s="77">
        <v>8</v>
      </c>
      <c r="S135" s="77">
        <f>STOCK[[#This Row],[Peso (g)]]*STOCK[[#This Row],[Precio Envío Kilogramo (USD)]]/1000</f>
        <v>2</v>
      </c>
      <c r="T135" s="76">
        <f>STOCK[[#This Row],[Costo Unitario (USD)]]+STOCK[[#This Row],[Costo Envío (USD)]]+STOCK[[#This Row],[Comisión 10%]]</f>
        <v>15.3111111111111</v>
      </c>
      <c r="U135" s="77">
        <f>STOCK[[#This Row],[Costo total]]*1.5</f>
        <v>22.9666666666666</v>
      </c>
      <c r="V135" s="77">
        <v>22</v>
      </c>
      <c r="W135" s="77">
        <f>STOCK[[#This Row],[Precio Final]]-STOCK[[#This Row],[Costo total]]</f>
        <v>6.6888888888889</v>
      </c>
      <c r="X135" s="77">
        <f>STOCK[[#This Row],[Ganancia Unitaria]]*STOCK[[#This Row],[Salidas]]</f>
        <v>6.6888888888889</v>
      </c>
      <c r="Y135" s="77" t="s">
        <v>277</v>
      </c>
      <c r="AA135" s="77">
        <f>STOCK[[#This Row],[Costo total]]*STOCK[[#This Row],[Entradas]]</f>
        <v>15.3111111111111</v>
      </c>
      <c r="AB135" s="77">
        <f>STOCK[[#This Row],[Stock Actual]]*STOCK[[#This Row],[Costo total]]</f>
        <v>0</v>
      </c>
    </row>
    <row r="136" s="76" customFormat="1" ht="50" hidden="1" customHeight="1" spans="1:29">
      <c r="A136" s="76" t="s">
        <v>312</v>
      </c>
      <c r="B136" s="6"/>
      <c r="C136" s="76" t="s">
        <v>30</v>
      </c>
      <c r="D136" s="76" t="s">
        <v>202</v>
      </c>
      <c r="E136" s="76" t="s">
        <v>313</v>
      </c>
      <c r="F136" s="76" t="s">
        <v>44</v>
      </c>
      <c r="G136" s="76" t="s">
        <v>34</v>
      </c>
      <c r="H136" s="76">
        <f>STOCK[[#This Row],[Precio Final]]</f>
        <v>30</v>
      </c>
      <c r="I136" s="76">
        <f>STOCK[[#This Row],[Precio Venta Ideal (x1.5)]]</f>
        <v>28.9333333333333</v>
      </c>
      <c r="J136" s="91">
        <v>1</v>
      </c>
      <c r="K136" s="91">
        <f>SUMIFS(VENTAS[Cantidad],VENTAS[Código del producto Vendido],STOCK[[#This Row],[Code]])</f>
        <v>0</v>
      </c>
      <c r="L136" s="91">
        <f>STOCK[[#This Row],[Entradas]]-STOCK[[#This Row],[Salidas]]</f>
        <v>1</v>
      </c>
      <c r="M136" s="76">
        <f>STOCK[[#This Row],[Precio Final]]*10%</f>
        <v>3</v>
      </c>
      <c r="N136" s="76">
        <v>250</v>
      </c>
      <c r="O136" s="76">
        <v>18</v>
      </c>
      <c r="P136" s="76">
        <v>13.8888888888889</v>
      </c>
      <c r="Q136" s="91">
        <v>300</v>
      </c>
      <c r="R136" s="76">
        <v>8</v>
      </c>
      <c r="S136" s="76">
        <f>STOCK[[#This Row],[Peso (g)]]*STOCK[[#This Row],[Precio Envío Kilogramo (USD)]]/1000</f>
        <v>2.4</v>
      </c>
      <c r="T136" s="76">
        <f>STOCK[[#This Row],[Costo Unitario (USD)]]+STOCK[[#This Row],[Costo Envío (USD)]]+STOCK[[#This Row],[Comisión 10%]]</f>
        <v>19.2888888888889</v>
      </c>
      <c r="U136" s="76">
        <f>STOCK[[#This Row],[Costo total]]*1.5</f>
        <v>28.9333333333333</v>
      </c>
      <c r="V136" s="76">
        <v>30</v>
      </c>
      <c r="W136" s="76">
        <f>STOCK[[#This Row],[Precio Final]]-STOCK[[#This Row],[Costo total]]</f>
        <v>10.7111111111111</v>
      </c>
      <c r="X136" s="76">
        <f>STOCK[[#This Row],[Ganancia Unitaria]]*STOCK[[#This Row],[Salidas]]</f>
        <v>0</v>
      </c>
      <c r="Y136" s="76" t="s">
        <v>277</v>
      </c>
      <c r="AA136" s="76">
        <f>STOCK[[#This Row],[Costo total]]*STOCK[[#This Row],[Entradas]]</f>
        <v>19.2888888888889</v>
      </c>
      <c r="AB136" s="76">
        <f>STOCK[[#This Row],[Stock Actual]]*STOCK[[#This Row],[Costo total]]</f>
        <v>19.2888888888889</v>
      </c>
      <c r="AC136" s="76">
        <v>25</v>
      </c>
    </row>
    <row r="137" s="77" customFormat="1" ht="50" hidden="1" customHeight="1" spans="1:29">
      <c r="A137" s="77" t="s">
        <v>314</v>
      </c>
      <c r="B137" s="6"/>
      <c r="C137" s="77" t="s">
        <v>30</v>
      </c>
      <c r="D137" s="77" t="s">
        <v>215</v>
      </c>
      <c r="E137" s="77" t="s">
        <v>313</v>
      </c>
      <c r="F137" s="77" t="s">
        <v>47</v>
      </c>
      <c r="G137" s="77" t="s">
        <v>34</v>
      </c>
      <c r="H137" s="77">
        <f>STOCK[[#This Row],[Precio Final]]</f>
        <v>30</v>
      </c>
      <c r="I137" s="77">
        <f>STOCK[[#This Row],[Precio Venta Ideal (x1.5)]]</f>
        <v>28.9333333333333</v>
      </c>
      <c r="J137" s="92">
        <v>1</v>
      </c>
      <c r="K137" s="92">
        <f>SUMIFS(VENTAS[Cantidad],VENTAS[Código del producto Vendido],STOCK[[#This Row],[Code]])</f>
        <v>0</v>
      </c>
      <c r="L137" s="92">
        <f>STOCK[[#This Row],[Entradas]]-STOCK[[#This Row],[Salidas]]</f>
        <v>1</v>
      </c>
      <c r="M137" s="77">
        <f>STOCK[[#This Row],[Precio Final]]*10%</f>
        <v>3</v>
      </c>
      <c r="N137" s="77">
        <v>250</v>
      </c>
      <c r="O137" s="77">
        <v>18</v>
      </c>
      <c r="P137" s="77">
        <v>13.8888888888889</v>
      </c>
      <c r="Q137" s="92">
        <v>300</v>
      </c>
      <c r="R137" s="77">
        <v>8</v>
      </c>
      <c r="S137" s="77">
        <f>STOCK[[#This Row],[Peso (g)]]*STOCK[[#This Row],[Precio Envío Kilogramo (USD)]]/1000</f>
        <v>2.4</v>
      </c>
      <c r="T137" s="76">
        <f>STOCK[[#This Row],[Costo Unitario (USD)]]+STOCK[[#This Row],[Costo Envío (USD)]]+STOCK[[#This Row],[Comisión 10%]]</f>
        <v>19.2888888888889</v>
      </c>
      <c r="U137" s="77">
        <f>STOCK[[#This Row],[Costo total]]*1.5</f>
        <v>28.9333333333333</v>
      </c>
      <c r="V137" s="77">
        <v>30</v>
      </c>
      <c r="W137" s="77">
        <f>STOCK[[#This Row],[Precio Final]]-STOCK[[#This Row],[Costo total]]</f>
        <v>10.7111111111111</v>
      </c>
      <c r="X137" s="77">
        <f>STOCK[[#This Row],[Ganancia Unitaria]]*STOCK[[#This Row],[Salidas]]</f>
        <v>0</v>
      </c>
      <c r="Y137" s="77" t="s">
        <v>277</v>
      </c>
      <c r="AA137" s="77">
        <f>STOCK[[#This Row],[Costo total]]*STOCK[[#This Row],[Entradas]]</f>
        <v>19.2888888888889</v>
      </c>
      <c r="AB137" s="77">
        <f>STOCK[[#This Row],[Stock Actual]]*STOCK[[#This Row],[Costo total]]</f>
        <v>19.2888888888889</v>
      </c>
      <c r="AC137" s="77">
        <v>25</v>
      </c>
    </row>
    <row r="138" s="76" customFormat="1" ht="50" hidden="1" customHeight="1" spans="1:29">
      <c r="A138" s="76" t="s">
        <v>315</v>
      </c>
      <c r="B138" s="6"/>
      <c r="C138" s="76" t="s">
        <v>30</v>
      </c>
      <c r="D138" s="76" t="s">
        <v>282</v>
      </c>
      <c r="E138" s="76" t="s">
        <v>316</v>
      </c>
      <c r="F138" s="76" t="s">
        <v>38</v>
      </c>
      <c r="G138" s="76" t="s">
        <v>34</v>
      </c>
      <c r="H138" s="76">
        <f>STOCK[[#This Row],[Precio Final]]</f>
        <v>35</v>
      </c>
      <c r="I138" s="76">
        <f>STOCK[[#This Row],[Precio Venta Ideal (x1.5)]]</f>
        <v>31.4966666666667</v>
      </c>
      <c r="J138" s="91">
        <v>1</v>
      </c>
      <c r="K138" s="91">
        <f>SUMIFS(VENTAS[Cantidad],VENTAS[Código del producto Vendido],STOCK[[#This Row],[Code]])</f>
        <v>0</v>
      </c>
      <c r="L138" s="91">
        <f>STOCK[[#This Row],[Entradas]]-STOCK[[#This Row],[Salidas]]</f>
        <v>1</v>
      </c>
      <c r="M138" s="76">
        <f>STOCK[[#This Row],[Precio Final]]*10%</f>
        <v>3.5</v>
      </c>
      <c r="N138" s="76">
        <v>266</v>
      </c>
      <c r="O138" s="76">
        <v>18</v>
      </c>
      <c r="P138" s="76">
        <v>14.7777777777778</v>
      </c>
      <c r="Q138" s="91">
        <v>340</v>
      </c>
      <c r="R138" s="76">
        <v>8</v>
      </c>
      <c r="S138" s="76">
        <f>STOCK[[#This Row],[Peso (g)]]*STOCK[[#This Row],[Precio Envío Kilogramo (USD)]]/1000</f>
        <v>2.72</v>
      </c>
      <c r="T138" s="76">
        <f>STOCK[[#This Row],[Costo Unitario (USD)]]+STOCK[[#This Row],[Costo Envío (USD)]]+STOCK[[#This Row],[Comisión 10%]]</f>
        <v>20.9977777777778</v>
      </c>
      <c r="U138" s="76">
        <f>STOCK[[#This Row],[Costo total]]*1.5</f>
        <v>31.4966666666667</v>
      </c>
      <c r="V138" s="76">
        <v>35</v>
      </c>
      <c r="W138" s="76">
        <f>STOCK[[#This Row],[Precio Final]]-STOCK[[#This Row],[Costo total]]</f>
        <v>14.0022222222222</v>
      </c>
      <c r="X138" s="76">
        <f>STOCK[[#This Row],[Ganancia Unitaria]]*STOCK[[#This Row],[Salidas]]</f>
        <v>0</v>
      </c>
      <c r="Y138" s="76" t="s">
        <v>277</v>
      </c>
      <c r="AA138" s="76">
        <f>STOCK[[#This Row],[Costo total]]*STOCK[[#This Row],[Entradas]]</f>
        <v>20.9977777777778</v>
      </c>
      <c r="AB138" s="76">
        <f>STOCK[[#This Row],[Stock Actual]]*STOCK[[#This Row],[Costo total]]</f>
        <v>20.9977777777778</v>
      </c>
      <c r="AC138" s="76">
        <v>25</v>
      </c>
    </row>
    <row r="139" s="77" customFormat="1" ht="50" hidden="1" customHeight="1" spans="1:28">
      <c r="A139" s="77" t="s">
        <v>317</v>
      </c>
      <c r="B139" s="6"/>
      <c r="C139" s="77" t="s">
        <v>30</v>
      </c>
      <c r="D139" s="77" t="s">
        <v>287</v>
      </c>
      <c r="E139" s="77" t="s">
        <v>318</v>
      </c>
      <c r="F139" s="77" t="s">
        <v>60</v>
      </c>
      <c r="G139" s="77" t="s">
        <v>34</v>
      </c>
      <c r="H139" s="77">
        <f>STOCK[[#This Row],[Precio Final]]</f>
        <v>35</v>
      </c>
      <c r="I139" s="77">
        <f>STOCK[[#This Row],[Precio Venta Ideal (x1.5)]]</f>
        <v>32.8033333333333</v>
      </c>
      <c r="J139" s="92">
        <v>1</v>
      </c>
      <c r="K139" s="92">
        <f>SUMIFS(VENTAS[Cantidad],VENTAS[Código del producto Vendido],STOCK[[#This Row],[Code]])</f>
        <v>1</v>
      </c>
      <c r="L139" s="92">
        <f>STOCK[[#This Row],[Entradas]]-STOCK[[#This Row],[Salidas]]</f>
        <v>0</v>
      </c>
      <c r="M139" s="77">
        <f>STOCK[[#This Row],[Precio Final]]*10%</f>
        <v>3.5</v>
      </c>
      <c r="N139" s="77">
        <v>286</v>
      </c>
      <c r="O139" s="77">
        <v>18</v>
      </c>
      <c r="P139" s="77">
        <v>15.8888888888889</v>
      </c>
      <c r="Q139" s="92">
        <v>310</v>
      </c>
      <c r="R139" s="77">
        <v>8</v>
      </c>
      <c r="S139" s="77">
        <f>STOCK[[#This Row],[Peso (g)]]*STOCK[[#This Row],[Precio Envío Kilogramo (USD)]]/1000</f>
        <v>2.48</v>
      </c>
      <c r="T139" s="76">
        <f>STOCK[[#This Row],[Costo Unitario (USD)]]+STOCK[[#This Row],[Costo Envío (USD)]]+STOCK[[#This Row],[Comisión 10%]]</f>
        <v>21.8688888888889</v>
      </c>
      <c r="U139" s="77">
        <f>STOCK[[#This Row],[Costo total]]*1.5</f>
        <v>32.8033333333333</v>
      </c>
      <c r="V139" s="77">
        <v>35</v>
      </c>
      <c r="W139" s="77">
        <f>STOCK[[#This Row],[Precio Final]]-STOCK[[#This Row],[Costo total]]</f>
        <v>13.1311111111111</v>
      </c>
      <c r="X139" s="77">
        <f>STOCK[[#This Row],[Ganancia Unitaria]]*STOCK[[#This Row],[Salidas]]</f>
        <v>13.1311111111111</v>
      </c>
      <c r="Y139" s="77" t="s">
        <v>277</v>
      </c>
      <c r="AA139" s="77">
        <f>STOCK[[#This Row],[Costo total]]*STOCK[[#This Row],[Entradas]]</f>
        <v>21.8688888888889</v>
      </c>
      <c r="AB139" s="77">
        <f>STOCK[[#This Row],[Stock Actual]]*STOCK[[#This Row],[Costo total]]</f>
        <v>0</v>
      </c>
    </row>
    <row r="140" s="76" customFormat="1" ht="50" hidden="1" customHeight="1" spans="1:28">
      <c r="A140" s="76" t="s">
        <v>319</v>
      </c>
      <c r="B140" s="6"/>
      <c r="C140" s="76" t="s">
        <v>30</v>
      </c>
      <c r="D140" s="76" t="s">
        <v>151</v>
      </c>
      <c r="E140" s="76" t="s">
        <v>320</v>
      </c>
      <c r="F140" s="76" t="s">
        <v>38</v>
      </c>
      <c r="G140" s="76" t="s">
        <v>34</v>
      </c>
      <c r="H140" s="76">
        <f>STOCK[[#This Row],[Precio Final]]</f>
        <v>35</v>
      </c>
      <c r="I140" s="76">
        <f>STOCK[[#This Row],[Precio Venta Ideal (x1.5)]]</f>
        <v>33.75</v>
      </c>
      <c r="J140" s="91">
        <v>1</v>
      </c>
      <c r="K140" s="91">
        <f>SUMIFS(VENTAS[Cantidad],VENTAS[Código del producto Vendido],STOCK[[#This Row],[Code]])</f>
        <v>1</v>
      </c>
      <c r="L140" s="91">
        <f>STOCK[[#This Row],[Entradas]]-STOCK[[#This Row],[Salidas]]</f>
        <v>0</v>
      </c>
      <c r="M140" s="76">
        <f>STOCK[[#This Row],[Precio Final]]*10%</f>
        <v>3.5</v>
      </c>
      <c r="N140" s="76">
        <v>270</v>
      </c>
      <c r="O140" s="76">
        <v>18</v>
      </c>
      <c r="P140" s="76">
        <v>15</v>
      </c>
      <c r="Q140" s="91">
        <v>500</v>
      </c>
      <c r="R140" s="76">
        <v>8</v>
      </c>
      <c r="S140" s="76">
        <f>STOCK[[#This Row],[Peso (g)]]*STOCK[[#This Row],[Precio Envío Kilogramo (USD)]]/1000</f>
        <v>4</v>
      </c>
      <c r="T140" s="76">
        <f>STOCK[[#This Row],[Costo Unitario (USD)]]+STOCK[[#This Row],[Costo Envío (USD)]]+STOCK[[#This Row],[Comisión 10%]]</f>
        <v>22.5</v>
      </c>
      <c r="U140" s="76">
        <f>STOCK[[#This Row],[Costo total]]*1.5</f>
        <v>33.75</v>
      </c>
      <c r="V140" s="76">
        <v>35</v>
      </c>
      <c r="W140" s="76">
        <f>STOCK[[#This Row],[Precio Final]]-STOCK[[#This Row],[Costo total]]</f>
        <v>12.5</v>
      </c>
      <c r="X140" s="76">
        <f>STOCK[[#This Row],[Ganancia Unitaria]]*STOCK[[#This Row],[Salidas]]</f>
        <v>12.5</v>
      </c>
      <c r="Y140" s="76" t="s">
        <v>277</v>
      </c>
      <c r="AA140" s="76">
        <f>STOCK[[#This Row],[Costo total]]*STOCK[[#This Row],[Entradas]]</f>
        <v>22.5</v>
      </c>
      <c r="AB140" s="76">
        <f>STOCK[[#This Row],[Stock Actual]]*STOCK[[#This Row],[Costo total]]</f>
        <v>0</v>
      </c>
    </row>
    <row r="141" s="77" customFormat="1" ht="50" hidden="1" customHeight="1" spans="1:28">
      <c r="A141" s="77" t="s">
        <v>321</v>
      </c>
      <c r="B141" s="6"/>
      <c r="C141" s="77" t="s">
        <v>30</v>
      </c>
      <c r="D141" s="77" t="s">
        <v>282</v>
      </c>
      <c r="E141" s="77" t="s">
        <v>322</v>
      </c>
      <c r="F141" s="77" t="s">
        <v>210</v>
      </c>
      <c r="G141" s="77" t="s">
        <v>34</v>
      </c>
      <c r="H141" s="77">
        <f>STOCK[[#This Row],[Precio Final]]</f>
        <v>28</v>
      </c>
      <c r="I141" s="77">
        <f>STOCK[[#This Row],[Precio Venta Ideal (x1.5)]]</f>
        <v>31.2</v>
      </c>
      <c r="J141" s="92">
        <v>1</v>
      </c>
      <c r="K141" s="92">
        <f>SUMIFS(VENTAS[Cantidad],VENTAS[Código del producto Vendido],STOCK[[#This Row],[Code]])</f>
        <v>1</v>
      </c>
      <c r="L141" s="92">
        <f>STOCK[[#This Row],[Entradas]]-STOCK[[#This Row],[Salidas]]</f>
        <v>0</v>
      </c>
      <c r="M141" s="77">
        <f>STOCK[[#This Row],[Precio Final]]*10%</f>
        <v>2.8</v>
      </c>
      <c r="N141" s="77">
        <v>270</v>
      </c>
      <c r="O141" s="77">
        <v>18</v>
      </c>
      <c r="P141" s="77">
        <v>15</v>
      </c>
      <c r="Q141" s="92">
        <v>375</v>
      </c>
      <c r="R141" s="77">
        <v>8</v>
      </c>
      <c r="S141" s="77">
        <f>STOCK[[#This Row],[Peso (g)]]*STOCK[[#This Row],[Precio Envío Kilogramo (USD)]]/1000</f>
        <v>3</v>
      </c>
      <c r="T141" s="76">
        <f>STOCK[[#This Row],[Costo Unitario (USD)]]+STOCK[[#This Row],[Costo Envío (USD)]]+STOCK[[#This Row],[Comisión 10%]]</f>
        <v>20.8</v>
      </c>
      <c r="U141" s="77">
        <f>STOCK[[#This Row],[Costo total]]*1.5</f>
        <v>31.2</v>
      </c>
      <c r="V141" s="77">
        <v>28</v>
      </c>
      <c r="W141" s="77">
        <f>STOCK[[#This Row],[Precio Final]]-STOCK[[#This Row],[Costo total]]</f>
        <v>7.2</v>
      </c>
      <c r="X141" s="77">
        <f>STOCK[[#This Row],[Ganancia Unitaria]]*STOCK[[#This Row],[Salidas]]</f>
        <v>7.2</v>
      </c>
      <c r="Y141" s="77" t="s">
        <v>277</v>
      </c>
      <c r="AA141" s="77">
        <f>STOCK[[#This Row],[Costo total]]*STOCK[[#This Row],[Entradas]]</f>
        <v>20.8</v>
      </c>
      <c r="AB141" s="77">
        <f>STOCK[[#This Row],[Stock Actual]]*STOCK[[#This Row],[Costo total]]</f>
        <v>0</v>
      </c>
    </row>
    <row r="142" s="76" customFormat="1" ht="50" hidden="1" customHeight="1" spans="1:28">
      <c r="A142" s="76" t="s">
        <v>323</v>
      </c>
      <c r="B142" s="6"/>
      <c r="C142" s="76" t="s">
        <v>30</v>
      </c>
      <c r="D142" s="76" t="s">
        <v>42</v>
      </c>
      <c r="E142" s="76" t="s">
        <v>324</v>
      </c>
      <c r="F142" s="76" t="s">
        <v>44</v>
      </c>
      <c r="G142" s="76" t="s">
        <v>34</v>
      </c>
      <c r="H142" s="76">
        <f>STOCK[[#This Row],[Precio Final]]</f>
        <v>12</v>
      </c>
      <c r="I142" s="76">
        <f>STOCK[[#This Row],[Precio Venta Ideal (x1.5)]]</f>
        <v>12.6683333333333</v>
      </c>
      <c r="J142" s="91">
        <v>1</v>
      </c>
      <c r="K142" s="91">
        <f>SUMIFS(VENTAS[Cantidad],VENTAS[Código del producto Vendido],STOCK[[#This Row],[Code]])</f>
        <v>1</v>
      </c>
      <c r="L142" s="91">
        <f>STOCK[[#This Row],[Entradas]]-STOCK[[#This Row],[Salidas]]</f>
        <v>0</v>
      </c>
      <c r="M142" s="76">
        <f>STOCK[[#This Row],[Precio Final]]*10%</f>
        <v>1.2</v>
      </c>
      <c r="N142" s="76">
        <v>99.82</v>
      </c>
      <c r="O142" s="76">
        <v>18</v>
      </c>
      <c r="P142" s="76">
        <v>5.54555555555556</v>
      </c>
      <c r="Q142" s="91">
        <v>100</v>
      </c>
      <c r="R142" s="76">
        <v>17</v>
      </c>
      <c r="S142" s="76">
        <f>STOCK[[#This Row],[Peso (g)]]*STOCK[[#This Row],[Precio Envío Kilogramo (USD)]]/1000</f>
        <v>1.7</v>
      </c>
      <c r="T142" s="76">
        <f>STOCK[[#This Row],[Costo Unitario (USD)]]+STOCK[[#This Row],[Costo Envío (USD)]]+STOCK[[#This Row],[Comisión 10%]]</f>
        <v>8.44555555555556</v>
      </c>
      <c r="U142" s="76">
        <f>STOCK[[#This Row],[Costo total]]*1.5</f>
        <v>12.6683333333333</v>
      </c>
      <c r="V142" s="76">
        <v>12</v>
      </c>
      <c r="W142" s="76">
        <f>STOCK[[#This Row],[Precio Final]]-STOCK[[#This Row],[Costo total]]</f>
        <v>3.55444444444444</v>
      </c>
      <c r="X142" s="76">
        <f>STOCK[[#This Row],[Ganancia Unitaria]]*STOCK[[#This Row],[Salidas]]</f>
        <v>3.55444444444444</v>
      </c>
      <c r="AA142" s="76">
        <f>STOCK[[#This Row],[Costo total]]*STOCK[[#This Row],[Entradas]]</f>
        <v>8.44555555555556</v>
      </c>
      <c r="AB142" s="76">
        <f>STOCK[[#This Row],[Stock Actual]]*STOCK[[#This Row],[Costo total]]</f>
        <v>0</v>
      </c>
    </row>
    <row r="143" s="77" customFormat="1" ht="50" hidden="1" customHeight="1" spans="1:28">
      <c r="A143" s="77" t="s">
        <v>325</v>
      </c>
      <c r="B143" s="6"/>
      <c r="C143" s="77" t="s">
        <v>30</v>
      </c>
      <c r="D143" s="77" t="s">
        <v>42</v>
      </c>
      <c r="E143" s="77" t="s">
        <v>326</v>
      </c>
      <c r="F143" s="77" t="s">
        <v>86</v>
      </c>
      <c r="G143" s="77" t="s">
        <v>34</v>
      </c>
      <c r="H143" s="77">
        <f>STOCK[[#This Row],[Precio Final]]</f>
        <v>20</v>
      </c>
      <c r="I143" s="77">
        <f>STOCK[[#This Row],[Precio Venta Ideal (x1.5)]]</f>
        <v>22.525</v>
      </c>
      <c r="J143" s="92">
        <v>0</v>
      </c>
      <c r="K143" s="92">
        <f>SUMIFS(VENTAS[Cantidad],VENTAS[Código del producto Vendido],STOCK[[#This Row],[Code]])</f>
        <v>0</v>
      </c>
      <c r="L143" s="92">
        <f>STOCK[[#This Row],[Entradas]]-STOCK[[#This Row],[Salidas]]</f>
        <v>0</v>
      </c>
      <c r="M143" s="77">
        <f>STOCK[[#This Row],[Precio Final]]*10%</f>
        <v>2</v>
      </c>
      <c r="N143" s="77">
        <v>180.75</v>
      </c>
      <c r="O143" s="77">
        <v>18</v>
      </c>
      <c r="P143" s="77">
        <v>10.0416666666667</v>
      </c>
      <c r="Q143" s="92">
        <v>175</v>
      </c>
      <c r="R143" s="77">
        <v>17</v>
      </c>
      <c r="S143" s="77">
        <f>STOCK[[#This Row],[Peso (g)]]*STOCK[[#This Row],[Precio Envío Kilogramo (USD)]]/1000</f>
        <v>2.975</v>
      </c>
      <c r="T143" s="76">
        <f>STOCK[[#This Row],[Costo Unitario (USD)]]+STOCK[[#This Row],[Costo Envío (USD)]]+STOCK[[#This Row],[Comisión 10%]]</f>
        <v>15.0166666666667</v>
      </c>
      <c r="U143" s="77">
        <f>STOCK[[#This Row],[Costo total]]*1.5</f>
        <v>22.525</v>
      </c>
      <c r="V143" s="77">
        <v>20</v>
      </c>
      <c r="W143" s="77">
        <f>STOCK[[#This Row],[Precio Final]]-STOCK[[#This Row],[Costo total]]</f>
        <v>4.9833333333333</v>
      </c>
      <c r="X143" s="77">
        <f>STOCK[[#This Row],[Ganancia Unitaria]]*STOCK[[#This Row],[Salidas]]</f>
        <v>0</v>
      </c>
      <c r="AA143" s="77">
        <f>STOCK[[#This Row],[Costo total]]*STOCK[[#This Row],[Entradas]]</f>
        <v>0</v>
      </c>
      <c r="AB143" s="77">
        <f>STOCK[[#This Row],[Stock Actual]]*STOCK[[#This Row],[Costo total]]</f>
        <v>0</v>
      </c>
    </row>
    <row r="144" s="76" customFormat="1" ht="50" hidden="1" customHeight="1" spans="1:28">
      <c r="A144" s="76" t="s">
        <v>327</v>
      </c>
      <c r="B144" s="6"/>
      <c r="C144" s="76" t="s">
        <v>30</v>
      </c>
      <c r="D144" s="76" t="s">
        <v>42</v>
      </c>
      <c r="E144" s="76" t="s">
        <v>328</v>
      </c>
      <c r="F144" s="76" t="s">
        <v>44</v>
      </c>
      <c r="G144" s="76" t="s">
        <v>34</v>
      </c>
      <c r="H144" s="76">
        <f>STOCK[[#This Row],[Precio Final]]</f>
        <v>16</v>
      </c>
      <c r="I144" s="76">
        <f>STOCK[[#This Row],[Precio Venta Ideal (x1.5)]]</f>
        <v>20.61</v>
      </c>
      <c r="J144" s="91">
        <v>1</v>
      </c>
      <c r="K144" s="91">
        <f>SUMIFS(VENTAS[Cantidad],VENTAS[Código del producto Vendido],STOCK[[#This Row],[Code]])</f>
        <v>1</v>
      </c>
      <c r="L144" s="91">
        <f>STOCK[[#This Row],[Entradas]]-STOCK[[#This Row],[Salidas]]</f>
        <v>0</v>
      </c>
      <c r="M144" s="76">
        <f>STOCK[[#This Row],[Precio Final]]*10%</f>
        <v>1.6</v>
      </c>
      <c r="N144" s="76">
        <v>142.02</v>
      </c>
      <c r="O144" s="76">
        <v>18</v>
      </c>
      <c r="P144" s="76">
        <v>7.89</v>
      </c>
      <c r="Q144" s="91">
        <v>250</v>
      </c>
      <c r="R144" s="76">
        <v>17</v>
      </c>
      <c r="S144" s="76">
        <f>STOCK[[#This Row],[Peso (g)]]*STOCK[[#This Row],[Precio Envío Kilogramo (USD)]]/1000</f>
        <v>4.25</v>
      </c>
      <c r="T144" s="76">
        <f>STOCK[[#This Row],[Costo Unitario (USD)]]+STOCK[[#This Row],[Costo Envío (USD)]]+STOCK[[#This Row],[Comisión 10%]]</f>
        <v>13.74</v>
      </c>
      <c r="U144" s="76">
        <f>STOCK[[#This Row],[Costo total]]*1.5</f>
        <v>20.61</v>
      </c>
      <c r="V144" s="76">
        <v>16</v>
      </c>
      <c r="W144" s="76">
        <f>STOCK[[#This Row],[Precio Final]]-STOCK[[#This Row],[Costo total]]</f>
        <v>2.26</v>
      </c>
      <c r="X144" s="76">
        <f>STOCK[[#This Row],[Ganancia Unitaria]]*STOCK[[#This Row],[Salidas]]</f>
        <v>2.26</v>
      </c>
      <c r="AA144" s="76">
        <f>STOCK[[#This Row],[Costo total]]*STOCK[[#This Row],[Entradas]]</f>
        <v>13.74</v>
      </c>
      <c r="AB144" s="76">
        <f>STOCK[[#This Row],[Stock Actual]]*STOCK[[#This Row],[Costo total]]</f>
        <v>0</v>
      </c>
    </row>
    <row r="145" s="77" customFormat="1" ht="50" hidden="1" customHeight="1" spans="1:28">
      <c r="A145" s="77" t="s">
        <v>329</v>
      </c>
      <c r="B145" s="6"/>
      <c r="C145" s="77" t="s">
        <v>30</v>
      </c>
      <c r="D145" s="77" t="s">
        <v>42</v>
      </c>
      <c r="E145" s="77" t="s">
        <v>330</v>
      </c>
      <c r="F145" s="77" t="s">
        <v>210</v>
      </c>
      <c r="G145" s="77" t="s">
        <v>34</v>
      </c>
      <c r="H145" s="77">
        <f>STOCK[[#This Row],[Precio Final]]</f>
        <v>20</v>
      </c>
      <c r="I145" s="77">
        <f>STOCK[[#This Row],[Precio Venta Ideal (x1.5)]]</f>
        <v>21.21</v>
      </c>
      <c r="J145" s="92">
        <v>1</v>
      </c>
      <c r="K145" s="92">
        <f>SUMIFS(VENTAS[Cantidad],VENTAS[Código del producto Vendido],STOCK[[#This Row],[Code]])</f>
        <v>1</v>
      </c>
      <c r="L145" s="92">
        <f>STOCK[[#This Row],[Entradas]]-STOCK[[#This Row],[Salidas]]</f>
        <v>0</v>
      </c>
      <c r="M145" s="77">
        <f>STOCK[[#This Row],[Precio Final]]*10%</f>
        <v>2</v>
      </c>
      <c r="N145" s="77">
        <v>142.02</v>
      </c>
      <c r="O145" s="77">
        <v>18</v>
      </c>
      <c r="P145" s="77">
        <v>7.89</v>
      </c>
      <c r="Q145" s="92">
        <v>250</v>
      </c>
      <c r="R145" s="77">
        <v>17</v>
      </c>
      <c r="S145" s="77">
        <f>STOCK[[#This Row],[Peso (g)]]*STOCK[[#This Row],[Precio Envío Kilogramo (USD)]]/1000</f>
        <v>4.25</v>
      </c>
      <c r="T145" s="76">
        <f>STOCK[[#This Row],[Costo Unitario (USD)]]+STOCK[[#This Row],[Costo Envío (USD)]]+STOCK[[#This Row],[Comisión 10%]]</f>
        <v>14.14</v>
      </c>
      <c r="U145" s="77">
        <f>STOCK[[#This Row],[Costo total]]*1.5</f>
        <v>21.21</v>
      </c>
      <c r="V145" s="77">
        <v>20</v>
      </c>
      <c r="W145" s="77">
        <f>STOCK[[#This Row],[Precio Final]]-STOCK[[#This Row],[Costo total]]</f>
        <v>5.86</v>
      </c>
      <c r="X145" s="77">
        <f>STOCK[[#This Row],[Ganancia Unitaria]]*STOCK[[#This Row],[Salidas]]</f>
        <v>5.86</v>
      </c>
      <c r="AA145" s="77">
        <f>STOCK[[#This Row],[Costo total]]*STOCK[[#This Row],[Entradas]]</f>
        <v>14.14</v>
      </c>
      <c r="AB145" s="77">
        <f>STOCK[[#This Row],[Stock Actual]]*STOCK[[#This Row],[Costo total]]</f>
        <v>0</v>
      </c>
    </row>
    <row r="146" s="76" customFormat="1" ht="50" hidden="1" customHeight="1" spans="1:28">
      <c r="A146" s="76" t="s">
        <v>331</v>
      </c>
      <c r="B146" s="6"/>
      <c r="C146" s="76" t="s">
        <v>30</v>
      </c>
      <c r="D146" s="76" t="s">
        <v>42</v>
      </c>
      <c r="E146" s="76" t="s">
        <v>332</v>
      </c>
      <c r="F146" s="76" t="s">
        <v>280</v>
      </c>
      <c r="G146" s="76" t="s">
        <v>34</v>
      </c>
      <c r="H146" s="76">
        <f>STOCK[[#This Row],[Precio Final]]</f>
        <v>16</v>
      </c>
      <c r="I146" s="76">
        <f>STOCK[[#This Row],[Precio Venta Ideal (x1.5)]]</f>
        <v>16.7425</v>
      </c>
      <c r="J146" s="91">
        <v>1</v>
      </c>
      <c r="K146" s="91">
        <f>SUMIFS(VENTAS[Cantidad],VENTAS[Código del producto Vendido],STOCK[[#This Row],[Code]])</f>
        <v>1</v>
      </c>
      <c r="L146" s="91">
        <f>STOCK[[#This Row],[Entradas]]-STOCK[[#This Row],[Salidas]]</f>
        <v>0</v>
      </c>
      <c r="M146" s="76">
        <f>STOCK[[#This Row],[Precio Final]]*10%</f>
        <v>1.6</v>
      </c>
      <c r="N146" s="76">
        <v>110.91</v>
      </c>
      <c r="O146" s="76">
        <v>18</v>
      </c>
      <c r="P146" s="76">
        <v>6.16166666666667</v>
      </c>
      <c r="Q146" s="91">
        <v>200</v>
      </c>
      <c r="R146" s="76">
        <v>17</v>
      </c>
      <c r="S146" s="76">
        <f>STOCK[[#This Row],[Peso (g)]]*STOCK[[#This Row],[Precio Envío Kilogramo (USD)]]/1000</f>
        <v>3.4</v>
      </c>
      <c r="T146" s="76">
        <f>STOCK[[#This Row],[Costo Unitario (USD)]]+STOCK[[#This Row],[Costo Envío (USD)]]+STOCK[[#This Row],[Comisión 10%]]</f>
        <v>11.1616666666667</v>
      </c>
      <c r="U146" s="76">
        <f>STOCK[[#This Row],[Costo total]]*1.5</f>
        <v>16.7425</v>
      </c>
      <c r="V146" s="76">
        <v>16</v>
      </c>
      <c r="W146" s="76">
        <f>STOCK[[#This Row],[Precio Final]]-STOCK[[#This Row],[Costo total]]</f>
        <v>4.83833333333333</v>
      </c>
      <c r="X146" s="76">
        <f>STOCK[[#This Row],[Ganancia Unitaria]]*STOCK[[#This Row],[Salidas]]</f>
        <v>4.83833333333333</v>
      </c>
      <c r="AA146" s="76">
        <f>STOCK[[#This Row],[Costo total]]*STOCK[[#This Row],[Entradas]]</f>
        <v>11.1616666666667</v>
      </c>
      <c r="AB146" s="76">
        <f>STOCK[[#This Row],[Stock Actual]]*STOCK[[#This Row],[Costo total]]</f>
        <v>0</v>
      </c>
    </row>
    <row r="147" s="77" customFormat="1" ht="50" hidden="1" customHeight="1" spans="1:28">
      <c r="A147" s="77" t="s">
        <v>333</v>
      </c>
      <c r="B147" s="6"/>
      <c r="C147" s="77" t="s">
        <v>30</v>
      </c>
      <c r="D147" s="77" t="s">
        <v>42</v>
      </c>
      <c r="E147" s="77" t="s">
        <v>334</v>
      </c>
      <c r="F147" s="77" t="s">
        <v>38</v>
      </c>
      <c r="G147" s="77" t="s">
        <v>34</v>
      </c>
      <c r="H147" s="77">
        <f>STOCK[[#This Row],[Precio Final]]</f>
        <v>15</v>
      </c>
      <c r="I147" s="77">
        <f>STOCK[[#This Row],[Precio Venta Ideal (x1.5)]]</f>
        <v>21.3325</v>
      </c>
      <c r="J147" s="92">
        <v>1</v>
      </c>
      <c r="K147" s="92">
        <f>SUMIFS(VENTAS[Cantidad],VENTAS[Código del producto Vendido],STOCK[[#This Row],[Code]])</f>
        <v>1</v>
      </c>
      <c r="L147" s="92">
        <f>STOCK[[#This Row],[Entradas]]-STOCK[[#This Row],[Salidas]]</f>
        <v>0</v>
      </c>
      <c r="M147" s="77">
        <f>STOCK[[#This Row],[Precio Final]]*10%</f>
        <v>1.5</v>
      </c>
      <c r="N147" s="77">
        <v>152.49</v>
      </c>
      <c r="O147" s="77">
        <v>18</v>
      </c>
      <c r="P147" s="77">
        <v>8.47166666666667</v>
      </c>
      <c r="Q147" s="92">
        <v>250</v>
      </c>
      <c r="R147" s="77">
        <v>17</v>
      </c>
      <c r="S147" s="77">
        <f>STOCK[[#This Row],[Peso (g)]]*STOCK[[#This Row],[Precio Envío Kilogramo (USD)]]/1000</f>
        <v>4.25</v>
      </c>
      <c r="T147" s="76">
        <f>STOCK[[#This Row],[Costo Unitario (USD)]]+STOCK[[#This Row],[Costo Envío (USD)]]+STOCK[[#This Row],[Comisión 10%]]</f>
        <v>14.2216666666667</v>
      </c>
      <c r="U147" s="77">
        <f>STOCK[[#This Row],[Costo total]]*1.5</f>
        <v>21.3325</v>
      </c>
      <c r="V147" s="77">
        <v>15</v>
      </c>
      <c r="W147" s="77">
        <f>STOCK[[#This Row],[Precio Final]]-STOCK[[#This Row],[Costo total]]</f>
        <v>0.778333333333331</v>
      </c>
      <c r="X147" s="77">
        <f>STOCK[[#This Row],[Ganancia Unitaria]]*STOCK[[#This Row],[Salidas]]</f>
        <v>0.778333333333331</v>
      </c>
      <c r="AA147" s="77">
        <f>STOCK[[#This Row],[Costo total]]*STOCK[[#This Row],[Entradas]]</f>
        <v>14.2216666666667</v>
      </c>
      <c r="AB147" s="77">
        <f>STOCK[[#This Row],[Stock Actual]]*STOCK[[#This Row],[Costo total]]</f>
        <v>0</v>
      </c>
    </row>
    <row r="148" s="76" customFormat="1" ht="50" hidden="1" customHeight="1" spans="1:28">
      <c r="A148" s="76" t="s">
        <v>335</v>
      </c>
      <c r="B148" s="6"/>
      <c r="C148" s="76" t="s">
        <v>30</v>
      </c>
      <c r="D148" s="76" t="s">
        <v>42</v>
      </c>
      <c r="E148" s="76" t="s">
        <v>334</v>
      </c>
      <c r="F148" s="76" t="s">
        <v>60</v>
      </c>
      <c r="G148" s="76" t="s">
        <v>34</v>
      </c>
      <c r="H148" s="76">
        <f>STOCK[[#This Row],[Precio Final]]</f>
        <v>25</v>
      </c>
      <c r="I148" s="76">
        <f>STOCK[[#This Row],[Precio Venta Ideal (x1.5)]]</f>
        <v>22.8325</v>
      </c>
      <c r="J148" s="91">
        <v>1</v>
      </c>
      <c r="K148" s="91">
        <f>SUMIFS(VENTAS[Cantidad],VENTAS[Código del producto Vendido],STOCK[[#This Row],[Code]])</f>
        <v>1</v>
      </c>
      <c r="L148" s="91">
        <f>STOCK[[#This Row],[Entradas]]-STOCK[[#This Row],[Salidas]]</f>
        <v>0</v>
      </c>
      <c r="M148" s="76">
        <f>STOCK[[#This Row],[Precio Final]]*10%</f>
        <v>2.5</v>
      </c>
      <c r="N148" s="76">
        <v>152.49</v>
      </c>
      <c r="O148" s="76">
        <v>18</v>
      </c>
      <c r="P148" s="76">
        <v>8.47166666666667</v>
      </c>
      <c r="Q148" s="91">
        <v>250</v>
      </c>
      <c r="R148" s="76">
        <v>17</v>
      </c>
      <c r="S148" s="76">
        <f>STOCK[[#This Row],[Peso (g)]]*STOCK[[#This Row],[Precio Envío Kilogramo (USD)]]/1000</f>
        <v>4.25</v>
      </c>
      <c r="T148" s="76">
        <f>STOCK[[#This Row],[Costo Unitario (USD)]]+STOCK[[#This Row],[Costo Envío (USD)]]+STOCK[[#This Row],[Comisión 10%]]</f>
        <v>15.2216666666667</v>
      </c>
      <c r="U148" s="76">
        <f>STOCK[[#This Row],[Costo total]]*1.5</f>
        <v>22.8325</v>
      </c>
      <c r="V148" s="76">
        <v>25</v>
      </c>
      <c r="W148" s="76">
        <f>STOCK[[#This Row],[Precio Final]]-STOCK[[#This Row],[Costo total]]</f>
        <v>9.77833333333333</v>
      </c>
      <c r="X148" s="76">
        <f>STOCK[[#This Row],[Ganancia Unitaria]]*STOCK[[#This Row],[Salidas]]</f>
        <v>9.77833333333333</v>
      </c>
      <c r="AA148" s="76">
        <f>STOCK[[#This Row],[Costo total]]*STOCK[[#This Row],[Entradas]]</f>
        <v>15.2216666666667</v>
      </c>
      <c r="AB148" s="76">
        <f>STOCK[[#This Row],[Stock Actual]]*STOCK[[#This Row],[Costo total]]</f>
        <v>0</v>
      </c>
    </row>
    <row r="149" s="77" customFormat="1" ht="50" hidden="1" customHeight="1" spans="1:29">
      <c r="A149" s="77" t="s">
        <v>336</v>
      </c>
      <c r="B149" s="6"/>
      <c r="C149" s="77" t="s">
        <v>30</v>
      </c>
      <c r="D149" s="77" t="s">
        <v>215</v>
      </c>
      <c r="E149" s="77" t="s">
        <v>337</v>
      </c>
      <c r="F149" s="77" t="s">
        <v>338</v>
      </c>
      <c r="G149" s="77" t="s">
        <v>34</v>
      </c>
      <c r="H149" s="77">
        <f>STOCK[[#This Row],[Precio Final]]</f>
        <v>30</v>
      </c>
      <c r="I149" s="77">
        <f>STOCK[[#This Row],[Precio Venta Ideal (x1.5)]]</f>
        <v>26.2108333333334</v>
      </c>
      <c r="J149" s="92">
        <v>1</v>
      </c>
      <c r="K149" s="92">
        <f>SUMIFS(VENTAS[Cantidad],VENTAS[Código del producto Vendido],STOCK[[#This Row],[Code]])</f>
        <v>0</v>
      </c>
      <c r="L149" s="92">
        <f>STOCK[[#This Row],[Entradas]]-STOCK[[#This Row],[Salidas]]</f>
        <v>1</v>
      </c>
      <c r="M149" s="77">
        <f>STOCK[[#This Row],[Precio Final]]*10%</f>
        <v>3</v>
      </c>
      <c r="N149" s="77">
        <v>191.68</v>
      </c>
      <c r="O149" s="77">
        <v>18</v>
      </c>
      <c r="P149" s="77">
        <v>10.6488888888889</v>
      </c>
      <c r="Q149" s="92">
        <v>225</v>
      </c>
      <c r="R149" s="77">
        <v>17</v>
      </c>
      <c r="S149" s="77">
        <f>STOCK[[#This Row],[Peso (g)]]*STOCK[[#This Row],[Precio Envío Kilogramo (USD)]]/1000</f>
        <v>3.825</v>
      </c>
      <c r="T149" s="76">
        <f>STOCK[[#This Row],[Costo Unitario (USD)]]+STOCK[[#This Row],[Costo Envío (USD)]]+STOCK[[#This Row],[Comisión 10%]]</f>
        <v>17.4738888888889</v>
      </c>
      <c r="U149" s="77">
        <f>STOCK[[#This Row],[Costo total]]*1.5</f>
        <v>26.2108333333334</v>
      </c>
      <c r="V149" s="77">
        <v>30</v>
      </c>
      <c r="W149" s="77">
        <f>STOCK[[#This Row],[Precio Final]]-STOCK[[#This Row],[Costo total]]</f>
        <v>12.5261111111111</v>
      </c>
      <c r="X149" s="77">
        <f>STOCK[[#This Row],[Ganancia Unitaria]]*STOCK[[#This Row],[Salidas]]</f>
        <v>0</v>
      </c>
      <c r="AA149" s="77">
        <f>STOCK[[#This Row],[Costo total]]*STOCK[[#This Row],[Entradas]]</f>
        <v>17.4738888888889</v>
      </c>
      <c r="AB149" s="77">
        <f>STOCK[[#This Row],[Stock Actual]]*STOCK[[#This Row],[Costo total]]</f>
        <v>17.4738888888889</v>
      </c>
      <c r="AC149" s="77">
        <v>25</v>
      </c>
    </row>
    <row r="150" s="76" customFormat="1" ht="50" hidden="1" customHeight="1" spans="1:29">
      <c r="A150" s="76" t="s">
        <v>339</v>
      </c>
      <c r="B150" s="6"/>
      <c r="C150" s="76" t="s">
        <v>30</v>
      </c>
      <c r="D150" s="77" t="s">
        <v>215</v>
      </c>
      <c r="E150" s="76" t="s">
        <v>337</v>
      </c>
      <c r="F150" s="76" t="s">
        <v>60</v>
      </c>
      <c r="G150" s="76" t="s">
        <v>34</v>
      </c>
      <c r="H150" s="76">
        <f>STOCK[[#This Row],[Precio Final]]</f>
        <v>30</v>
      </c>
      <c r="I150" s="76">
        <f>STOCK[[#This Row],[Precio Venta Ideal (x1.5)]]</f>
        <v>26.2108333333334</v>
      </c>
      <c r="J150" s="91">
        <v>1</v>
      </c>
      <c r="K150" s="91">
        <f>SUMIFS(VENTAS[Cantidad],VENTAS[Código del producto Vendido],STOCK[[#This Row],[Code]])</f>
        <v>0</v>
      </c>
      <c r="L150" s="91">
        <f>STOCK[[#This Row],[Entradas]]-STOCK[[#This Row],[Salidas]]</f>
        <v>1</v>
      </c>
      <c r="M150" s="76">
        <f>STOCK[[#This Row],[Precio Final]]*10%</f>
        <v>3</v>
      </c>
      <c r="N150" s="76">
        <v>191.68</v>
      </c>
      <c r="O150" s="76">
        <v>18</v>
      </c>
      <c r="P150" s="76">
        <v>10.6488888888889</v>
      </c>
      <c r="Q150" s="91">
        <v>225</v>
      </c>
      <c r="R150" s="76">
        <v>17</v>
      </c>
      <c r="S150" s="76">
        <f>STOCK[[#This Row],[Peso (g)]]*STOCK[[#This Row],[Precio Envío Kilogramo (USD)]]/1000</f>
        <v>3.825</v>
      </c>
      <c r="T150" s="76">
        <f>STOCK[[#This Row],[Costo Unitario (USD)]]+STOCK[[#This Row],[Costo Envío (USD)]]+STOCK[[#This Row],[Comisión 10%]]</f>
        <v>17.4738888888889</v>
      </c>
      <c r="U150" s="76">
        <f>STOCK[[#This Row],[Costo total]]*1.5</f>
        <v>26.2108333333334</v>
      </c>
      <c r="V150" s="76">
        <v>30</v>
      </c>
      <c r="W150" s="76">
        <f>STOCK[[#This Row],[Precio Final]]-STOCK[[#This Row],[Costo total]]</f>
        <v>12.5261111111111</v>
      </c>
      <c r="X150" s="76">
        <f>STOCK[[#This Row],[Ganancia Unitaria]]*STOCK[[#This Row],[Salidas]]</f>
        <v>0</v>
      </c>
      <c r="AA150" s="76">
        <f>STOCK[[#This Row],[Costo total]]*STOCK[[#This Row],[Entradas]]</f>
        <v>17.4738888888889</v>
      </c>
      <c r="AB150" s="76">
        <f>STOCK[[#This Row],[Stock Actual]]*STOCK[[#This Row],[Costo total]]</f>
        <v>17.4738888888889</v>
      </c>
      <c r="AC150" s="76">
        <v>25</v>
      </c>
    </row>
    <row r="151" s="77" customFormat="1" ht="50" hidden="1" customHeight="1" spans="1:29">
      <c r="A151" s="77" t="s">
        <v>340</v>
      </c>
      <c r="B151" s="6"/>
      <c r="C151" s="77" t="s">
        <v>30</v>
      </c>
      <c r="D151" s="77" t="s">
        <v>215</v>
      </c>
      <c r="E151" s="77" t="s">
        <v>337</v>
      </c>
      <c r="F151" s="77" t="s">
        <v>47</v>
      </c>
      <c r="G151" s="77" t="s">
        <v>34</v>
      </c>
      <c r="H151" s="77">
        <f>STOCK[[#This Row],[Precio Final]]</f>
        <v>30</v>
      </c>
      <c r="I151" s="77">
        <f>STOCK[[#This Row],[Precio Venta Ideal (x1.5)]]</f>
        <v>26.2108333333334</v>
      </c>
      <c r="J151" s="92">
        <v>1</v>
      </c>
      <c r="K151" s="92">
        <f>SUMIFS(VENTAS[Cantidad],VENTAS[Código del producto Vendido],STOCK[[#This Row],[Code]])</f>
        <v>0</v>
      </c>
      <c r="L151" s="92">
        <f>STOCK[[#This Row],[Entradas]]-STOCK[[#This Row],[Salidas]]</f>
        <v>1</v>
      </c>
      <c r="M151" s="77">
        <f>STOCK[[#This Row],[Precio Final]]*10%</f>
        <v>3</v>
      </c>
      <c r="N151" s="77">
        <v>191.68</v>
      </c>
      <c r="O151" s="77">
        <v>18</v>
      </c>
      <c r="P151" s="77">
        <v>10.6488888888889</v>
      </c>
      <c r="Q151" s="92">
        <v>225</v>
      </c>
      <c r="R151" s="77">
        <v>17</v>
      </c>
      <c r="S151" s="77">
        <f>STOCK[[#This Row],[Peso (g)]]*STOCK[[#This Row],[Precio Envío Kilogramo (USD)]]/1000</f>
        <v>3.825</v>
      </c>
      <c r="T151" s="76">
        <f>STOCK[[#This Row],[Costo Unitario (USD)]]+STOCK[[#This Row],[Costo Envío (USD)]]+STOCK[[#This Row],[Comisión 10%]]</f>
        <v>17.4738888888889</v>
      </c>
      <c r="U151" s="77">
        <f>STOCK[[#This Row],[Costo total]]*1.5</f>
        <v>26.2108333333334</v>
      </c>
      <c r="V151" s="77">
        <v>30</v>
      </c>
      <c r="W151" s="77">
        <f>STOCK[[#This Row],[Precio Final]]-STOCK[[#This Row],[Costo total]]</f>
        <v>12.5261111111111</v>
      </c>
      <c r="X151" s="77">
        <f>STOCK[[#This Row],[Ganancia Unitaria]]*STOCK[[#This Row],[Salidas]]</f>
        <v>0</v>
      </c>
      <c r="AA151" s="77">
        <f>STOCK[[#This Row],[Costo total]]*STOCK[[#This Row],[Entradas]]</f>
        <v>17.4738888888889</v>
      </c>
      <c r="AB151" s="77">
        <f>STOCK[[#This Row],[Stock Actual]]*STOCK[[#This Row],[Costo total]]</f>
        <v>17.4738888888889</v>
      </c>
      <c r="AC151" s="77">
        <v>25</v>
      </c>
    </row>
    <row r="152" s="76" customFormat="1" ht="50" hidden="1" customHeight="1" spans="1:29">
      <c r="A152" s="76" t="s">
        <v>341</v>
      </c>
      <c r="B152" s="6"/>
      <c r="C152" s="76" t="s">
        <v>30</v>
      </c>
      <c r="D152" s="77" t="s">
        <v>293</v>
      </c>
      <c r="E152" s="76" t="s">
        <v>342</v>
      </c>
      <c r="F152" s="76" t="s">
        <v>38</v>
      </c>
      <c r="G152" s="76" t="s">
        <v>34</v>
      </c>
      <c r="H152" s="76">
        <f>STOCK[[#This Row],[Precio Final]]</f>
        <v>12</v>
      </c>
      <c r="I152" s="76">
        <f>STOCK[[#This Row],[Precio Venta Ideal (x1.5)]]</f>
        <v>8.95000000000001</v>
      </c>
      <c r="J152" s="91">
        <v>2</v>
      </c>
      <c r="K152" s="91">
        <f>SUMIFS(VENTAS[Cantidad],VENTAS[Código del producto Vendido],STOCK[[#This Row],[Code]])</f>
        <v>1</v>
      </c>
      <c r="L152" s="91">
        <f>STOCK[[#This Row],[Entradas]]-STOCK[[#This Row],[Salidas]]</f>
        <v>1</v>
      </c>
      <c r="M152" s="76">
        <f>STOCK[[#This Row],[Precio Final]]*10%</f>
        <v>1.2</v>
      </c>
      <c r="N152" s="76">
        <v>71.4</v>
      </c>
      <c r="O152" s="76">
        <v>18</v>
      </c>
      <c r="P152" s="76">
        <v>3.96666666666667</v>
      </c>
      <c r="Q152" s="91">
        <v>100</v>
      </c>
      <c r="R152" s="76">
        <v>8</v>
      </c>
      <c r="S152" s="76">
        <f>STOCK[[#This Row],[Peso (g)]]*STOCK[[#This Row],[Precio Envío Kilogramo (USD)]]/1000</f>
        <v>0.8</v>
      </c>
      <c r="T152" s="76">
        <f>STOCK[[#This Row],[Costo Unitario (USD)]]+STOCK[[#This Row],[Costo Envío (USD)]]+STOCK[[#This Row],[Comisión 10%]]</f>
        <v>5.96666666666667</v>
      </c>
      <c r="U152" s="76">
        <f>STOCK[[#This Row],[Costo total]]*1.5</f>
        <v>8.95000000000001</v>
      </c>
      <c r="V152" s="76">
        <v>12</v>
      </c>
      <c r="W152" s="76">
        <f>STOCK[[#This Row],[Precio Final]]-STOCK[[#This Row],[Costo total]]</f>
        <v>6.03333333333333</v>
      </c>
      <c r="X152" s="76">
        <f>STOCK[[#This Row],[Ganancia Unitaria]]*STOCK[[#This Row],[Salidas]]</f>
        <v>6.03333333333333</v>
      </c>
      <c r="AA152" s="76">
        <f>STOCK[[#This Row],[Costo total]]*STOCK[[#This Row],[Entradas]]</f>
        <v>11.9333333333333</v>
      </c>
      <c r="AB152" s="76">
        <f>STOCK[[#This Row],[Stock Actual]]*STOCK[[#This Row],[Costo total]]</f>
        <v>5.96666666666667</v>
      </c>
      <c r="AC152" s="76">
        <v>8</v>
      </c>
    </row>
    <row r="153" s="77" customFormat="1" ht="50" hidden="1" customHeight="1" spans="1:28">
      <c r="A153" s="77" t="s">
        <v>343</v>
      </c>
      <c r="B153" s="6"/>
      <c r="C153" s="77" t="s">
        <v>30</v>
      </c>
      <c r="D153" s="77" t="s">
        <v>42</v>
      </c>
      <c r="E153" s="77" t="s">
        <v>344</v>
      </c>
      <c r="F153" s="77" t="s">
        <v>186</v>
      </c>
      <c r="G153" s="77" t="s">
        <v>34</v>
      </c>
      <c r="H153" s="77">
        <f>STOCK[[#This Row],[Precio Final]]</f>
        <v>20</v>
      </c>
      <c r="I153" s="77">
        <f>STOCK[[#This Row],[Precio Venta Ideal (x1.5)]]</f>
        <v>23.1966666666667</v>
      </c>
      <c r="J153" s="92">
        <v>0</v>
      </c>
      <c r="K153" s="92">
        <f>SUMIFS(VENTAS[Cantidad],VENTAS[Código del producto Vendido],STOCK[[#This Row],[Code]])</f>
        <v>0</v>
      </c>
      <c r="L153" s="92">
        <f>STOCK[[#This Row],[Entradas]]-STOCK[[#This Row],[Salidas]]</f>
        <v>0</v>
      </c>
      <c r="M153" s="77">
        <f>STOCK[[#This Row],[Precio Final]]*10%</f>
        <v>2</v>
      </c>
      <c r="N153" s="77">
        <v>165.86</v>
      </c>
      <c r="O153" s="77">
        <v>18</v>
      </c>
      <c r="P153" s="77">
        <v>9.21444444444445</v>
      </c>
      <c r="Q153" s="92">
        <v>250</v>
      </c>
      <c r="R153" s="77">
        <v>17</v>
      </c>
      <c r="S153" s="77">
        <f>STOCK[[#This Row],[Peso (g)]]*STOCK[[#This Row],[Precio Envío Kilogramo (USD)]]/1000</f>
        <v>4.25</v>
      </c>
      <c r="T153" s="76">
        <f>STOCK[[#This Row],[Costo Unitario (USD)]]+STOCK[[#This Row],[Costo Envío (USD)]]+STOCK[[#This Row],[Comisión 10%]]</f>
        <v>15.4644444444444</v>
      </c>
      <c r="U153" s="77">
        <f>STOCK[[#This Row],[Costo total]]*1.5</f>
        <v>23.1966666666667</v>
      </c>
      <c r="V153" s="77">
        <v>20</v>
      </c>
      <c r="W153" s="77">
        <f>STOCK[[#This Row],[Precio Final]]-STOCK[[#This Row],[Costo total]]</f>
        <v>4.53555555555555</v>
      </c>
      <c r="X153" s="77">
        <f>STOCK[[#This Row],[Ganancia Unitaria]]*STOCK[[#This Row],[Salidas]]</f>
        <v>0</v>
      </c>
      <c r="AA153" s="77">
        <f>STOCK[[#This Row],[Costo total]]*STOCK[[#This Row],[Entradas]]</f>
        <v>0</v>
      </c>
      <c r="AB153" s="77">
        <f>STOCK[[#This Row],[Stock Actual]]*STOCK[[#This Row],[Costo total]]</f>
        <v>0</v>
      </c>
    </row>
    <row r="154" s="76" customFormat="1" ht="50" hidden="1" customHeight="1" spans="1:28">
      <c r="A154" s="76" t="s">
        <v>345</v>
      </c>
      <c r="B154" s="6"/>
      <c r="C154" s="76" t="s">
        <v>30</v>
      </c>
      <c r="D154" s="76" t="s">
        <v>42</v>
      </c>
      <c r="E154" s="76" t="s">
        <v>346</v>
      </c>
      <c r="F154" s="76" t="s">
        <v>38</v>
      </c>
      <c r="G154" s="76" t="s">
        <v>34</v>
      </c>
      <c r="H154" s="76">
        <f>STOCK[[#This Row],[Precio Final]]</f>
        <v>30</v>
      </c>
      <c r="I154" s="76">
        <f>STOCK[[#This Row],[Precio Venta Ideal (x1.5)]]</f>
        <v>34.0333333333333</v>
      </c>
      <c r="J154" s="91">
        <v>1</v>
      </c>
      <c r="K154" s="91">
        <f>SUMIFS(VENTAS[Cantidad],VENTAS[Código del producto Vendido],STOCK[[#This Row],[Code]])</f>
        <v>1</v>
      </c>
      <c r="L154" s="91">
        <f>STOCK[[#This Row],[Entradas]]-STOCK[[#This Row],[Salidas]]</f>
        <v>0</v>
      </c>
      <c r="M154" s="76">
        <f>STOCK[[#This Row],[Precio Final]]*10%</f>
        <v>3</v>
      </c>
      <c r="N154" s="76">
        <v>293.2</v>
      </c>
      <c r="O154" s="76">
        <v>18</v>
      </c>
      <c r="P154" s="76">
        <v>16.2888888888889</v>
      </c>
      <c r="Q154" s="91">
        <v>200</v>
      </c>
      <c r="R154" s="76">
        <v>17</v>
      </c>
      <c r="S154" s="76">
        <f>STOCK[[#This Row],[Peso (g)]]*STOCK[[#This Row],[Precio Envío Kilogramo (USD)]]/1000</f>
        <v>3.4</v>
      </c>
      <c r="T154" s="76">
        <f>STOCK[[#This Row],[Costo Unitario (USD)]]+STOCK[[#This Row],[Costo Envío (USD)]]+STOCK[[#This Row],[Comisión 10%]]</f>
        <v>22.6888888888889</v>
      </c>
      <c r="U154" s="76">
        <f>STOCK[[#This Row],[Costo total]]*1.5</f>
        <v>34.0333333333333</v>
      </c>
      <c r="V154" s="76">
        <v>30</v>
      </c>
      <c r="W154" s="76">
        <f>STOCK[[#This Row],[Precio Final]]-STOCK[[#This Row],[Costo total]]</f>
        <v>7.3111111111111</v>
      </c>
      <c r="X154" s="76">
        <f>STOCK[[#This Row],[Ganancia Unitaria]]*STOCK[[#This Row],[Salidas]]</f>
        <v>7.3111111111111</v>
      </c>
      <c r="AA154" s="76">
        <f>STOCK[[#This Row],[Costo total]]*STOCK[[#This Row],[Entradas]]</f>
        <v>22.6888888888889</v>
      </c>
      <c r="AB154" s="76">
        <f>STOCK[[#This Row],[Stock Actual]]*STOCK[[#This Row],[Costo total]]</f>
        <v>0</v>
      </c>
    </row>
    <row r="155" s="77" customFormat="1" ht="50" hidden="1" customHeight="1" spans="1:28">
      <c r="A155" s="77" t="s">
        <v>347</v>
      </c>
      <c r="B155" s="6"/>
      <c r="C155" s="77" t="s">
        <v>30</v>
      </c>
      <c r="D155" s="77" t="s">
        <v>42</v>
      </c>
      <c r="E155" s="77" t="s">
        <v>348</v>
      </c>
      <c r="F155" s="77" t="s">
        <v>60</v>
      </c>
      <c r="G155" s="77" t="s">
        <v>34</v>
      </c>
      <c r="H155" s="77">
        <f>STOCK[[#This Row],[Precio Final]]</f>
        <v>16</v>
      </c>
      <c r="I155" s="77">
        <f>STOCK[[#This Row],[Precio Venta Ideal (x1.5)]]</f>
        <v>18.7058333333333</v>
      </c>
      <c r="J155" s="92">
        <v>1</v>
      </c>
      <c r="K155" s="92">
        <f>SUMIFS(VENTAS[Cantidad],VENTAS[Código del producto Vendido],STOCK[[#This Row],[Code]])</f>
        <v>1</v>
      </c>
      <c r="L155" s="92">
        <f>STOCK[[#This Row],[Entradas]]-STOCK[[#This Row],[Salidas]]</f>
        <v>0</v>
      </c>
      <c r="M155" s="77">
        <f>STOCK[[#This Row],[Precio Final]]*10%</f>
        <v>1.6</v>
      </c>
      <c r="N155" s="77">
        <v>134.47</v>
      </c>
      <c r="O155" s="77">
        <v>18</v>
      </c>
      <c r="P155" s="77">
        <v>7.47055555555556</v>
      </c>
      <c r="Q155" s="92">
        <v>200</v>
      </c>
      <c r="R155" s="77">
        <v>17</v>
      </c>
      <c r="S155" s="77">
        <f>STOCK[[#This Row],[Peso (g)]]*STOCK[[#This Row],[Precio Envío Kilogramo (USD)]]/1000</f>
        <v>3.4</v>
      </c>
      <c r="T155" s="76">
        <f>STOCK[[#This Row],[Costo Unitario (USD)]]+STOCK[[#This Row],[Costo Envío (USD)]]+STOCK[[#This Row],[Comisión 10%]]</f>
        <v>12.4705555555556</v>
      </c>
      <c r="U155" s="77">
        <f>STOCK[[#This Row],[Costo total]]*1.5</f>
        <v>18.7058333333333</v>
      </c>
      <c r="V155" s="77">
        <v>16</v>
      </c>
      <c r="W155" s="77">
        <f>STOCK[[#This Row],[Precio Final]]-STOCK[[#This Row],[Costo total]]</f>
        <v>3.52944444444444</v>
      </c>
      <c r="X155" s="77">
        <f>STOCK[[#This Row],[Ganancia Unitaria]]*STOCK[[#This Row],[Salidas]]</f>
        <v>3.52944444444444</v>
      </c>
      <c r="AA155" s="77">
        <f>STOCK[[#This Row],[Costo total]]*STOCK[[#This Row],[Entradas]]</f>
        <v>12.4705555555556</v>
      </c>
      <c r="AB155" s="77">
        <f>STOCK[[#This Row],[Stock Actual]]*STOCK[[#This Row],[Costo total]]</f>
        <v>0</v>
      </c>
    </row>
    <row r="156" s="76" customFormat="1" ht="50" hidden="1" customHeight="1" spans="1:28">
      <c r="A156" s="76" t="s">
        <v>349</v>
      </c>
      <c r="B156" s="6"/>
      <c r="C156" s="76" t="s">
        <v>30</v>
      </c>
      <c r="D156" s="76" t="s">
        <v>350</v>
      </c>
      <c r="E156" s="76" t="s">
        <v>351</v>
      </c>
      <c r="F156" s="76" t="s">
        <v>352</v>
      </c>
      <c r="G156" s="76" t="s">
        <v>34</v>
      </c>
      <c r="H156" s="76">
        <f>STOCK[[#This Row],[Precio Final]]</f>
        <v>3</v>
      </c>
      <c r="I156" s="76">
        <f>STOCK[[#This Row],[Precio Venta Ideal (x1.5)]]</f>
        <v>2.25416666666667</v>
      </c>
      <c r="J156" s="91">
        <v>1</v>
      </c>
      <c r="K156" s="91">
        <f>SUMIFS(VENTAS[Cantidad],VENTAS[Código del producto Vendido],STOCK[[#This Row],[Code]])</f>
        <v>1</v>
      </c>
      <c r="L156" s="91">
        <f>STOCK[[#This Row],[Entradas]]-STOCK[[#This Row],[Salidas]]</f>
        <v>0</v>
      </c>
      <c r="M156" s="76">
        <f>STOCK[[#This Row],[Precio Final]]*10%</f>
        <v>0.3</v>
      </c>
      <c r="N156" s="76">
        <v>17.33</v>
      </c>
      <c r="O156" s="76">
        <v>18</v>
      </c>
      <c r="P156" s="76">
        <v>0.962777777777778</v>
      </c>
      <c r="Q156" s="91">
        <v>30</v>
      </c>
      <c r="R156" s="76">
        <v>8</v>
      </c>
      <c r="S156" s="76">
        <f>STOCK[[#This Row],[Peso (g)]]*STOCK[[#This Row],[Precio Envío Kilogramo (USD)]]/1000</f>
        <v>0.24</v>
      </c>
      <c r="T156" s="76">
        <f>STOCK[[#This Row],[Costo Unitario (USD)]]+STOCK[[#This Row],[Costo Envío (USD)]]+STOCK[[#This Row],[Comisión 10%]]</f>
        <v>1.50277777777778</v>
      </c>
      <c r="U156" s="76">
        <f>STOCK[[#This Row],[Costo total]]*1.5</f>
        <v>2.25416666666667</v>
      </c>
      <c r="V156" s="76">
        <v>3</v>
      </c>
      <c r="W156" s="76">
        <f>STOCK[[#This Row],[Precio Final]]-STOCK[[#This Row],[Costo total]]</f>
        <v>1.49722222222222</v>
      </c>
      <c r="X156" s="76">
        <f>STOCK[[#This Row],[Ganancia Unitaria]]*STOCK[[#This Row],[Salidas]]</f>
        <v>1.49722222222222</v>
      </c>
      <c r="AA156" s="76">
        <f>STOCK[[#This Row],[Costo total]]*STOCK[[#This Row],[Entradas]]</f>
        <v>1.50277777777778</v>
      </c>
      <c r="AB156" s="76">
        <f>STOCK[[#This Row],[Stock Actual]]*STOCK[[#This Row],[Costo total]]</f>
        <v>0</v>
      </c>
    </row>
    <row r="157" s="77" customFormat="1" ht="50" hidden="1" customHeight="1" spans="1:28">
      <c r="A157" s="77" t="s">
        <v>353</v>
      </c>
      <c r="B157" s="6"/>
      <c r="C157" s="77" t="s">
        <v>30</v>
      </c>
      <c r="D157" s="77" t="s">
        <v>42</v>
      </c>
      <c r="E157" s="77" t="s">
        <v>354</v>
      </c>
      <c r="F157" s="77" t="s">
        <v>38</v>
      </c>
      <c r="G157" s="77" t="s">
        <v>34</v>
      </c>
      <c r="H157" s="77">
        <f>STOCK[[#This Row],[Precio Final]]</f>
        <v>25</v>
      </c>
      <c r="I157" s="77">
        <f>STOCK[[#This Row],[Precio Venta Ideal (x1.5)]]</f>
        <v>25.7491666666667</v>
      </c>
      <c r="J157" s="92">
        <v>1</v>
      </c>
      <c r="K157" s="92">
        <f>SUMIFS(VENTAS[Cantidad],VENTAS[Código del producto Vendido],STOCK[[#This Row],[Code]])</f>
        <v>1</v>
      </c>
      <c r="L157" s="92">
        <f>STOCK[[#This Row],[Entradas]]-STOCK[[#This Row],[Salidas]]</f>
        <v>0</v>
      </c>
      <c r="M157" s="77">
        <f>STOCK[[#This Row],[Precio Final]]*10%</f>
        <v>2.5</v>
      </c>
      <c r="N157" s="77">
        <v>176.78</v>
      </c>
      <c r="O157" s="77">
        <v>18</v>
      </c>
      <c r="P157" s="77">
        <v>9.82111111111111</v>
      </c>
      <c r="Q157" s="92">
        <v>285</v>
      </c>
      <c r="R157" s="77">
        <v>17</v>
      </c>
      <c r="S157" s="77">
        <f>STOCK[[#This Row],[Peso (g)]]*STOCK[[#This Row],[Precio Envío Kilogramo (USD)]]/1000</f>
        <v>4.845</v>
      </c>
      <c r="T157" s="76">
        <f>STOCK[[#This Row],[Costo Unitario (USD)]]+STOCK[[#This Row],[Costo Envío (USD)]]+STOCK[[#This Row],[Comisión 10%]]</f>
        <v>17.1661111111111</v>
      </c>
      <c r="U157" s="77">
        <f>STOCK[[#This Row],[Costo total]]*1.5</f>
        <v>25.7491666666667</v>
      </c>
      <c r="V157" s="77">
        <v>25</v>
      </c>
      <c r="W157" s="77">
        <f>STOCK[[#This Row],[Precio Final]]-STOCK[[#This Row],[Costo total]]</f>
        <v>7.83388888888889</v>
      </c>
      <c r="X157" s="77">
        <f>STOCK[[#This Row],[Ganancia Unitaria]]*STOCK[[#This Row],[Salidas]]</f>
        <v>7.83388888888889</v>
      </c>
      <c r="AA157" s="77">
        <f>STOCK[[#This Row],[Costo total]]*STOCK[[#This Row],[Entradas]]</f>
        <v>17.1661111111111</v>
      </c>
      <c r="AB157" s="77">
        <f>STOCK[[#This Row],[Stock Actual]]*STOCK[[#This Row],[Costo total]]</f>
        <v>0</v>
      </c>
    </row>
    <row r="158" s="76" customFormat="1" ht="50" hidden="1" customHeight="1" spans="1:28">
      <c r="A158" s="76" t="s">
        <v>355</v>
      </c>
      <c r="B158" s="6"/>
      <c r="C158" s="76" t="s">
        <v>30</v>
      </c>
      <c r="D158" s="76" t="s">
        <v>42</v>
      </c>
      <c r="E158" s="76" t="s">
        <v>356</v>
      </c>
      <c r="F158" s="76" t="s">
        <v>44</v>
      </c>
      <c r="G158" s="76" t="s">
        <v>34</v>
      </c>
      <c r="H158" s="76">
        <f>STOCK[[#This Row],[Precio Final]]</f>
        <v>35</v>
      </c>
      <c r="I158" s="76">
        <f>STOCK[[#This Row],[Precio Venta Ideal (x1.5)]]</f>
        <v>34.8491666666667</v>
      </c>
      <c r="J158" s="91">
        <v>1</v>
      </c>
      <c r="K158" s="91">
        <f>SUMIFS(VENTAS[Cantidad],VENTAS[Código del producto Vendido],STOCK[[#This Row],[Code]])</f>
        <v>1</v>
      </c>
      <c r="L158" s="91">
        <f>STOCK[[#This Row],[Entradas]]-STOCK[[#This Row],[Salidas]]</f>
        <v>0</v>
      </c>
      <c r="M158" s="76">
        <f>STOCK[[#This Row],[Precio Final]]*10%</f>
        <v>3.5</v>
      </c>
      <c r="N158" s="76">
        <v>263.39</v>
      </c>
      <c r="O158" s="76">
        <v>18</v>
      </c>
      <c r="P158" s="76">
        <v>14.6327777777778</v>
      </c>
      <c r="Q158" s="91">
        <v>300</v>
      </c>
      <c r="R158" s="76">
        <v>17</v>
      </c>
      <c r="S158" s="76">
        <f>STOCK[[#This Row],[Peso (g)]]*STOCK[[#This Row],[Precio Envío Kilogramo (USD)]]/1000</f>
        <v>5.1</v>
      </c>
      <c r="T158" s="76">
        <f>STOCK[[#This Row],[Costo Unitario (USD)]]+STOCK[[#This Row],[Costo Envío (USD)]]+STOCK[[#This Row],[Comisión 10%]]</f>
        <v>23.2327777777778</v>
      </c>
      <c r="U158" s="76">
        <f>STOCK[[#This Row],[Costo total]]*1.5</f>
        <v>34.8491666666667</v>
      </c>
      <c r="V158" s="76">
        <v>35</v>
      </c>
      <c r="W158" s="76">
        <f>STOCK[[#This Row],[Precio Final]]-STOCK[[#This Row],[Costo total]]</f>
        <v>11.7672222222222</v>
      </c>
      <c r="X158" s="76">
        <f>STOCK[[#This Row],[Ganancia Unitaria]]*STOCK[[#This Row],[Salidas]]</f>
        <v>11.7672222222222</v>
      </c>
      <c r="AA158" s="76">
        <f>STOCK[[#This Row],[Costo total]]*STOCK[[#This Row],[Entradas]]</f>
        <v>23.2327777777778</v>
      </c>
      <c r="AB158" s="76">
        <f>STOCK[[#This Row],[Stock Actual]]*STOCK[[#This Row],[Costo total]]</f>
        <v>0</v>
      </c>
    </row>
    <row r="159" s="77" customFormat="1" ht="50" hidden="1" customHeight="1" spans="1:29">
      <c r="A159" s="77" t="s">
        <v>357</v>
      </c>
      <c r="B159" s="6"/>
      <c r="C159" s="77" t="s">
        <v>30</v>
      </c>
      <c r="D159" s="77" t="s">
        <v>215</v>
      </c>
      <c r="E159" s="77" t="s">
        <v>358</v>
      </c>
      <c r="F159" s="77" t="s">
        <v>38</v>
      </c>
      <c r="G159" s="77" t="s">
        <v>34</v>
      </c>
      <c r="H159" s="77">
        <f>STOCK[[#This Row],[Precio Final]]</f>
        <v>35</v>
      </c>
      <c r="I159" s="77">
        <f>STOCK[[#This Row],[Precio Venta Ideal (x1.5)]]</f>
        <v>26.5066666666667</v>
      </c>
      <c r="J159" s="92">
        <v>1</v>
      </c>
      <c r="K159" s="92">
        <f>SUMIFS(VENTAS[Cantidad],VENTAS[Código del producto Vendido],STOCK[[#This Row],[Code]])</f>
        <v>1</v>
      </c>
      <c r="L159" s="92">
        <f>STOCK[[#This Row],[Entradas]]-STOCK[[#This Row],[Salidas]]</f>
        <v>0</v>
      </c>
      <c r="M159" s="77">
        <f>STOCK[[#This Row],[Precio Final]]*10%</f>
        <v>3.5</v>
      </c>
      <c r="N159" s="77">
        <v>147.98</v>
      </c>
      <c r="O159" s="77">
        <v>18</v>
      </c>
      <c r="P159" s="77">
        <v>8.22111111111111</v>
      </c>
      <c r="Q159" s="92">
        <v>350</v>
      </c>
      <c r="R159" s="77">
        <v>17</v>
      </c>
      <c r="S159" s="77">
        <f>STOCK[[#This Row],[Peso (g)]]*STOCK[[#This Row],[Precio Envío Kilogramo (USD)]]/1000</f>
        <v>5.95</v>
      </c>
      <c r="T159" s="76">
        <f>STOCK[[#This Row],[Costo Unitario (USD)]]+STOCK[[#This Row],[Costo Envío (USD)]]+STOCK[[#This Row],[Comisión 10%]]</f>
        <v>17.6711111111111</v>
      </c>
      <c r="U159" s="77">
        <f>STOCK[[#This Row],[Costo total]]*1.5</f>
        <v>26.5066666666667</v>
      </c>
      <c r="V159" s="77">
        <v>35</v>
      </c>
      <c r="W159" s="77">
        <f>STOCK[[#This Row],[Precio Final]]-STOCK[[#This Row],[Costo total]]</f>
        <v>17.3288888888889</v>
      </c>
      <c r="X159" s="77">
        <f>STOCK[[#This Row],[Ganancia Unitaria]]*STOCK[[#This Row],[Salidas]]</f>
        <v>17.3288888888889</v>
      </c>
      <c r="AA159" s="77">
        <f>STOCK[[#This Row],[Costo total]]*STOCK[[#This Row],[Entradas]]</f>
        <v>17.6711111111111</v>
      </c>
      <c r="AB159" s="77">
        <f>STOCK[[#This Row],[Stock Actual]]*STOCK[[#This Row],[Costo total]]</f>
        <v>0</v>
      </c>
      <c r="AC159" s="77">
        <v>25</v>
      </c>
    </row>
    <row r="160" s="76" customFormat="1" ht="50" hidden="1" customHeight="1" spans="1:28">
      <c r="A160" s="76" t="s">
        <v>359</v>
      </c>
      <c r="B160" s="6"/>
      <c r="C160" s="76" t="s">
        <v>30</v>
      </c>
      <c r="D160" s="76" t="s">
        <v>151</v>
      </c>
      <c r="E160" s="76" t="s">
        <v>360</v>
      </c>
      <c r="F160" s="76" t="s">
        <v>38</v>
      </c>
      <c r="G160" s="76" t="s">
        <v>34</v>
      </c>
      <c r="H160" s="76">
        <f>STOCK[[#This Row],[Precio Final]]</f>
        <v>20</v>
      </c>
      <c r="I160" s="76">
        <f>STOCK[[#This Row],[Precio Venta Ideal (x1.5)]]</f>
        <v>22.325</v>
      </c>
      <c r="J160" s="91">
        <v>1</v>
      </c>
      <c r="K160" s="91">
        <f>SUMIFS(VENTAS[Cantidad],VENTAS[Código del producto Vendido],STOCK[[#This Row],[Code]])</f>
        <v>1</v>
      </c>
      <c r="L160" s="91">
        <f>STOCK[[#This Row],[Entradas]]-STOCK[[#This Row],[Salidas]]</f>
        <v>0</v>
      </c>
      <c r="M160" s="76">
        <f>STOCK[[#This Row],[Precio Final]]*10%</f>
        <v>2</v>
      </c>
      <c r="N160" s="76">
        <v>188.7</v>
      </c>
      <c r="O160" s="76">
        <v>18</v>
      </c>
      <c r="P160" s="76">
        <v>10.4833333333333</v>
      </c>
      <c r="Q160" s="91">
        <v>300</v>
      </c>
      <c r="R160" s="76">
        <v>8</v>
      </c>
      <c r="S160" s="76">
        <f>STOCK[[#This Row],[Peso (g)]]*STOCK[[#This Row],[Precio Envío Kilogramo (USD)]]/1000</f>
        <v>2.4</v>
      </c>
      <c r="T160" s="76">
        <f>STOCK[[#This Row],[Costo Unitario (USD)]]+STOCK[[#This Row],[Costo Envío (USD)]]+STOCK[[#This Row],[Comisión 10%]]</f>
        <v>14.8833333333333</v>
      </c>
      <c r="U160" s="76">
        <f>STOCK[[#This Row],[Costo total]]*1.5</f>
        <v>22.325</v>
      </c>
      <c r="V160" s="76">
        <v>20</v>
      </c>
      <c r="W160" s="76">
        <f>STOCK[[#This Row],[Precio Final]]-STOCK[[#This Row],[Costo total]]</f>
        <v>5.1166666666667</v>
      </c>
      <c r="X160" s="76">
        <f>STOCK[[#This Row],[Ganancia Unitaria]]*STOCK[[#This Row],[Salidas]]</f>
        <v>5.1166666666667</v>
      </c>
      <c r="AA160" s="76">
        <f>STOCK[[#This Row],[Costo total]]*STOCK[[#This Row],[Entradas]]</f>
        <v>14.8833333333333</v>
      </c>
      <c r="AB160" s="76">
        <f>STOCK[[#This Row],[Stock Actual]]*STOCK[[#This Row],[Costo total]]</f>
        <v>0</v>
      </c>
    </row>
    <row r="161" s="77" customFormat="1" ht="50" hidden="1" customHeight="1" spans="1:28">
      <c r="A161" s="77" t="s">
        <v>361</v>
      </c>
      <c r="B161" s="6"/>
      <c r="C161" s="77" t="s">
        <v>30</v>
      </c>
      <c r="D161" s="77" t="s">
        <v>151</v>
      </c>
      <c r="E161" s="77" t="s">
        <v>362</v>
      </c>
      <c r="F161" s="77" t="s">
        <v>47</v>
      </c>
      <c r="G161" s="77" t="s">
        <v>34</v>
      </c>
      <c r="H161" s="77">
        <f>STOCK[[#This Row],[Precio Final]]</f>
        <v>20</v>
      </c>
      <c r="I161" s="77">
        <f>STOCK[[#This Row],[Precio Venta Ideal (x1.5)]]</f>
        <v>22.325</v>
      </c>
      <c r="J161" s="92">
        <v>1</v>
      </c>
      <c r="K161" s="92">
        <f>SUMIFS(VENTAS[Cantidad],VENTAS[Código del producto Vendido],STOCK[[#This Row],[Code]])</f>
        <v>1</v>
      </c>
      <c r="L161" s="92">
        <f>STOCK[[#This Row],[Entradas]]-STOCK[[#This Row],[Salidas]]</f>
        <v>0</v>
      </c>
      <c r="M161" s="77">
        <f>STOCK[[#This Row],[Precio Final]]*10%</f>
        <v>2</v>
      </c>
      <c r="N161" s="77">
        <v>188.7</v>
      </c>
      <c r="O161" s="77">
        <v>18</v>
      </c>
      <c r="P161" s="77">
        <v>10.4833333333333</v>
      </c>
      <c r="Q161" s="92">
        <v>300</v>
      </c>
      <c r="R161" s="77">
        <v>8</v>
      </c>
      <c r="S161" s="77">
        <f>STOCK[[#This Row],[Peso (g)]]*STOCK[[#This Row],[Precio Envío Kilogramo (USD)]]/1000</f>
        <v>2.4</v>
      </c>
      <c r="T161" s="76">
        <f>STOCK[[#This Row],[Costo Unitario (USD)]]+STOCK[[#This Row],[Costo Envío (USD)]]+STOCK[[#This Row],[Comisión 10%]]</f>
        <v>14.8833333333333</v>
      </c>
      <c r="U161" s="77">
        <f>STOCK[[#This Row],[Costo total]]*1.5</f>
        <v>22.325</v>
      </c>
      <c r="V161" s="77">
        <v>20</v>
      </c>
      <c r="W161" s="77">
        <f>STOCK[[#This Row],[Precio Final]]-STOCK[[#This Row],[Costo total]]</f>
        <v>5.1166666666667</v>
      </c>
      <c r="X161" s="77">
        <f>STOCK[[#This Row],[Ganancia Unitaria]]*STOCK[[#This Row],[Salidas]]</f>
        <v>5.1166666666667</v>
      </c>
      <c r="AA161" s="77">
        <f>STOCK[[#This Row],[Costo total]]*STOCK[[#This Row],[Entradas]]</f>
        <v>14.8833333333333</v>
      </c>
      <c r="AB161" s="77">
        <f>STOCK[[#This Row],[Stock Actual]]*STOCK[[#This Row],[Costo total]]</f>
        <v>0</v>
      </c>
    </row>
    <row r="162" s="76" customFormat="1" ht="50" hidden="1" customHeight="1" spans="1:29">
      <c r="A162" s="76" t="s">
        <v>363</v>
      </c>
      <c r="B162" s="6"/>
      <c r="C162" s="76" t="s">
        <v>30</v>
      </c>
      <c r="D162" s="76" t="s">
        <v>215</v>
      </c>
      <c r="E162" s="76" t="s">
        <v>364</v>
      </c>
      <c r="F162" s="76" t="s">
        <v>338</v>
      </c>
      <c r="G162" s="76" t="s">
        <v>34</v>
      </c>
      <c r="H162" s="76">
        <f>STOCK[[#This Row],[Precio Final]]</f>
        <v>30</v>
      </c>
      <c r="I162" s="76">
        <f>STOCK[[#This Row],[Precio Venta Ideal (x1.5)]]</f>
        <v>22.8425</v>
      </c>
      <c r="J162" s="91">
        <v>1</v>
      </c>
      <c r="K162" s="91">
        <f>SUMIFS(VENTAS[Cantidad],VENTAS[Código del producto Vendido],STOCK[[#This Row],[Code]])</f>
        <v>0</v>
      </c>
      <c r="L162" s="91">
        <f>STOCK[[#This Row],[Entradas]]-STOCK[[#This Row],[Salidas]]</f>
        <v>1</v>
      </c>
      <c r="M162" s="76">
        <f>STOCK[[#This Row],[Precio Final]]*10%</f>
        <v>3</v>
      </c>
      <c r="N162" s="76">
        <v>158.91</v>
      </c>
      <c r="O162" s="76">
        <v>18</v>
      </c>
      <c r="P162" s="76">
        <v>8.82833333333333</v>
      </c>
      <c r="Q162" s="91">
        <v>200</v>
      </c>
      <c r="R162" s="76">
        <v>17</v>
      </c>
      <c r="S162" s="76">
        <f>STOCK[[#This Row],[Peso (g)]]*STOCK[[#This Row],[Precio Envío Kilogramo (USD)]]/1000</f>
        <v>3.4</v>
      </c>
      <c r="T162" s="76">
        <f>STOCK[[#This Row],[Costo Unitario (USD)]]+STOCK[[#This Row],[Costo Envío (USD)]]+STOCK[[#This Row],[Comisión 10%]]</f>
        <v>15.2283333333333</v>
      </c>
      <c r="U162" s="76">
        <f>STOCK[[#This Row],[Costo total]]*1.5</f>
        <v>22.8425</v>
      </c>
      <c r="V162" s="76">
        <v>30</v>
      </c>
      <c r="W162" s="76">
        <f>STOCK[[#This Row],[Precio Final]]-STOCK[[#This Row],[Costo total]]</f>
        <v>14.7716666666667</v>
      </c>
      <c r="X162" s="76">
        <f>STOCK[[#This Row],[Ganancia Unitaria]]*STOCK[[#This Row],[Salidas]]</f>
        <v>0</v>
      </c>
      <c r="AA162" s="76">
        <f>STOCK[[#This Row],[Costo total]]*STOCK[[#This Row],[Entradas]]</f>
        <v>15.2283333333333</v>
      </c>
      <c r="AB162" s="76">
        <f>STOCK[[#This Row],[Stock Actual]]*STOCK[[#This Row],[Costo total]]</f>
        <v>15.2283333333333</v>
      </c>
      <c r="AC162" s="76">
        <v>18</v>
      </c>
    </row>
    <row r="163" s="77" customFormat="1" ht="50" hidden="1" customHeight="1" spans="1:28">
      <c r="A163" s="77" t="s">
        <v>365</v>
      </c>
      <c r="B163" s="6"/>
      <c r="C163" s="77" t="s">
        <v>30</v>
      </c>
      <c r="D163" s="77" t="s">
        <v>42</v>
      </c>
      <c r="E163" s="77" t="s">
        <v>366</v>
      </c>
      <c r="F163" s="77" t="s">
        <v>38</v>
      </c>
      <c r="G163" s="77" t="s">
        <v>34</v>
      </c>
      <c r="H163" s="77">
        <f>STOCK[[#This Row],[Precio Final]]</f>
        <v>16</v>
      </c>
      <c r="I163" s="77">
        <f>STOCK[[#This Row],[Precio Venta Ideal (x1.5)]]</f>
        <v>21.1558333333333</v>
      </c>
      <c r="J163" s="92">
        <v>1</v>
      </c>
      <c r="K163" s="92">
        <f>SUMIFS(VENTAS[Cantidad],VENTAS[Código del producto Vendido],STOCK[[#This Row],[Code]])</f>
        <v>1</v>
      </c>
      <c r="L163" s="92">
        <f>STOCK[[#This Row],[Entradas]]-STOCK[[#This Row],[Salidas]]</f>
        <v>0</v>
      </c>
      <c r="M163" s="77">
        <f>STOCK[[#This Row],[Precio Final]]*10%</f>
        <v>1.6</v>
      </c>
      <c r="N163" s="77">
        <v>163.87</v>
      </c>
      <c r="O163" s="77">
        <v>18</v>
      </c>
      <c r="P163" s="77">
        <v>9.10388888888889</v>
      </c>
      <c r="Q163" s="92">
        <v>200</v>
      </c>
      <c r="R163" s="77">
        <v>17</v>
      </c>
      <c r="S163" s="77">
        <f>STOCK[[#This Row],[Peso (g)]]*STOCK[[#This Row],[Precio Envío Kilogramo (USD)]]/1000</f>
        <v>3.4</v>
      </c>
      <c r="T163" s="76">
        <f>STOCK[[#This Row],[Costo Unitario (USD)]]+STOCK[[#This Row],[Costo Envío (USD)]]+STOCK[[#This Row],[Comisión 10%]]</f>
        <v>14.1038888888889</v>
      </c>
      <c r="U163" s="77">
        <f>STOCK[[#This Row],[Costo total]]*1.5</f>
        <v>21.1558333333333</v>
      </c>
      <c r="V163" s="77">
        <v>16</v>
      </c>
      <c r="W163" s="77">
        <f>STOCK[[#This Row],[Precio Final]]-STOCK[[#This Row],[Costo total]]</f>
        <v>1.89611111111111</v>
      </c>
      <c r="X163" s="77">
        <f>STOCK[[#This Row],[Ganancia Unitaria]]*STOCK[[#This Row],[Salidas]]</f>
        <v>1.89611111111111</v>
      </c>
      <c r="AA163" s="77">
        <f>STOCK[[#This Row],[Costo total]]*STOCK[[#This Row],[Entradas]]</f>
        <v>14.1038888888889</v>
      </c>
      <c r="AB163" s="77">
        <f>STOCK[[#This Row],[Stock Actual]]*STOCK[[#This Row],[Costo total]]</f>
        <v>0</v>
      </c>
    </row>
    <row r="164" s="76" customFormat="1" ht="50" hidden="1" customHeight="1" spans="1:28">
      <c r="A164" s="76" t="s">
        <v>367</v>
      </c>
      <c r="B164" s="6"/>
      <c r="C164" s="76" t="s">
        <v>30</v>
      </c>
      <c r="D164" s="76" t="s">
        <v>42</v>
      </c>
      <c r="E164" s="76" t="s">
        <v>368</v>
      </c>
      <c r="F164" s="76" t="s">
        <v>38</v>
      </c>
      <c r="G164" s="76" t="s">
        <v>34</v>
      </c>
      <c r="H164" s="76">
        <f>STOCK[[#This Row],[Precio Final]]</f>
        <v>16</v>
      </c>
      <c r="I164" s="76">
        <f>STOCK[[#This Row],[Precio Venta Ideal (x1.5)]]</f>
        <v>21.6525</v>
      </c>
      <c r="J164" s="91">
        <v>1</v>
      </c>
      <c r="K164" s="91">
        <f>SUMIFS(VENTAS[Cantidad],VENTAS[Código del producto Vendido],STOCK[[#This Row],[Code]])</f>
        <v>1</v>
      </c>
      <c r="L164" s="91">
        <f>STOCK[[#This Row],[Entradas]]-STOCK[[#This Row],[Salidas]]</f>
        <v>0</v>
      </c>
      <c r="M164" s="76">
        <f>STOCK[[#This Row],[Precio Final]]*10%</f>
        <v>1.6</v>
      </c>
      <c r="N164" s="76">
        <v>169.83</v>
      </c>
      <c r="O164" s="76">
        <v>18</v>
      </c>
      <c r="P164" s="76">
        <v>9.435</v>
      </c>
      <c r="Q164" s="91">
        <v>200</v>
      </c>
      <c r="R164" s="76">
        <v>17</v>
      </c>
      <c r="S164" s="76">
        <f>STOCK[[#This Row],[Peso (g)]]*STOCK[[#This Row],[Precio Envío Kilogramo (USD)]]/1000</f>
        <v>3.4</v>
      </c>
      <c r="T164" s="76">
        <f>STOCK[[#This Row],[Costo Unitario (USD)]]+STOCK[[#This Row],[Costo Envío (USD)]]+STOCK[[#This Row],[Comisión 10%]]</f>
        <v>14.435</v>
      </c>
      <c r="U164" s="76">
        <f>STOCK[[#This Row],[Costo total]]*1.5</f>
        <v>21.6525</v>
      </c>
      <c r="V164" s="76">
        <v>16</v>
      </c>
      <c r="W164" s="76">
        <f>STOCK[[#This Row],[Precio Final]]-STOCK[[#This Row],[Costo total]]</f>
        <v>1.565</v>
      </c>
      <c r="X164" s="76">
        <f>STOCK[[#This Row],[Ganancia Unitaria]]*STOCK[[#This Row],[Salidas]]</f>
        <v>1.565</v>
      </c>
      <c r="AA164" s="76">
        <f>STOCK[[#This Row],[Costo total]]*STOCK[[#This Row],[Entradas]]</f>
        <v>14.435</v>
      </c>
      <c r="AB164" s="76">
        <f>STOCK[[#This Row],[Stock Actual]]*STOCK[[#This Row],[Costo total]]</f>
        <v>0</v>
      </c>
    </row>
    <row r="165" s="77" customFormat="1" ht="50" hidden="1" customHeight="1" spans="1:28">
      <c r="A165" s="77" t="s">
        <v>369</v>
      </c>
      <c r="B165" s="6"/>
      <c r="C165" s="77" t="s">
        <v>30</v>
      </c>
      <c r="D165" s="77" t="s">
        <v>370</v>
      </c>
      <c r="E165" s="77" t="s">
        <v>371</v>
      </c>
      <c r="F165" s="77" t="s">
        <v>44</v>
      </c>
      <c r="G165" s="77" t="s">
        <v>34</v>
      </c>
      <c r="H165" s="77">
        <f>STOCK[[#This Row],[Precio Final]]</f>
        <v>30</v>
      </c>
      <c r="I165" s="77">
        <f>STOCK[[#This Row],[Precio Venta Ideal (x1.5)]]</f>
        <v>23.1833333333334</v>
      </c>
      <c r="J165" s="92">
        <v>1</v>
      </c>
      <c r="K165" s="92">
        <f>SUMIFS(VENTAS[Cantidad],VENTAS[Código del producto Vendido],STOCK[[#This Row],[Code]])</f>
        <v>1</v>
      </c>
      <c r="L165" s="92">
        <f>STOCK[[#This Row],[Entradas]]-STOCK[[#This Row],[Salidas]]</f>
        <v>0</v>
      </c>
      <c r="M165" s="77">
        <f>STOCK[[#This Row],[Precio Final]]*10%</f>
        <v>3</v>
      </c>
      <c r="N165" s="77">
        <v>202.6</v>
      </c>
      <c r="O165" s="77">
        <v>18</v>
      </c>
      <c r="P165" s="77">
        <v>11.2555555555556</v>
      </c>
      <c r="Q165" s="92">
        <v>150</v>
      </c>
      <c r="R165" s="77">
        <v>8</v>
      </c>
      <c r="S165" s="77">
        <f>STOCK[[#This Row],[Peso (g)]]*STOCK[[#This Row],[Precio Envío Kilogramo (USD)]]/1000</f>
        <v>1.2</v>
      </c>
      <c r="T165" s="76">
        <f>STOCK[[#This Row],[Costo Unitario (USD)]]+STOCK[[#This Row],[Costo Envío (USD)]]+STOCK[[#This Row],[Comisión 10%]]</f>
        <v>15.4555555555556</v>
      </c>
      <c r="U165" s="77">
        <f>STOCK[[#This Row],[Costo total]]*1.5</f>
        <v>23.1833333333334</v>
      </c>
      <c r="V165" s="77">
        <v>30</v>
      </c>
      <c r="W165" s="77">
        <f>STOCK[[#This Row],[Precio Final]]-STOCK[[#This Row],[Costo total]]</f>
        <v>14.5444444444444</v>
      </c>
      <c r="X165" s="77">
        <f>STOCK[[#This Row],[Ganancia Unitaria]]*STOCK[[#This Row],[Salidas]]</f>
        <v>14.5444444444444</v>
      </c>
      <c r="AA165" s="77">
        <f>STOCK[[#This Row],[Costo total]]*STOCK[[#This Row],[Entradas]]</f>
        <v>15.4555555555556</v>
      </c>
      <c r="AB165" s="77">
        <f>STOCK[[#This Row],[Stock Actual]]*STOCK[[#This Row],[Costo total]]</f>
        <v>0</v>
      </c>
    </row>
    <row r="166" s="76" customFormat="1" ht="50" hidden="1" customHeight="1" spans="1:28">
      <c r="A166" s="76" t="s">
        <v>372</v>
      </c>
      <c r="B166" s="6"/>
      <c r="C166" s="76" t="s">
        <v>30</v>
      </c>
      <c r="D166" s="76" t="s">
        <v>42</v>
      </c>
      <c r="E166" s="76" t="s">
        <v>373</v>
      </c>
      <c r="F166" s="76" t="s">
        <v>44</v>
      </c>
      <c r="G166" s="76" t="s">
        <v>34</v>
      </c>
      <c r="H166" s="76">
        <f>STOCK[[#This Row],[Precio Final]]</f>
        <v>12</v>
      </c>
      <c r="I166" s="76">
        <f>STOCK[[#This Row],[Precio Venta Ideal (x1.5)]]</f>
        <v>14.3616666666667</v>
      </c>
      <c r="J166" s="91">
        <v>1</v>
      </c>
      <c r="K166" s="91">
        <f>SUMIFS(VENTAS[Cantidad],VENTAS[Código del producto Vendido],STOCK[[#This Row],[Code]])</f>
        <v>1</v>
      </c>
      <c r="L166" s="91">
        <f>STOCK[[#This Row],[Entradas]]-STOCK[[#This Row],[Salidas]]</f>
        <v>0</v>
      </c>
      <c r="M166" s="76">
        <f>STOCK[[#This Row],[Precio Final]]*10%</f>
        <v>1.2</v>
      </c>
      <c r="N166" s="76">
        <v>95.66</v>
      </c>
      <c r="O166" s="76">
        <v>18</v>
      </c>
      <c r="P166" s="76">
        <v>5.31444444444444</v>
      </c>
      <c r="Q166" s="91">
        <v>180</v>
      </c>
      <c r="R166" s="76">
        <v>17</v>
      </c>
      <c r="S166" s="76">
        <f>STOCK[[#This Row],[Peso (g)]]*STOCK[[#This Row],[Precio Envío Kilogramo (USD)]]/1000</f>
        <v>3.06</v>
      </c>
      <c r="T166" s="76">
        <f>STOCK[[#This Row],[Costo Unitario (USD)]]+STOCK[[#This Row],[Costo Envío (USD)]]+STOCK[[#This Row],[Comisión 10%]]</f>
        <v>9.57444444444444</v>
      </c>
      <c r="U166" s="76">
        <f>STOCK[[#This Row],[Costo total]]*1.5</f>
        <v>14.3616666666667</v>
      </c>
      <c r="V166" s="76">
        <v>12</v>
      </c>
      <c r="W166" s="76">
        <f>STOCK[[#This Row],[Precio Final]]-STOCK[[#This Row],[Costo total]]</f>
        <v>2.42555555555556</v>
      </c>
      <c r="X166" s="76">
        <f>STOCK[[#This Row],[Ganancia Unitaria]]*STOCK[[#This Row],[Salidas]]</f>
        <v>2.42555555555556</v>
      </c>
      <c r="AA166" s="76">
        <f>STOCK[[#This Row],[Costo total]]*STOCK[[#This Row],[Entradas]]</f>
        <v>9.57444444444444</v>
      </c>
      <c r="AB166" s="76">
        <f>STOCK[[#This Row],[Stock Actual]]*STOCK[[#This Row],[Costo total]]</f>
        <v>0</v>
      </c>
    </row>
    <row r="167" s="77" customFormat="1" ht="50" hidden="1" customHeight="1" spans="1:28">
      <c r="A167" s="77" t="s">
        <v>374</v>
      </c>
      <c r="B167" s="6"/>
      <c r="C167" s="77" t="s">
        <v>30</v>
      </c>
      <c r="D167" s="77" t="s">
        <v>42</v>
      </c>
      <c r="E167" s="77" t="s">
        <v>375</v>
      </c>
      <c r="F167" s="77" t="s">
        <v>44</v>
      </c>
      <c r="G167" s="77" t="s">
        <v>34</v>
      </c>
      <c r="H167" s="77">
        <f>STOCK[[#This Row],[Precio Final]]</f>
        <v>30</v>
      </c>
      <c r="I167" s="77">
        <f>STOCK[[#This Row],[Precio Venta Ideal (x1.5)]]</f>
        <v>33.6866666666667</v>
      </c>
      <c r="J167" s="92">
        <v>1</v>
      </c>
      <c r="K167" s="92">
        <f>SUMIFS(VENTAS[Cantidad],VENTAS[Código del producto Vendido],STOCK[[#This Row],[Code]])</f>
        <v>1</v>
      </c>
      <c r="L167" s="92">
        <f>STOCK[[#This Row],[Entradas]]-STOCK[[#This Row],[Salidas]]</f>
        <v>0</v>
      </c>
      <c r="M167" s="77">
        <f>STOCK[[#This Row],[Precio Final]]*10%</f>
        <v>3</v>
      </c>
      <c r="N167" s="77">
        <v>289.04</v>
      </c>
      <c r="O167" s="77">
        <v>18</v>
      </c>
      <c r="P167" s="77">
        <v>16.0577777777778</v>
      </c>
      <c r="Q167" s="92">
        <v>200</v>
      </c>
      <c r="R167" s="77">
        <v>17</v>
      </c>
      <c r="S167" s="77">
        <f>STOCK[[#This Row],[Peso (g)]]*STOCK[[#This Row],[Precio Envío Kilogramo (USD)]]/1000</f>
        <v>3.4</v>
      </c>
      <c r="T167" s="76">
        <f>STOCK[[#This Row],[Costo Unitario (USD)]]+STOCK[[#This Row],[Costo Envío (USD)]]+STOCK[[#This Row],[Comisión 10%]]</f>
        <v>22.4577777777778</v>
      </c>
      <c r="U167" s="77">
        <f>STOCK[[#This Row],[Costo total]]*1.5</f>
        <v>33.6866666666667</v>
      </c>
      <c r="V167" s="77">
        <v>30</v>
      </c>
      <c r="W167" s="77">
        <f>STOCK[[#This Row],[Precio Final]]-STOCK[[#This Row],[Costo total]]</f>
        <v>7.5422222222222</v>
      </c>
      <c r="X167" s="77">
        <f>STOCK[[#This Row],[Ganancia Unitaria]]*STOCK[[#This Row],[Salidas]]</f>
        <v>7.5422222222222</v>
      </c>
      <c r="AA167" s="77">
        <f>STOCK[[#This Row],[Costo total]]*STOCK[[#This Row],[Entradas]]</f>
        <v>22.4577777777778</v>
      </c>
      <c r="AB167" s="77">
        <f>STOCK[[#This Row],[Stock Actual]]*STOCK[[#This Row],[Costo total]]</f>
        <v>0</v>
      </c>
    </row>
    <row r="168" s="76" customFormat="1" ht="50" hidden="1" customHeight="1" spans="1:28">
      <c r="A168" s="76" t="s">
        <v>376</v>
      </c>
      <c r="B168" s="6"/>
      <c r="C168" s="76" t="s">
        <v>30</v>
      </c>
      <c r="D168" s="76" t="s">
        <v>42</v>
      </c>
      <c r="E168" s="76" t="s">
        <v>377</v>
      </c>
      <c r="F168" s="76" t="s">
        <v>44</v>
      </c>
      <c r="G168" s="76" t="s">
        <v>34</v>
      </c>
      <c r="H168" s="76">
        <f>STOCK[[#This Row],[Precio Final]]</f>
        <v>12</v>
      </c>
      <c r="I168" s="76">
        <f>STOCK[[#This Row],[Precio Venta Ideal (x1.5)]]</f>
        <v>12.6725</v>
      </c>
      <c r="J168" s="91">
        <v>1</v>
      </c>
      <c r="K168" s="91">
        <f>SUMIFS(VENTAS[Cantidad],VENTAS[Código del producto Vendido],STOCK[[#This Row],[Code]])</f>
        <v>1</v>
      </c>
      <c r="L168" s="91">
        <f>STOCK[[#This Row],[Entradas]]-STOCK[[#This Row],[Salidas]]</f>
        <v>0</v>
      </c>
      <c r="M168" s="76">
        <f>STOCK[[#This Row],[Precio Final]]*10%</f>
        <v>1.2</v>
      </c>
      <c r="N168" s="76">
        <v>84.57</v>
      </c>
      <c r="O168" s="76">
        <v>18</v>
      </c>
      <c r="P168" s="76">
        <v>4.69833333333333</v>
      </c>
      <c r="Q168" s="91">
        <v>150</v>
      </c>
      <c r="R168" s="76">
        <v>17</v>
      </c>
      <c r="S168" s="76">
        <f>STOCK[[#This Row],[Peso (g)]]*STOCK[[#This Row],[Precio Envío Kilogramo (USD)]]/1000</f>
        <v>2.55</v>
      </c>
      <c r="T168" s="76">
        <f>STOCK[[#This Row],[Costo Unitario (USD)]]+STOCK[[#This Row],[Costo Envío (USD)]]+STOCK[[#This Row],[Comisión 10%]]</f>
        <v>8.44833333333333</v>
      </c>
      <c r="U168" s="76">
        <f>STOCK[[#This Row],[Costo total]]*1.5</f>
        <v>12.6725</v>
      </c>
      <c r="V168" s="76">
        <v>12</v>
      </c>
      <c r="W168" s="76">
        <f>STOCK[[#This Row],[Precio Final]]-STOCK[[#This Row],[Costo total]]</f>
        <v>3.55166666666667</v>
      </c>
      <c r="X168" s="76">
        <f>STOCK[[#This Row],[Ganancia Unitaria]]*STOCK[[#This Row],[Salidas]]</f>
        <v>3.55166666666667</v>
      </c>
      <c r="AA168" s="76">
        <f>STOCK[[#This Row],[Costo total]]*STOCK[[#This Row],[Entradas]]</f>
        <v>8.44833333333333</v>
      </c>
      <c r="AB168" s="76">
        <f>STOCK[[#This Row],[Stock Actual]]*STOCK[[#This Row],[Costo total]]</f>
        <v>0</v>
      </c>
    </row>
    <row r="169" s="77" customFormat="1" ht="50" hidden="1" customHeight="1" spans="1:28">
      <c r="A169" s="77" t="s">
        <v>378</v>
      </c>
      <c r="B169" s="6"/>
      <c r="C169" s="77" t="s">
        <v>30</v>
      </c>
      <c r="D169" s="77" t="s">
        <v>42</v>
      </c>
      <c r="E169" s="77" t="s">
        <v>379</v>
      </c>
      <c r="F169" s="77" t="s">
        <v>38</v>
      </c>
      <c r="G169" s="77" t="s">
        <v>34</v>
      </c>
      <c r="H169" s="77">
        <f>STOCK[[#This Row],[Precio Final]]</f>
        <v>12</v>
      </c>
      <c r="I169" s="77">
        <f>STOCK[[#This Row],[Precio Venta Ideal (x1.5)]]</f>
        <v>12.6725</v>
      </c>
      <c r="J169" s="92">
        <v>1</v>
      </c>
      <c r="K169" s="92">
        <f>SUMIFS(VENTAS[Cantidad],VENTAS[Código del producto Vendido],STOCK[[#This Row],[Code]])</f>
        <v>1</v>
      </c>
      <c r="L169" s="92">
        <f>STOCK[[#This Row],[Entradas]]-STOCK[[#This Row],[Salidas]]</f>
        <v>0</v>
      </c>
      <c r="M169" s="77">
        <f>STOCK[[#This Row],[Precio Final]]*10%</f>
        <v>1.2</v>
      </c>
      <c r="N169" s="77">
        <v>84.57</v>
      </c>
      <c r="O169" s="77">
        <v>18</v>
      </c>
      <c r="P169" s="77">
        <v>4.69833333333333</v>
      </c>
      <c r="Q169" s="92">
        <v>150</v>
      </c>
      <c r="R169" s="77">
        <v>17</v>
      </c>
      <c r="S169" s="77">
        <f>STOCK[[#This Row],[Peso (g)]]*STOCK[[#This Row],[Precio Envío Kilogramo (USD)]]/1000</f>
        <v>2.55</v>
      </c>
      <c r="T169" s="76">
        <f>STOCK[[#This Row],[Costo Unitario (USD)]]+STOCK[[#This Row],[Costo Envío (USD)]]+STOCK[[#This Row],[Comisión 10%]]</f>
        <v>8.44833333333333</v>
      </c>
      <c r="U169" s="77">
        <f>STOCK[[#This Row],[Costo total]]*1.5</f>
        <v>12.6725</v>
      </c>
      <c r="V169" s="77">
        <v>12</v>
      </c>
      <c r="W169" s="77">
        <f>STOCK[[#This Row],[Precio Final]]-STOCK[[#This Row],[Costo total]]</f>
        <v>3.55166666666667</v>
      </c>
      <c r="X169" s="77">
        <f>STOCK[[#This Row],[Ganancia Unitaria]]*STOCK[[#This Row],[Salidas]]</f>
        <v>3.55166666666667</v>
      </c>
      <c r="AA169" s="77">
        <f>STOCK[[#This Row],[Costo total]]*STOCK[[#This Row],[Entradas]]</f>
        <v>8.44833333333333</v>
      </c>
      <c r="AB169" s="77">
        <f>STOCK[[#This Row],[Stock Actual]]*STOCK[[#This Row],[Costo total]]</f>
        <v>0</v>
      </c>
    </row>
    <row r="170" s="76" customFormat="1" ht="50" hidden="1" customHeight="1" spans="1:28">
      <c r="A170" s="76" t="s">
        <v>380</v>
      </c>
      <c r="B170" s="6"/>
      <c r="C170" s="76" t="s">
        <v>30</v>
      </c>
      <c r="D170" s="76" t="s">
        <v>215</v>
      </c>
      <c r="E170" s="76" t="s">
        <v>381</v>
      </c>
      <c r="F170" s="76" t="s">
        <v>60</v>
      </c>
      <c r="G170" s="76" t="s">
        <v>34</v>
      </c>
      <c r="H170" s="76">
        <f>STOCK[[#This Row],[Precio Final]]</f>
        <v>18</v>
      </c>
      <c r="I170" s="76">
        <f>STOCK[[#This Row],[Precio Venta Ideal (x1.5)]]</f>
        <v>14.9008333333333</v>
      </c>
      <c r="J170" s="91">
        <v>1</v>
      </c>
      <c r="K170" s="91">
        <f>SUMIFS(VENTAS[Cantidad],VENTAS[Código del producto Vendido],STOCK[[#This Row],[Code]])</f>
        <v>0</v>
      </c>
      <c r="L170" s="91">
        <f>STOCK[[#This Row],[Entradas]]-STOCK[[#This Row],[Salidas]]</f>
        <v>1</v>
      </c>
      <c r="M170" s="76">
        <f>STOCK[[#This Row],[Precio Final]]*10%</f>
        <v>1.8</v>
      </c>
      <c r="N170" s="76">
        <v>100.51</v>
      </c>
      <c r="O170" s="76">
        <v>18</v>
      </c>
      <c r="P170" s="76">
        <v>5.58388888888889</v>
      </c>
      <c r="Q170" s="91">
        <v>150</v>
      </c>
      <c r="R170" s="76">
        <v>17</v>
      </c>
      <c r="S170" s="76">
        <f>STOCK[[#This Row],[Peso (g)]]*STOCK[[#This Row],[Precio Envío Kilogramo (USD)]]/1000</f>
        <v>2.55</v>
      </c>
      <c r="T170" s="76">
        <f>STOCK[[#This Row],[Costo Unitario (USD)]]+STOCK[[#This Row],[Costo Envío (USD)]]+STOCK[[#This Row],[Comisión 10%]]</f>
        <v>9.93388888888889</v>
      </c>
      <c r="U170" s="76">
        <f>STOCK[[#This Row],[Costo total]]*1.5</f>
        <v>14.9008333333333</v>
      </c>
      <c r="V170" s="76">
        <v>18</v>
      </c>
      <c r="W170" s="76">
        <f>STOCK[[#This Row],[Precio Final]]-STOCK[[#This Row],[Costo total]]</f>
        <v>8.06611111111111</v>
      </c>
      <c r="X170" s="76">
        <f>STOCK[[#This Row],[Ganancia Unitaria]]*STOCK[[#This Row],[Salidas]]</f>
        <v>0</v>
      </c>
      <c r="AA170" s="76">
        <f>STOCK[[#This Row],[Costo total]]*STOCK[[#This Row],[Entradas]]</f>
        <v>9.93388888888889</v>
      </c>
      <c r="AB170" s="76">
        <f>STOCK[[#This Row],[Stock Actual]]*STOCK[[#This Row],[Costo total]]</f>
        <v>9.93388888888889</v>
      </c>
    </row>
    <row r="171" s="77" customFormat="1" ht="50" hidden="1" customHeight="1" spans="1:28">
      <c r="A171" s="77" t="s">
        <v>382</v>
      </c>
      <c r="B171" s="6"/>
      <c r="C171" s="77" t="s">
        <v>30</v>
      </c>
      <c r="D171" s="77" t="s">
        <v>350</v>
      </c>
      <c r="E171" s="77" t="s">
        <v>383</v>
      </c>
      <c r="F171" s="77" t="s">
        <v>384</v>
      </c>
      <c r="G171" s="77" t="s">
        <v>34</v>
      </c>
      <c r="H171" s="77">
        <f>STOCK[[#This Row],[Precio Final]]</f>
        <v>10</v>
      </c>
      <c r="I171" s="77">
        <f>STOCK[[#This Row],[Precio Venta Ideal (x1.5)]]</f>
        <v>10.0941666666667</v>
      </c>
      <c r="J171" s="92">
        <v>1</v>
      </c>
      <c r="K171" s="92">
        <f>SUMIFS(VENTAS[Cantidad],VENTAS[Código del producto Vendido],STOCK[[#This Row],[Code]])</f>
        <v>1</v>
      </c>
      <c r="L171" s="92">
        <f>STOCK[[#This Row],[Entradas]]-STOCK[[#This Row],[Salidas]]</f>
        <v>0</v>
      </c>
      <c r="M171" s="77">
        <f>STOCK[[#This Row],[Precio Final]]*10%</f>
        <v>1</v>
      </c>
      <c r="N171" s="77">
        <v>88.73</v>
      </c>
      <c r="O171" s="77">
        <v>18</v>
      </c>
      <c r="P171" s="77">
        <v>4.92944444444444</v>
      </c>
      <c r="Q171" s="92">
        <v>100</v>
      </c>
      <c r="R171" s="77">
        <v>8</v>
      </c>
      <c r="S171" s="77">
        <f>STOCK[[#This Row],[Peso (g)]]*STOCK[[#This Row],[Precio Envío Kilogramo (USD)]]/1000</f>
        <v>0.8</v>
      </c>
      <c r="T171" s="76">
        <f>STOCK[[#This Row],[Costo Unitario (USD)]]+STOCK[[#This Row],[Costo Envío (USD)]]+STOCK[[#This Row],[Comisión 10%]]</f>
        <v>6.72944444444444</v>
      </c>
      <c r="U171" s="77">
        <f>STOCK[[#This Row],[Costo total]]*1.5</f>
        <v>10.0941666666667</v>
      </c>
      <c r="V171" s="77">
        <v>10</v>
      </c>
      <c r="W171" s="77">
        <f>STOCK[[#This Row],[Precio Final]]-STOCK[[#This Row],[Costo total]]</f>
        <v>3.27055555555556</v>
      </c>
      <c r="X171" s="77">
        <f>STOCK[[#This Row],[Ganancia Unitaria]]*STOCK[[#This Row],[Salidas]]</f>
        <v>3.27055555555556</v>
      </c>
      <c r="AA171" s="77">
        <f>STOCK[[#This Row],[Costo total]]*STOCK[[#This Row],[Entradas]]</f>
        <v>6.72944444444444</v>
      </c>
      <c r="AB171" s="77">
        <f>STOCK[[#This Row],[Stock Actual]]*STOCK[[#This Row],[Costo total]]</f>
        <v>0</v>
      </c>
    </row>
    <row r="172" s="76" customFormat="1" ht="50" hidden="1" customHeight="1" spans="1:28">
      <c r="A172" s="76" t="s">
        <v>385</v>
      </c>
      <c r="B172" s="6"/>
      <c r="C172" s="76" t="s">
        <v>30</v>
      </c>
      <c r="D172" s="76" t="s">
        <v>350</v>
      </c>
      <c r="E172" s="76" t="s">
        <v>386</v>
      </c>
      <c r="F172" s="76" t="s">
        <v>387</v>
      </c>
      <c r="G172" s="76" t="s">
        <v>34</v>
      </c>
      <c r="H172" s="76">
        <f>STOCK[[#This Row],[Precio Final]]</f>
        <v>15</v>
      </c>
      <c r="I172" s="76">
        <f>STOCK[[#This Row],[Precio Venta Ideal (x1.5)]]</f>
        <v>13.95</v>
      </c>
      <c r="J172" s="91">
        <v>2</v>
      </c>
      <c r="K172" s="91">
        <f>SUMIFS(VENTAS[Cantidad],VENTAS[Código del producto Vendido],STOCK[[#This Row],[Code]])</f>
        <v>2</v>
      </c>
      <c r="L172" s="91">
        <f>STOCK[[#This Row],[Entradas]]-STOCK[[#This Row],[Salidas]]</f>
        <v>0</v>
      </c>
      <c r="M172" s="76">
        <f>STOCK[[#This Row],[Precio Final]]*10%</f>
        <v>1.5</v>
      </c>
      <c r="N172" s="76">
        <v>111.6</v>
      </c>
      <c r="O172" s="76">
        <v>18</v>
      </c>
      <c r="P172" s="76">
        <v>6.2</v>
      </c>
      <c r="Q172" s="91">
        <v>200</v>
      </c>
      <c r="R172" s="76">
        <v>8</v>
      </c>
      <c r="S172" s="76">
        <f>STOCK[[#This Row],[Peso (g)]]*STOCK[[#This Row],[Precio Envío Kilogramo (USD)]]/1000</f>
        <v>1.6</v>
      </c>
      <c r="T172" s="76">
        <f>STOCK[[#This Row],[Costo Unitario (USD)]]+STOCK[[#This Row],[Costo Envío (USD)]]+STOCK[[#This Row],[Comisión 10%]]</f>
        <v>9.3</v>
      </c>
      <c r="U172" s="76">
        <f>STOCK[[#This Row],[Costo total]]*1.5</f>
        <v>13.95</v>
      </c>
      <c r="V172" s="76">
        <v>15</v>
      </c>
      <c r="W172" s="76">
        <f>STOCK[[#This Row],[Precio Final]]-STOCK[[#This Row],[Costo total]]</f>
        <v>5.7</v>
      </c>
      <c r="X172" s="76">
        <f>STOCK[[#This Row],[Ganancia Unitaria]]*STOCK[[#This Row],[Salidas]]</f>
        <v>11.4</v>
      </c>
      <c r="AA172" s="76">
        <f>STOCK[[#This Row],[Costo total]]*STOCK[[#This Row],[Entradas]]</f>
        <v>18.6</v>
      </c>
      <c r="AB172" s="76">
        <f>STOCK[[#This Row],[Stock Actual]]*STOCK[[#This Row],[Costo total]]</f>
        <v>0</v>
      </c>
    </row>
    <row r="173" s="77" customFormat="1" ht="50" hidden="1" customHeight="1" spans="1:28">
      <c r="A173" s="77" t="s">
        <v>388</v>
      </c>
      <c r="B173" s="6"/>
      <c r="C173" s="77" t="s">
        <v>30</v>
      </c>
      <c r="D173" s="77" t="s">
        <v>350</v>
      </c>
      <c r="E173" s="77" t="s">
        <v>389</v>
      </c>
      <c r="F173" s="77" t="s">
        <v>387</v>
      </c>
      <c r="G173" s="77" t="s">
        <v>34</v>
      </c>
      <c r="H173" s="77">
        <f>STOCK[[#This Row],[Precio Final]]</f>
        <v>15</v>
      </c>
      <c r="I173" s="77">
        <f>STOCK[[#This Row],[Precio Venta Ideal (x1.5)]]</f>
        <v>14.2966666666667</v>
      </c>
      <c r="J173" s="92">
        <v>2</v>
      </c>
      <c r="K173" s="92">
        <f>SUMIFS(VENTAS[Cantidad],VENTAS[Código del producto Vendido],STOCK[[#This Row],[Code]])</f>
        <v>2</v>
      </c>
      <c r="L173" s="92">
        <f>STOCK[[#This Row],[Entradas]]-STOCK[[#This Row],[Salidas]]</f>
        <v>0</v>
      </c>
      <c r="M173" s="77">
        <f>STOCK[[#This Row],[Precio Final]]*10%</f>
        <v>1.5</v>
      </c>
      <c r="N173" s="77">
        <v>115.76</v>
      </c>
      <c r="O173" s="77">
        <v>18</v>
      </c>
      <c r="P173" s="77">
        <v>6.43111111111111</v>
      </c>
      <c r="Q173" s="92">
        <v>200</v>
      </c>
      <c r="R173" s="77">
        <v>8</v>
      </c>
      <c r="S173" s="77">
        <f>STOCK[[#This Row],[Peso (g)]]*STOCK[[#This Row],[Precio Envío Kilogramo (USD)]]/1000</f>
        <v>1.6</v>
      </c>
      <c r="T173" s="76">
        <f>STOCK[[#This Row],[Costo Unitario (USD)]]+STOCK[[#This Row],[Costo Envío (USD)]]+STOCK[[#This Row],[Comisión 10%]]</f>
        <v>9.53111111111111</v>
      </c>
      <c r="U173" s="77">
        <f>STOCK[[#This Row],[Costo total]]*1.5</f>
        <v>14.2966666666667</v>
      </c>
      <c r="V173" s="77">
        <v>15</v>
      </c>
      <c r="W173" s="77">
        <f>STOCK[[#This Row],[Precio Final]]-STOCK[[#This Row],[Costo total]]</f>
        <v>5.46888888888889</v>
      </c>
      <c r="X173" s="77">
        <f>STOCK[[#This Row],[Ganancia Unitaria]]*STOCK[[#This Row],[Salidas]]</f>
        <v>10.9377777777778</v>
      </c>
      <c r="AA173" s="77">
        <f>STOCK[[#This Row],[Costo total]]*STOCK[[#This Row],[Entradas]]</f>
        <v>19.0622222222222</v>
      </c>
      <c r="AB173" s="77">
        <f>STOCK[[#This Row],[Stock Actual]]*STOCK[[#This Row],[Costo total]]</f>
        <v>0</v>
      </c>
    </row>
    <row r="174" s="76" customFormat="1" ht="50" hidden="1" customHeight="1" spans="1:28">
      <c r="A174" s="76" t="s">
        <v>390</v>
      </c>
      <c r="B174" s="6"/>
      <c r="C174" s="76" t="s">
        <v>30</v>
      </c>
      <c r="D174" s="76" t="s">
        <v>391</v>
      </c>
      <c r="E174" s="76" t="s">
        <v>392</v>
      </c>
      <c r="F174" s="76" t="s">
        <v>393</v>
      </c>
      <c r="G174" s="76" t="s">
        <v>34</v>
      </c>
      <c r="H174" s="76">
        <f>STOCK[[#This Row],[Precio Final]]</f>
        <v>0</v>
      </c>
      <c r="I174" s="76">
        <f>STOCK[[#This Row],[Precio Venta Ideal (x1.5)]]</f>
        <v>2.86000000000001</v>
      </c>
      <c r="J174" s="91">
        <v>0</v>
      </c>
      <c r="K174" s="91">
        <f>SUMIFS(VENTAS[Cantidad],VENTAS[Código del producto Vendido],STOCK[[#This Row],[Code]])</f>
        <v>0</v>
      </c>
      <c r="L174" s="91">
        <f>STOCK[[#This Row],[Entradas]]-STOCK[[#This Row],[Salidas]]</f>
        <v>0</v>
      </c>
      <c r="M174" s="76">
        <f>STOCK[[#This Row],[Precio Final]]*10%</f>
        <v>0</v>
      </c>
      <c r="N174" s="76">
        <v>30</v>
      </c>
      <c r="O174" s="76">
        <v>18</v>
      </c>
      <c r="P174" s="76">
        <v>1.66666666666667</v>
      </c>
      <c r="Q174" s="91">
        <v>30</v>
      </c>
      <c r="R174" s="76">
        <v>8</v>
      </c>
      <c r="S174" s="76">
        <f>STOCK[[#This Row],[Peso (g)]]*STOCK[[#This Row],[Precio Envío Kilogramo (USD)]]/1000</f>
        <v>0.24</v>
      </c>
      <c r="T174" s="76">
        <f>STOCK[[#This Row],[Costo Unitario (USD)]]+STOCK[[#This Row],[Costo Envío (USD)]]+STOCK[[#This Row],[Comisión 10%]]</f>
        <v>1.90666666666667</v>
      </c>
      <c r="U174" s="76">
        <f>STOCK[[#This Row],[Costo total]]*1.5</f>
        <v>2.86000000000001</v>
      </c>
      <c r="V174" s="76">
        <v>0</v>
      </c>
      <c r="W174" s="76">
        <f>STOCK[[#This Row],[Precio Final]]-STOCK[[#This Row],[Costo total]]</f>
        <v>-1.90666666666667</v>
      </c>
      <c r="X174" s="76">
        <f>STOCK[[#This Row],[Ganancia Unitaria]]*STOCK[[#This Row],[Salidas]]</f>
        <v>0</v>
      </c>
      <c r="AA174" s="76">
        <f>STOCK[[#This Row],[Costo total]]*STOCK[[#This Row],[Entradas]]</f>
        <v>0</v>
      </c>
      <c r="AB174" s="76">
        <f>STOCK[[#This Row],[Stock Actual]]*STOCK[[#This Row],[Costo total]]</f>
        <v>0</v>
      </c>
    </row>
    <row r="175" s="77" customFormat="1" ht="50" hidden="1" customHeight="1" spans="1:28">
      <c r="A175" s="77" t="s">
        <v>394</v>
      </c>
      <c r="B175" s="6"/>
      <c r="C175" s="77" t="s">
        <v>30</v>
      </c>
      <c r="D175" s="77" t="s">
        <v>350</v>
      </c>
      <c r="E175" s="77" t="s">
        <v>395</v>
      </c>
      <c r="F175" s="77" t="s">
        <v>387</v>
      </c>
      <c r="G175" s="77" t="s">
        <v>34</v>
      </c>
      <c r="H175" s="77">
        <f>STOCK[[#This Row],[Precio Final]]</f>
        <v>15</v>
      </c>
      <c r="I175" s="77">
        <f>STOCK[[#This Row],[Precio Venta Ideal (x1.5)]]</f>
        <v>16.3183333333333</v>
      </c>
      <c r="J175" s="92">
        <v>2</v>
      </c>
      <c r="K175" s="92">
        <f>SUMIFS(VENTAS[Cantidad],VENTAS[Código del producto Vendido],STOCK[[#This Row],[Code]])</f>
        <v>2</v>
      </c>
      <c r="L175" s="92">
        <f>STOCK[[#This Row],[Entradas]]-STOCK[[#This Row],[Salidas]]</f>
        <v>0</v>
      </c>
      <c r="M175" s="77">
        <f>STOCK[[#This Row],[Precio Final]]*10%</f>
        <v>1.5</v>
      </c>
      <c r="N175" s="77">
        <v>140.02</v>
      </c>
      <c r="O175" s="77">
        <v>18</v>
      </c>
      <c r="P175" s="77">
        <v>7.77888888888889</v>
      </c>
      <c r="Q175" s="92">
        <v>200</v>
      </c>
      <c r="R175" s="77">
        <v>8</v>
      </c>
      <c r="S175" s="77">
        <f>STOCK[[#This Row],[Peso (g)]]*STOCK[[#This Row],[Precio Envío Kilogramo (USD)]]/1000</f>
        <v>1.6</v>
      </c>
      <c r="T175" s="76">
        <f>STOCK[[#This Row],[Costo Unitario (USD)]]+STOCK[[#This Row],[Costo Envío (USD)]]+STOCK[[#This Row],[Comisión 10%]]</f>
        <v>10.8788888888889</v>
      </c>
      <c r="U175" s="77">
        <f>STOCK[[#This Row],[Costo total]]*1.5</f>
        <v>16.3183333333333</v>
      </c>
      <c r="V175" s="77">
        <v>15</v>
      </c>
      <c r="W175" s="77">
        <f>STOCK[[#This Row],[Precio Final]]-STOCK[[#This Row],[Costo total]]</f>
        <v>4.12111111111111</v>
      </c>
      <c r="X175" s="77">
        <f>STOCK[[#This Row],[Ganancia Unitaria]]*STOCK[[#This Row],[Salidas]]</f>
        <v>8.24222222222222</v>
      </c>
      <c r="AA175" s="77">
        <f>STOCK[[#This Row],[Costo total]]*STOCK[[#This Row],[Entradas]]</f>
        <v>21.7577777777778</v>
      </c>
      <c r="AB175" s="77">
        <f>STOCK[[#This Row],[Stock Actual]]*STOCK[[#This Row],[Costo total]]</f>
        <v>0</v>
      </c>
    </row>
    <row r="176" s="76" customFormat="1" ht="50" hidden="1" customHeight="1" spans="1:28">
      <c r="A176" s="76" t="s">
        <v>396</v>
      </c>
      <c r="B176" s="6"/>
      <c r="C176" s="76" t="s">
        <v>30</v>
      </c>
      <c r="D176" s="76" t="s">
        <v>350</v>
      </c>
      <c r="E176" s="76" t="s">
        <v>397</v>
      </c>
      <c r="F176" s="76" t="s">
        <v>393</v>
      </c>
      <c r="G176" s="76" t="s">
        <v>34</v>
      </c>
      <c r="H176" s="76">
        <f>STOCK[[#This Row],[Precio Final]]</f>
        <v>10</v>
      </c>
      <c r="I176" s="76">
        <f>STOCK[[#This Row],[Precio Venta Ideal (x1.5)]]</f>
        <v>8.07250000000001</v>
      </c>
      <c r="J176" s="91">
        <v>1</v>
      </c>
      <c r="K176" s="91">
        <f>SUMIFS(VENTAS[Cantidad],VENTAS[Código del producto Vendido],STOCK[[#This Row],[Code]])</f>
        <v>1</v>
      </c>
      <c r="L176" s="91">
        <f>STOCK[[#This Row],[Entradas]]-STOCK[[#This Row],[Salidas]]</f>
        <v>0</v>
      </c>
      <c r="M176" s="76">
        <f>STOCK[[#This Row],[Precio Final]]*10%</f>
        <v>1</v>
      </c>
      <c r="N176" s="76">
        <v>64.47</v>
      </c>
      <c r="O176" s="76">
        <v>18</v>
      </c>
      <c r="P176" s="76">
        <v>3.58166666666667</v>
      </c>
      <c r="Q176" s="91">
        <v>100</v>
      </c>
      <c r="R176" s="76">
        <v>8</v>
      </c>
      <c r="S176" s="76">
        <f>STOCK[[#This Row],[Peso (g)]]*STOCK[[#This Row],[Precio Envío Kilogramo (USD)]]/1000</f>
        <v>0.8</v>
      </c>
      <c r="T176" s="76">
        <f>STOCK[[#This Row],[Costo Unitario (USD)]]+STOCK[[#This Row],[Costo Envío (USD)]]+STOCK[[#This Row],[Comisión 10%]]</f>
        <v>5.38166666666667</v>
      </c>
      <c r="U176" s="76">
        <f>STOCK[[#This Row],[Costo total]]*1.5</f>
        <v>8.07250000000001</v>
      </c>
      <c r="V176" s="76">
        <v>10</v>
      </c>
      <c r="W176" s="76">
        <f>STOCK[[#This Row],[Precio Final]]-STOCK[[#This Row],[Costo total]]</f>
        <v>4.61833333333333</v>
      </c>
      <c r="X176" s="76">
        <f>STOCK[[#This Row],[Ganancia Unitaria]]*STOCK[[#This Row],[Salidas]]</f>
        <v>4.61833333333333</v>
      </c>
      <c r="AA176" s="76">
        <f>STOCK[[#This Row],[Costo total]]*STOCK[[#This Row],[Entradas]]</f>
        <v>5.38166666666667</v>
      </c>
      <c r="AB176" s="76">
        <f>STOCK[[#This Row],[Stock Actual]]*STOCK[[#This Row],[Costo total]]</f>
        <v>0</v>
      </c>
    </row>
    <row r="177" s="77" customFormat="1" ht="50" hidden="1" customHeight="1" spans="1:28">
      <c r="A177" s="77" t="s">
        <v>398</v>
      </c>
      <c r="B177" s="6"/>
      <c r="C177" s="77" t="s">
        <v>30</v>
      </c>
      <c r="D177" s="77" t="s">
        <v>42</v>
      </c>
      <c r="E177" s="77" t="s">
        <v>399</v>
      </c>
      <c r="F177" s="77" t="s">
        <v>44</v>
      </c>
      <c r="G177" s="77" t="s">
        <v>34</v>
      </c>
      <c r="H177" s="77">
        <f>STOCK[[#This Row],[Precio Final]]</f>
        <v>30</v>
      </c>
      <c r="I177" s="77">
        <f>STOCK[[#This Row],[Precio Venta Ideal (x1.5)]]</f>
        <v>33.315</v>
      </c>
      <c r="J177" s="92">
        <v>1</v>
      </c>
      <c r="K177" s="92">
        <f>SUMIFS(VENTAS[Cantidad],VENTAS[Código del producto Vendido],STOCK[[#This Row],[Code]])</f>
        <v>1</v>
      </c>
      <c r="L177" s="92">
        <f>STOCK[[#This Row],[Entradas]]-STOCK[[#This Row],[Salidas]]</f>
        <v>0</v>
      </c>
      <c r="M177" s="77">
        <f>STOCK[[#This Row],[Precio Final]]*10%</f>
        <v>3</v>
      </c>
      <c r="N177" s="77">
        <v>250.92</v>
      </c>
      <c r="O177" s="77">
        <v>18</v>
      </c>
      <c r="P177" s="77">
        <v>13.94</v>
      </c>
      <c r="Q177" s="92">
        <v>310</v>
      </c>
      <c r="R177" s="77">
        <v>17</v>
      </c>
      <c r="S177" s="77">
        <f>STOCK[[#This Row],[Peso (g)]]*STOCK[[#This Row],[Precio Envío Kilogramo (USD)]]/1000</f>
        <v>5.27</v>
      </c>
      <c r="T177" s="76">
        <f>STOCK[[#This Row],[Costo Unitario (USD)]]+STOCK[[#This Row],[Costo Envío (USD)]]+STOCK[[#This Row],[Comisión 10%]]</f>
        <v>22.21</v>
      </c>
      <c r="U177" s="77">
        <f>STOCK[[#This Row],[Costo total]]*1.5</f>
        <v>33.315</v>
      </c>
      <c r="V177" s="77">
        <v>30</v>
      </c>
      <c r="W177" s="77">
        <f>STOCK[[#This Row],[Precio Final]]-STOCK[[#This Row],[Costo total]]</f>
        <v>7.79</v>
      </c>
      <c r="X177" s="77">
        <f>STOCK[[#This Row],[Ganancia Unitaria]]*STOCK[[#This Row],[Salidas]]</f>
        <v>7.79</v>
      </c>
      <c r="AA177" s="77">
        <f>STOCK[[#This Row],[Costo total]]*STOCK[[#This Row],[Entradas]]</f>
        <v>22.21</v>
      </c>
      <c r="AB177" s="77">
        <f>STOCK[[#This Row],[Stock Actual]]*STOCK[[#This Row],[Costo total]]</f>
        <v>0</v>
      </c>
    </row>
    <row r="178" s="76" customFormat="1" ht="50" hidden="1" customHeight="1" spans="1:28">
      <c r="A178" s="76" t="s">
        <v>400</v>
      </c>
      <c r="B178" s="6"/>
      <c r="C178" s="76" t="s">
        <v>30</v>
      </c>
      <c r="D178" s="76" t="s">
        <v>42</v>
      </c>
      <c r="E178" s="76" t="s">
        <v>401</v>
      </c>
      <c r="F178" s="76" t="s">
        <v>60</v>
      </c>
      <c r="G178" s="76" t="s">
        <v>34</v>
      </c>
      <c r="H178" s="76">
        <f>STOCK[[#This Row],[Precio Final]]</f>
        <v>30</v>
      </c>
      <c r="I178" s="76">
        <f>STOCK[[#This Row],[Precio Venta Ideal (x1.5)]]</f>
        <v>33.315</v>
      </c>
      <c r="J178" s="91">
        <v>2</v>
      </c>
      <c r="K178" s="91">
        <f>SUMIFS(VENTAS[Cantidad],VENTAS[Código del producto Vendido],STOCK[[#This Row],[Code]])</f>
        <v>2</v>
      </c>
      <c r="L178" s="91">
        <f>STOCK[[#This Row],[Entradas]]-STOCK[[#This Row],[Salidas]]</f>
        <v>0</v>
      </c>
      <c r="M178" s="76">
        <f>STOCK[[#This Row],[Precio Final]]*10%</f>
        <v>3</v>
      </c>
      <c r="N178" s="76">
        <v>250.92</v>
      </c>
      <c r="O178" s="76">
        <v>18</v>
      </c>
      <c r="P178" s="76">
        <v>13.94</v>
      </c>
      <c r="Q178" s="91">
        <v>310</v>
      </c>
      <c r="R178" s="76">
        <v>17</v>
      </c>
      <c r="S178" s="76">
        <f>STOCK[[#This Row],[Peso (g)]]*STOCK[[#This Row],[Precio Envío Kilogramo (USD)]]/1000</f>
        <v>5.27</v>
      </c>
      <c r="T178" s="76">
        <f>STOCK[[#This Row],[Costo Unitario (USD)]]+STOCK[[#This Row],[Costo Envío (USD)]]+STOCK[[#This Row],[Comisión 10%]]</f>
        <v>22.21</v>
      </c>
      <c r="U178" s="76">
        <f>STOCK[[#This Row],[Costo total]]*1.5</f>
        <v>33.315</v>
      </c>
      <c r="V178" s="76">
        <v>30</v>
      </c>
      <c r="W178" s="76">
        <f>STOCK[[#This Row],[Precio Final]]-STOCK[[#This Row],[Costo total]]</f>
        <v>7.79</v>
      </c>
      <c r="X178" s="76">
        <f>STOCK[[#This Row],[Ganancia Unitaria]]*STOCK[[#This Row],[Salidas]]</f>
        <v>15.58</v>
      </c>
      <c r="AA178" s="76">
        <f>STOCK[[#This Row],[Costo total]]*STOCK[[#This Row],[Entradas]]</f>
        <v>44.42</v>
      </c>
      <c r="AB178" s="76">
        <f>STOCK[[#This Row],[Stock Actual]]*STOCK[[#This Row],[Costo total]]</f>
        <v>0</v>
      </c>
    </row>
    <row r="179" s="77" customFormat="1" ht="50" hidden="1" customHeight="1" spans="1:28">
      <c r="A179" s="77" t="s">
        <v>402</v>
      </c>
      <c r="B179" s="6"/>
      <c r="C179" s="77" t="s">
        <v>30</v>
      </c>
      <c r="D179" s="77" t="s">
        <v>42</v>
      </c>
      <c r="E179" s="77" t="s">
        <v>403</v>
      </c>
      <c r="F179" s="77" t="s">
        <v>38</v>
      </c>
      <c r="G179" s="77" t="s">
        <v>34</v>
      </c>
      <c r="H179" s="77">
        <f>STOCK[[#This Row],[Precio Final]]</f>
        <v>55</v>
      </c>
      <c r="I179" s="77">
        <f>STOCK[[#This Row],[Precio Venta Ideal (x1.5)]]</f>
        <v>58.6875</v>
      </c>
      <c r="J179" s="92">
        <v>1</v>
      </c>
      <c r="K179" s="92">
        <f>SUMIFS(VENTAS[Cantidad],VENTAS[Código del producto Vendido],STOCK[[#This Row],[Code]])</f>
        <v>0</v>
      </c>
      <c r="L179" s="92">
        <f>STOCK[[#This Row],[Entradas]]-STOCK[[#This Row],[Salidas]]</f>
        <v>1</v>
      </c>
      <c r="M179" s="77">
        <f>STOCK[[#This Row],[Precio Final]]*10%</f>
        <v>5.5</v>
      </c>
      <c r="N179" s="77">
        <v>452.25</v>
      </c>
      <c r="O179" s="77">
        <v>18</v>
      </c>
      <c r="P179" s="77">
        <v>25.125</v>
      </c>
      <c r="Q179" s="92">
        <v>500</v>
      </c>
      <c r="R179" s="77">
        <v>17</v>
      </c>
      <c r="S179" s="77">
        <f>STOCK[[#This Row],[Peso (g)]]*STOCK[[#This Row],[Precio Envío Kilogramo (USD)]]/1000</f>
        <v>8.5</v>
      </c>
      <c r="T179" s="76">
        <f>STOCK[[#This Row],[Costo Unitario (USD)]]+STOCK[[#This Row],[Costo Envío (USD)]]+STOCK[[#This Row],[Comisión 10%]]</f>
        <v>39.125</v>
      </c>
      <c r="U179" s="77">
        <f>STOCK[[#This Row],[Costo total]]*1.5</f>
        <v>58.6875</v>
      </c>
      <c r="V179" s="77">
        <v>55</v>
      </c>
      <c r="W179" s="77">
        <f>STOCK[[#This Row],[Precio Final]]-STOCK[[#This Row],[Costo total]]</f>
        <v>15.875</v>
      </c>
      <c r="X179" s="77">
        <f>STOCK[[#This Row],[Ganancia Unitaria]]*STOCK[[#This Row],[Salidas]]</f>
        <v>0</v>
      </c>
      <c r="AA179" s="77">
        <f>STOCK[[#This Row],[Costo total]]*STOCK[[#This Row],[Entradas]]</f>
        <v>39.125</v>
      </c>
      <c r="AB179" s="77">
        <f>STOCK[[#This Row],[Stock Actual]]*STOCK[[#This Row],[Costo total]]</f>
        <v>39.125</v>
      </c>
    </row>
    <row r="180" s="76" customFormat="1" ht="50" hidden="1" customHeight="1" spans="1:28">
      <c r="A180" s="76" t="s">
        <v>404</v>
      </c>
      <c r="B180" s="6"/>
      <c r="C180" s="76" t="s">
        <v>30</v>
      </c>
      <c r="D180" s="76" t="s">
        <v>212</v>
      </c>
      <c r="E180" s="76" t="s">
        <v>405</v>
      </c>
      <c r="F180" s="76" t="s">
        <v>280</v>
      </c>
      <c r="G180" s="76" t="s">
        <v>34</v>
      </c>
      <c r="H180" s="76">
        <f>STOCK[[#This Row],[Precio Final]]</f>
        <v>20</v>
      </c>
      <c r="I180" s="76">
        <f>STOCK[[#This Row],[Precio Venta Ideal (x1.5)]]</f>
        <v>21.8558333333333</v>
      </c>
      <c r="J180" s="91">
        <v>2</v>
      </c>
      <c r="K180" s="91">
        <f>SUMIFS(VENTAS[Cantidad],VENTAS[Código del producto Vendido],STOCK[[#This Row],[Code]])</f>
        <v>2</v>
      </c>
      <c r="L180" s="91">
        <f>STOCK[[#This Row],[Entradas]]-STOCK[[#This Row],[Salidas]]</f>
        <v>0</v>
      </c>
      <c r="M180" s="76">
        <f>STOCK[[#This Row],[Precio Final]]*10%</f>
        <v>2</v>
      </c>
      <c r="N180" s="76">
        <v>134.47</v>
      </c>
      <c r="O180" s="76">
        <v>18</v>
      </c>
      <c r="P180" s="76">
        <v>7.47055555555556</v>
      </c>
      <c r="Q180" s="91">
        <v>300</v>
      </c>
      <c r="R180" s="76">
        <v>17</v>
      </c>
      <c r="S180" s="76">
        <f>STOCK[[#This Row],[Peso (g)]]*STOCK[[#This Row],[Precio Envío Kilogramo (USD)]]/1000</f>
        <v>5.1</v>
      </c>
      <c r="T180" s="76">
        <f>STOCK[[#This Row],[Costo Unitario (USD)]]+STOCK[[#This Row],[Costo Envío (USD)]]+STOCK[[#This Row],[Comisión 10%]]</f>
        <v>14.5705555555556</v>
      </c>
      <c r="U180" s="76">
        <f>STOCK[[#This Row],[Costo total]]*1.5</f>
        <v>21.8558333333333</v>
      </c>
      <c r="V180" s="76">
        <v>20</v>
      </c>
      <c r="W180" s="76">
        <f>STOCK[[#This Row],[Precio Final]]-STOCK[[#This Row],[Costo total]]</f>
        <v>5.42944444444444</v>
      </c>
      <c r="X180" s="76">
        <f>STOCK[[#This Row],[Ganancia Unitaria]]*STOCK[[#This Row],[Salidas]]</f>
        <v>10.8588888888889</v>
      </c>
      <c r="AA180" s="76">
        <f>STOCK[[#This Row],[Costo total]]*STOCK[[#This Row],[Entradas]]</f>
        <v>29.1411111111111</v>
      </c>
      <c r="AB180" s="76">
        <f>STOCK[[#This Row],[Stock Actual]]*STOCK[[#This Row],[Costo total]]</f>
        <v>0</v>
      </c>
    </row>
    <row r="181" s="77" customFormat="1" ht="50" hidden="1" customHeight="1" spans="1:28">
      <c r="A181" s="77" t="s">
        <v>406</v>
      </c>
      <c r="B181" s="6"/>
      <c r="C181" s="77" t="s">
        <v>30</v>
      </c>
      <c r="D181" s="77" t="s">
        <v>36</v>
      </c>
      <c r="E181" s="77" t="s">
        <v>407</v>
      </c>
      <c r="F181" s="77" t="s">
        <v>60</v>
      </c>
      <c r="G181" s="77" t="s">
        <v>34</v>
      </c>
      <c r="H181" s="77">
        <f>STOCK[[#This Row],[Precio Final]]</f>
        <v>18</v>
      </c>
      <c r="I181" s="77">
        <f>STOCK[[#This Row],[Precio Venta Ideal (x1.5)]]</f>
        <v>17.2</v>
      </c>
      <c r="J181" s="92">
        <v>2</v>
      </c>
      <c r="K181" s="92">
        <f>SUMIFS(VENTAS[Cantidad],VENTAS[Código del producto Vendido],STOCK[[#This Row],[Code]])</f>
        <v>2</v>
      </c>
      <c r="L181" s="92">
        <f>STOCK[[#This Row],[Entradas]]-STOCK[[#This Row],[Salidas]]</f>
        <v>0</v>
      </c>
      <c r="M181" s="77">
        <f>STOCK[[#This Row],[Precio Final]]*10%</f>
        <v>1.8</v>
      </c>
      <c r="N181" s="77">
        <v>138</v>
      </c>
      <c r="O181" s="77">
        <v>18</v>
      </c>
      <c r="P181" s="77">
        <v>7.66666666666667</v>
      </c>
      <c r="Q181" s="92">
        <v>250</v>
      </c>
      <c r="R181" s="77">
        <v>8</v>
      </c>
      <c r="S181" s="77">
        <f>STOCK[[#This Row],[Peso (g)]]*STOCK[[#This Row],[Precio Envío Kilogramo (USD)]]/1000</f>
        <v>2</v>
      </c>
      <c r="T181" s="76">
        <f>STOCK[[#This Row],[Costo Unitario (USD)]]+STOCK[[#This Row],[Costo Envío (USD)]]+STOCK[[#This Row],[Comisión 10%]]</f>
        <v>11.4666666666667</v>
      </c>
      <c r="U181" s="77">
        <f>STOCK[[#This Row],[Costo total]]*1.5</f>
        <v>17.2</v>
      </c>
      <c r="V181" s="77">
        <v>18</v>
      </c>
      <c r="W181" s="77">
        <f>STOCK[[#This Row],[Precio Final]]-STOCK[[#This Row],[Costo total]]</f>
        <v>6.53333333333333</v>
      </c>
      <c r="X181" s="77">
        <f>STOCK[[#This Row],[Ganancia Unitaria]]*STOCK[[#This Row],[Salidas]]</f>
        <v>13.0666666666667</v>
      </c>
      <c r="AA181" s="77">
        <f>STOCK[[#This Row],[Costo total]]*STOCK[[#This Row],[Entradas]]</f>
        <v>22.9333333333333</v>
      </c>
      <c r="AB181" s="77">
        <f>STOCK[[#This Row],[Stock Actual]]*STOCK[[#This Row],[Costo total]]</f>
        <v>0</v>
      </c>
    </row>
    <row r="182" s="76" customFormat="1" ht="50" hidden="1" customHeight="1" spans="1:28">
      <c r="A182" s="76" t="s">
        <v>408</v>
      </c>
      <c r="B182" s="6"/>
      <c r="C182" s="76" t="s">
        <v>30</v>
      </c>
      <c r="D182" s="76" t="s">
        <v>36</v>
      </c>
      <c r="E182" s="76" t="s">
        <v>407</v>
      </c>
      <c r="F182" s="76" t="s">
        <v>44</v>
      </c>
      <c r="G182" s="76" t="s">
        <v>34</v>
      </c>
      <c r="H182" s="76">
        <f>STOCK[[#This Row],[Precio Final]]</f>
        <v>18</v>
      </c>
      <c r="I182" s="76">
        <f>STOCK[[#This Row],[Precio Venta Ideal (x1.5)]]</f>
        <v>17.2</v>
      </c>
      <c r="J182" s="91">
        <v>3</v>
      </c>
      <c r="K182" s="91">
        <f>SUMIFS(VENTAS[Cantidad],VENTAS[Código del producto Vendido],STOCK[[#This Row],[Code]])</f>
        <v>3</v>
      </c>
      <c r="L182" s="91">
        <f>STOCK[[#This Row],[Entradas]]-STOCK[[#This Row],[Salidas]]</f>
        <v>0</v>
      </c>
      <c r="M182" s="76">
        <f>STOCK[[#This Row],[Precio Final]]*10%</f>
        <v>1.8</v>
      </c>
      <c r="N182" s="76">
        <v>138</v>
      </c>
      <c r="O182" s="76">
        <v>18</v>
      </c>
      <c r="P182" s="76">
        <v>7.66666666666667</v>
      </c>
      <c r="Q182" s="91">
        <v>250</v>
      </c>
      <c r="R182" s="76">
        <v>8</v>
      </c>
      <c r="S182" s="76">
        <f>STOCK[[#This Row],[Peso (g)]]*STOCK[[#This Row],[Precio Envío Kilogramo (USD)]]/1000</f>
        <v>2</v>
      </c>
      <c r="T182" s="76">
        <f>STOCK[[#This Row],[Costo Unitario (USD)]]+STOCK[[#This Row],[Costo Envío (USD)]]+STOCK[[#This Row],[Comisión 10%]]</f>
        <v>11.4666666666667</v>
      </c>
      <c r="U182" s="76">
        <f>STOCK[[#This Row],[Costo total]]*1.5</f>
        <v>17.2</v>
      </c>
      <c r="V182" s="76">
        <v>18</v>
      </c>
      <c r="W182" s="76">
        <f>STOCK[[#This Row],[Precio Final]]-STOCK[[#This Row],[Costo total]]</f>
        <v>6.53333333333333</v>
      </c>
      <c r="X182" s="76">
        <f>STOCK[[#This Row],[Ganancia Unitaria]]*STOCK[[#This Row],[Salidas]]</f>
        <v>19.6</v>
      </c>
      <c r="AA182" s="76">
        <f>STOCK[[#This Row],[Costo total]]*STOCK[[#This Row],[Entradas]]</f>
        <v>34.4</v>
      </c>
      <c r="AB182" s="76">
        <f>STOCK[[#This Row],[Stock Actual]]*STOCK[[#This Row],[Costo total]]</f>
        <v>0</v>
      </c>
    </row>
    <row r="183" s="77" customFormat="1" ht="50" hidden="1" customHeight="1" spans="1:28">
      <c r="A183" s="77" t="s">
        <v>409</v>
      </c>
      <c r="B183" s="6"/>
      <c r="C183" s="77" t="s">
        <v>30</v>
      </c>
      <c r="D183" s="77" t="s">
        <v>36</v>
      </c>
      <c r="E183" s="77" t="s">
        <v>407</v>
      </c>
      <c r="F183" s="77" t="s">
        <v>47</v>
      </c>
      <c r="G183" s="77" t="s">
        <v>34</v>
      </c>
      <c r="H183" s="77">
        <f>STOCK[[#This Row],[Precio Final]]</f>
        <v>18</v>
      </c>
      <c r="I183" s="77">
        <f>STOCK[[#This Row],[Precio Venta Ideal (x1.5)]]</f>
        <v>17.2</v>
      </c>
      <c r="J183" s="92">
        <v>2</v>
      </c>
      <c r="K183" s="92">
        <f>SUMIFS(VENTAS[Cantidad],VENTAS[Código del producto Vendido],STOCK[[#This Row],[Code]])</f>
        <v>2</v>
      </c>
      <c r="L183" s="92">
        <f>STOCK[[#This Row],[Entradas]]-STOCK[[#This Row],[Salidas]]</f>
        <v>0</v>
      </c>
      <c r="M183" s="77">
        <f>STOCK[[#This Row],[Precio Final]]*10%</f>
        <v>1.8</v>
      </c>
      <c r="N183" s="77">
        <v>138</v>
      </c>
      <c r="O183" s="77">
        <v>18</v>
      </c>
      <c r="P183" s="77">
        <v>7.66666666666667</v>
      </c>
      <c r="Q183" s="92">
        <v>250</v>
      </c>
      <c r="R183" s="77">
        <v>8</v>
      </c>
      <c r="S183" s="77">
        <f>STOCK[[#This Row],[Peso (g)]]*STOCK[[#This Row],[Precio Envío Kilogramo (USD)]]/1000</f>
        <v>2</v>
      </c>
      <c r="T183" s="76">
        <f>STOCK[[#This Row],[Costo Unitario (USD)]]+STOCK[[#This Row],[Costo Envío (USD)]]+STOCK[[#This Row],[Comisión 10%]]</f>
        <v>11.4666666666667</v>
      </c>
      <c r="U183" s="77">
        <f>STOCK[[#This Row],[Costo total]]*1.5</f>
        <v>17.2</v>
      </c>
      <c r="V183" s="77">
        <v>18</v>
      </c>
      <c r="W183" s="77">
        <f>STOCK[[#This Row],[Precio Final]]-STOCK[[#This Row],[Costo total]]</f>
        <v>6.53333333333333</v>
      </c>
      <c r="X183" s="77">
        <f>STOCK[[#This Row],[Ganancia Unitaria]]*STOCK[[#This Row],[Salidas]]</f>
        <v>13.0666666666667</v>
      </c>
      <c r="AA183" s="77">
        <f>STOCK[[#This Row],[Costo total]]*STOCK[[#This Row],[Entradas]]</f>
        <v>22.9333333333333</v>
      </c>
      <c r="AB183" s="77">
        <f>STOCK[[#This Row],[Stock Actual]]*STOCK[[#This Row],[Costo total]]</f>
        <v>0</v>
      </c>
    </row>
    <row r="184" s="76" customFormat="1" ht="50" hidden="1" customHeight="1" spans="1:28">
      <c r="A184" s="76" t="s">
        <v>410</v>
      </c>
      <c r="B184" s="6"/>
      <c r="C184" s="76" t="s">
        <v>30</v>
      </c>
      <c r="D184" s="77" t="s">
        <v>36</v>
      </c>
      <c r="E184" s="76" t="s">
        <v>37</v>
      </c>
      <c r="F184" s="76" t="s">
        <v>86</v>
      </c>
      <c r="G184" s="76" t="s">
        <v>34</v>
      </c>
      <c r="H184" s="76">
        <f>STOCK[[#This Row],[Precio Final]]</f>
        <v>25</v>
      </c>
      <c r="I184" s="76">
        <f>STOCK[[#This Row],[Precio Venta Ideal (x1.5)]]</f>
        <v>24.6666666666666</v>
      </c>
      <c r="J184" s="91">
        <v>1</v>
      </c>
      <c r="K184" s="91">
        <f>SUMIFS(VENTAS[Cantidad],VENTAS[Código del producto Vendido],STOCK[[#This Row],[Code]])</f>
        <v>1</v>
      </c>
      <c r="L184" s="91">
        <f>STOCK[[#This Row],[Entradas]]-STOCK[[#This Row],[Salidas]]</f>
        <v>0</v>
      </c>
      <c r="M184" s="76">
        <f>STOCK[[#This Row],[Precio Final]]*10%</f>
        <v>2.5</v>
      </c>
      <c r="N184" s="76">
        <v>215</v>
      </c>
      <c r="O184" s="76">
        <v>18</v>
      </c>
      <c r="P184" s="76">
        <v>11.9444444444444</v>
      </c>
      <c r="Q184" s="91">
        <v>250</v>
      </c>
      <c r="R184" s="76">
        <v>8</v>
      </c>
      <c r="S184" s="76">
        <f>STOCK[[#This Row],[Peso (g)]]*STOCK[[#This Row],[Precio Envío Kilogramo (USD)]]/1000</f>
        <v>2</v>
      </c>
      <c r="T184" s="76">
        <f>STOCK[[#This Row],[Costo Unitario (USD)]]+STOCK[[#This Row],[Costo Envío (USD)]]+STOCK[[#This Row],[Comisión 10%]]</f>
        <v>16.4444444444444</v>
      </c>
      <c r="U184" s="76">
        <f>STOCK[[#This Row],[Costo total]]*1.5</f>
        <v>24.6666666666666</v>
      </c>
      <c r="V184" s="76">
        <v>25</v>
      </c>
      <c r="W184" s="76">
        <f>STOCK[[#This Row],[Precio Final]]-STOCK[[#This Row],[Costo total]]</f>
        <v>8.5555555555556</v>
      </c>
      <c r="X184" s="76">
        <f>STOCK[[#This Row],[Ganancia Unitaria]]*STOCK[[#This Row],[Salidas]]</f>
        <v>8.5555555555556</v>
      </c>
      <c r="AA184" s="76">
        <f>STOCK[[#This Row],[Costo total]]*STOCK[[#This Row],[Entradas]]</f>
        <v>16.4444444444444</v>
      </c>
      <c r="AB184" s="76">
        <f>STOCK[[#This Row],[Stock Actual]]*STOCK[[#This Row],[Costo total]]</f>
        <v>0</v>
      </c>
    </row>
    <row r="185" s="77" customFormat="1" ht="50" hidden="1" customHeight="1" spans="1:28">
      <c r="A185" s="77" t="s">
        <v>411</v>
      </c>
      <c r="B185" s="6"/>
      <c r="C185" s="77" t="s">
        <v>30</v>
      </c>
      <c r="D185" s="77" t="s">
        <v>36</v>
      </c>
      <c r="E185" s="77" t="s">
        <v>37</v>
      </c>
      <c r="F185" s="77" t="s">
        <v>47</v>
      </c>
      <c r="G185" s="77" t="s">
        <v>34</v>
      </c>
      <c r="H185" s="77">
        <f>STOCK[[#This Row],[Precio Final]]</f>
        <v>22</v>
      </c>
      <c r="I185" s="77">
        <f>STOCK[[#This Row],[Precio Venta Ideal (x1.5)]]</f>
        <v>24.2166666666666</v>
      </c>
      <c r="J185" s="92">
        <v>2</v>
      </c>
      <c r="K185" s="92">
        <f>SUMIFS(VENTAS[Cantidad],VENTAS[Código del producto Vendido],STOCK[[#This Row],[Code]])</f>
        <v>2</v>
      </c>
      <c r="L185" s="92">
        <f>STOCK[[#This Row],[Entradas]]-STOCK[[#This Row],[Salidas]]</f>
        <v>0</v>
      </c>
      <c r="M185" s="77">
        <f>STOCK[[#This Row],[Precio Final]]*10%</f>
        <v>2.2</v>
      </c>
      <c r="N185" s="77">
        <v>215</v>
      </c>
      <c r="O185" s="77">
        <v>18</v>
      </c>
      <c r="P185" s="77">
        <v>11.9444444444444</v>
      </c>
      <c r="Q185" s="92">
        <v>250</v>
      </c>
      <c r="R185" s="77">
        <v>8</v>
      </c>
      <c r="S185" s="77">
        <f>STOCK[[#This Row],[Peso (g)]]*STOCK[[#This Row],[Precio Envío Kilogramo (USD)]]/1000</f>
        <v>2</v>
      </c>
      <c r="T185" s="76">
        <f>STOCK[[#This Row],[Costo Unitario (USD)]]+STOCK[[#This Row],[Costo Envío (USD)]]+STOCK[[#This Row],[Comisión 10%]]</f>
        <v>16.1444444444444</v>
      </c>
      <c r="U185" s="77">
        <f>STOCK[[#This Row],[Costo total]]*1.5</f>
        <v>24.2166666666666</v>
      </c>
      <c r="V185" s="77">
        <v>22</v>
      </c>
      <c r="W185" s="77">
        <f>STOCK[[#This Row],[Precio Final]]-STOCK[[#This Row],[Costo total]]</f>
        <v>5.8555555555556</v>
      </c>
      <c r="X185" s="77">
        <f>STOCK[[#This Row],[Ganancia Unitaria]]*STOCK[[#This Row],[Salidas]]</f>
        <v>11.7111111111112</v>
      </c>
      <c r="AA185" s="77">
        <f>STOCK[[#This Row],[Costo total]]*STOCK[[#This Row],[Entradas]]</f>
        <v>32.2888888888888</v>
      </c>
      <c r="AB185" s="77">
        <f>STOCK[[#This Row],[Stock Actual]]*STOCK[[#This Row],[Costo total]]</f>
        <v>0</v>
      </c>
    </row>
    <row r="186" s="76" customFormat="1" ht="50" hidden="1" customHeight="1" spans="1:28">
      <c r="A186" s="76" t="s">
        <v>412</v>
      </c>
      <c r="B186" s="6"/>
      <c r="C186" s="76" t="s">
        <v>30</v>
      </c>
      <c r="D186" s="76" t="s">
        <v>36</v>
      </c>
      <c r="E186" s="76" t="s">
        <v>37</v>
      </c>
      <c r="F186" s="76" t="s">
        <v>44</v>
      </c>
      <c r="G186" s="76" t="s">
        <v>34</v>
      </c>
      <c r="H186" s="76">
        <f>STOCK[[#This Row],[Precio Final]]</f>
        <v>25</v>
      </c>
      <c r="I186" s="76">
        <f>STOCK[[#This Row],[Precio Venta Ideal (x1.5)]]</f>
        <v>24.6666666666666</v>
      </c>
      <c r="J186" s="91">
        <v>2</v>
      </c>
      <c r="K186" s="91">
        <f>SUMIFS(VENTAS[Cantidad],VENTAS[Código del producto Vendido],STOCK[[#This Row],[Code]])</f>
        <v>2</v>
      </c>
      <c r="L186" s="91">
        <f>STOCK[[#This Row],[Entradas]]-STOCK[[#This Row],[Salidas]]</f>
        <v>0</v>
      </c>
      <c r="M186" s="76">
        <f>STOCK[[#This Row],[Precio Final]]*10%</f>
        <v>2.5</v>
      </c>
      <c r="N186" s="76">
        <v>215</v>
      </c>
      <c r="O186" s="76">
        <v>18</v>
      </c>
      <c r="P186" s="76">
        <v>11.9444444444444</v>
      </c>
      <c r="Q186" s="91">
        <v>250</v>
      </c>
      <c r="R186" s="76">
        <v>8</v>
      </c>
      <c r="S186" s="76">
        <f>STOCK[[#This Row],[Peso (g)]]*STOCK[[#This Row],[Precio Envío Kilogramo (USD)]]/1000</f>
        <v>2</v>
      </c>
      <c r="T186" s="76">
        <f>STOCK[[#This Row],[Costo Unitario (USD)]]+STOCK[[#This Row],[Costo Envío (USD)]]+STOCK[[#This Row],[Comisión 10%]]</f>
        <v>16.4444444444444</v>
      </c>
      <c r="U186" s="76">
        <f>STOCK[[#This Row],[Costo total]]*1.5</f>
        <v>24.6666666666666</v>
      </c>
      <c r="V186" s="76">
        <v>25</v>
      </c>
      <c r="W186" s="76">
        <f>STOCK[[#This Row],[Precio Final]]-STOCK[[#This Row],[Costo total]]</f>
        <v>8.5555555555556</v>
      </c>
      <c r="X186" s="76">
        <f>STOCK[[#This Row],[Ganancia Unitaria]]*STOCK[[#This Row],[Salidas]]</f>
        <v>17.1111111111112</v>
      </c>
      <c r="AA186" s="76">
        <f>STOCK[[#This Row],[Costo total]]*STOCK[[#This Row],[Entradas]]</f>
        <v>32.8888888888888</v>
      </c>
      <c r="AB186" s="76">
        <f>STOCK[[#This Row],[Stock Actual]]*STOCK[[#This Row],[Costo total]]</f>
        <v>0</v>
      </c>
    </row>
    <row r="187" s="77" customFormat="1" ht="50" hidden="1" customHeight="1" spans="1:28">
      <c r="A187" s="77" t="s">
        <v>413</v>
      </c>
      <c r="B187" s="6"/>
      <c r="C187" s="77" t="s">
        <v>30</v>
      </c>
      <c r="D187" s="77" t="s">
        <v>36</v>
      </c>
      <c r="E187" s="77" t="s">
        <v>414</v>
      </c>
      <c r="F187" s="77" t="s">
        <v>44</v>
      </c>
      <c r="G187" s="77" t="s">
        <v>34</v>
      </c>
      <c r="H187" s="77">
        <f>STOCK[[#This Row],[Precio Final]]</f>
        <v>22</v>
      </c>
      <c r="I187" s="77">
        <f>STOCK[[#This Row],[Precio Venta Ideal (x1.5)]]</f>
        <v>23.3833333333333</v>
      </c>
      <c r="J187" s="92">
        <v>2</v>
      </c>
      <c r="K187" s="92">
        <f>SUMIFS(VENTAS[Cantidad],VENTAS[Código del producto Vendido],STOCK[[#This Row],[Code]])</f>
        <v>2</v>
      </c>
      <c r="L187" s="92">
        <f>STOCK[[#This Row],[Entradas]]-STOCK[[#This Row],[Salidas]]</f>
        <v>0</v>
      </c>
      <c r="M187" s="77">
        <f>STOCK[[#This Row],[Precio Final]]*10%</f>
        <v>2.2</v>
      </c>
      <c r="N187" s="77">
        <v>205</v>
      </c>
      <c r="O187" s="77">
        <v>18</v>
      </c>
      <c r="P187" s="77">
        <v>11.3888888888889</v>
      </c>
      <c r="Q187" s="92">
        <v>250</v>
      </c>
      <c r="R187" s="77">
        <v>8</v>
      </c>
      <c r="S187" s="77">
        <f>STOCK[[#This Row],[Peso (g)]]*STOCK[[#This Row],[Precio Envío Kilogramo (USD)]]/1000</f>
        <v>2</v>
      </c>
      <c r="T187" s="76">
        <f>STOCK[[#This Row],[Costo Unitario (USD)]]+STOCK[[#This Row],[Costo Envío (USD)]]+STOCK[[#This Row],[Comisión 10%]]</f>
        <v>15.5888888888889</v>
      </c>
      <c r="U187" s="77">
        <f>STOCK[[#This Row],[Costo total]]*1.5</f>
        <v>23.3833333333333</v>
      </c>
      <c r="V187" s="77">
        <v>22</v>
      </c>
      <c r="W187" s="77">
        <f>STOCK[[#This Row],[Precio Final]]-STOCK[[#This Row],[Costo total]]</f>
        <v>6.4111111111111</v>
      </c>
      <c r="X187" s="77">
        <f>STOCK[[#This Row],[Ganancia Unitaria]]*STOCK[[#This Row],[Salidas]]</f>
        <v>12.8222222222222</v>
      </c>
      <c r="AA187" s="77">
        <f>STOCK[[#This Row],[Costo total]]*STOCK[[#This Row],[Entradas]]</f>
        <v>31.1777777777778</v>
      </c>
      <c r="AB187" s="77">
        <f>STOCK[[#This Row],[Stock Actual]]*STOCK[[#This Row],[Costo total]]</f>
        <v>0</v>
      </c>
    </row>
    <row r="188" s="76" customFormat="1" ht="50" hidden="1" customHeight="1" spans="1:28">
      <c r="A188" s="76" t="s">
        <v>415</v>
      </c>
      <c r="B188" s="6"/>
      <c r="C188" s="76" t="s">
        <v>30</v>
      </c>
      <c r="D188" s="76" t="s">
        <v>36</v>
      </c>
      <c r="E188" s="76" t="s">
        <v>416</v>
      </c>
      <c r="F188" s="76" t="s">
        <v>44</v>
      </c>
      <c r="G188" s="76" t="s">
        <v>34</v>
      </c>
      <c r="H188" s="76">
        <f>STOCK[[#This Row],[Precio Final]]</f>
        <v>22</v>
      </c>
      <c r="I188" s="76">
        <f>STOCK[[#This Row],[Precio Venta Ideal (x1.5)]]</f>
        <v>23.3833333333333</v>
      </c>
      <c r="J188" s="91">
        <v>2</v>
      </c>
      <c r="K188" s="91">
        <f>SUMIFS(VENTAS[Cantidad],VENTAS[Código del producto Vendido],STOCK[[#This Row],[Code]])</f>
        <v>2</v>
      </c>
      <c r="L188" s="91">
        <f>STOCK[[#This Row],[Entradas]]-STOCK[[#This Row],[Salidas]]</f>
        <v>0</v>
      </c>
      <c r="M188" s="76">
        <f>STOCK[[#This Row],[Precio Final]]*10%</f>
        <v>2.2</v>
      </c>
      <c r="N188" s="76">
        <v>205</v>
      </c>
      <c r="O188" s="76">
        <v>18</v>
      </c>
      <c r="P188" s="76">
        <v>11.3888888888889</v>
      </c>
      <c r="Q188" s="91">
        <v>250</v>
      </c>
      <c r="R188" s="76">
        <v>8</v>
      </c>
      <c r="S188" s="76">
        <f>STOCK[[#This Row],[Peso (g)]]*STOCK[[#This Row],[Precio Envío Kilogramo (USD)]]/1000</f>
        <v>2</v>
      </c>
      <c r="T188" s="76">
        <f>STOCK[[#This Row],[Costo Unitario (USD)]]+STOCK[[#This Row],[Costo Envío (USD)]]+STOCK[[#This Row],[Comisión 10%]]</f>
        <v>15.5888888888889</v>
      </c>
      <c r="U188" s="76">
        <f>STOCK[[#This Row],[Costo total]]*1.5</f>
        <v>23.3833333333333</v>
      </c>
      <c r="V188" s="76">
        <v>22</v>
      </c>
      <c r="W188" s="76">
        <f>STOCK[[#This Row],[Precio Final]]-STOCK[[#This Row],[Costo total]]</f>
        <v>6.4111111111111</v>
      </c>
      <c r="X188" s="76">
        <f>STOCK[[#This Row],[Ganancia Unitaria]]*STOCK[[#This Row],[Salidas]]</f>
        <v>12.8222222222222</v>
      </c>
      <c r="AA188" s="76">
        <f>STOCK[[#This Row],[Costo total]]*STOCK[[#This Row],[Entradas]]</f>
        <v>31.1777777777778</v>
      </c>
      <c r="AB188" s="76">
        <f>STOCK[[#This Row],[Stock Actual]]*STOCK[[#This Row],[Costo total]]</f>
        <v>0</v>
      </c>
    </row>
    <row r="189" s="77" customFormat="1" ht="50" hidden="1" customHeight="1" spans="1:28">
      <c r="A189" s="77" t="s">
        <v>417</v>
      </c>
      <c r="B189" s="6"/>
      <c r="C189" s="77" t="s">
        <v>30</v>
      </c>
      <c r="D189" s="77" t="s">
        <v>36</v>
      </c>
      <c r="E189" s="77" t="s">
        <v>418</v>
      </c>
      <c r="F189" s="77" t="s">
        <v>60</v>
      </c>
      <c r="G189" s="77" t="s">
        <v>34</v>
      </c>
      <c r="H189" s="77">
        <f>STOCK[[#This Row],[Precio Final]]</f>
        <v>22</v>
      </c>
      <c r="I189" s="77">
        <f>STOCK[[#This Row],[Precio Venta Ideal (x1.5)]]</f>
        <v>23.3833333333333</v>
      </c>
      <c r="J189" s="92">
        <v>2</v>
      </c>
      <c r="K189" s="92">
        <f>SUMIFS(VENTAS[Cantidad],VENTAS[Código del producto Vendido],STOCK[[#This Row],[Code]])</f>
        <v>2</v>
      </c>
      <c r="L189" s="92">
        <f>STOCK[[#This Row],[Entradas]]-STOCK[[#This Row],[Salidas]]</f>
        <v>0</v>
      </c>
      <c r="M189" s="77">
        <f>STOCK[[#This Row],[Precio Final]]*10%</f>
        <v>2.2</v>
      </c>
      <c r="N189" s="77">
        <v>205</v>
      </c>
      <c r="O189" s="77">
        <v>18</v>
      </c>
      <c r="P189" s="77">
        <v>11.3888888888889</v>
      </c>
      <c r="Q189" s="92">
        <v>250</v>
      </c>
      <c r="R189" s="77">
        <v>8</v>
      </c>
      <c r="S189" s="77">
        <f>STOCK[[#This Row],[Peso (g)]]*STOCK[[#This Row],[Precio Envío Kilogramo (USD)]]/1000</f>
        <v>2</v>
      </c>
      <c r="T189" s="76">
        <f>STOCK[[#This Row],[Costo Unitario (USD)]]+STOCK[[#This Row],[Costo Envío (USD)]]+STOCK[[#This Row],[Comisión 10%]]</f>
        <v>15.5888888888889</v>
      </c>
      <c r="U189" s="77">
        <f>STOCK[[#This Row],[Costo total]]*1.5</f>
        <v>23.3833333333333</v>
      </c>
      <c r="V189" s="77">
        <v>22</v>
      </c>
      <c r="W189" s="77">
        <f>STOCK[[#This Row],[Precio Final]]-STOCK[[#This Row],[Costo total]]</f>
        <v>6.4111111111111</v>
      </c>
      <c r="X189" s="77">
        <f>STOCK[[#This Row],[Ganancia Unitaria]]*STOCK[[#This Row],[Salidas]]</f>
        <v>12.8222222222222</v>
      </c>
      <c r="AA189" s="77">
        <f>STOCK[[#This Row],[Costo total]]*STOCK[[#This Row],[Entradas]]</f>
        <v>31.1777777777778</v>
      </c>
      <c r="AB189" s="77">
        <f>STOCK[[#This Row],[Stock Actual]]*STOCK[[#This Row],[Costo total]]</f>
        <v>0</v>
      </c>
    </row>
    <row r="190" s="76" customFormat="1" ht="50" hidden="1" customHeight="1" spans="1:28">
      <c r="A190" s="76" t="s">
        <v>419</v>
      </c>
      <c r="B190" s="6"/>
      <c r="C190" s="76" t="s">
        <v>30</v>
      </c>
      <c r="D190" s="76" t="s">
        <v>36</v>
      </c>
      <c r="E190" s="76" t="s">
        <v>420</v>
      </c>
      <c r="F190" s="76" t="s">
        <v>44</v>
      </c>
      <c r="G190" s="76" t="s">
        <v>34</v>
      </c>
      <c r="H190" s="76">
        <f>STOCK[[#This Row],[Precio Final]]</f>
        <v>25</v>
      </c>
      <c r="I190" s="76">
        <f>STOCK[[#This Row],[Precio Venta Ideal (x1.5)]]</f>
        <v>24.5</v>
      </c>
      <c r="J190" s="91">
        <v>2</v>
      </c>
      <c r="K190" s="91">
        <f>SUMIFS(VENTAS[Cantidad],VENTAS[Código del producto Vendido],STOCK[[#This Row],[Code]])</f>
        <v>2</v>
      </c>
      <c r="L190" s="91">
        <f>STOCK[[#This Row],[Entradas]]-STOCK[[#This Row],[Salidas]]</f>
        <v>0</v>
      </c>
      <c r="M190" s="76">
        <f>STOCK[[#This Row],[Precio Final]]*10%</f>
        <v>2.5</v>
      </c>
      <c r="N190" s="76">
        <v>213</v>
      </c>
      <c r="O190" s="76">
        <v>18</v>
      </c>
      <c r="P190" s="76">
        <v>11.8333333333333</v>
      </c>
      <c r="Q190" s="91">
        <v>250</v>
      </c>
      <c r="R190" s="76">
        <v>8</v>
      </c>
      <c r="S190" s="76">
        <f>STOCK[[#This Row],[Peso (g)]]*STOCK[[#This Row],[Precio Envío Kilogramo (USD)]]/1000</f>
        <v>2</v>
      </c>
      <c r="T190" s="76">
        <f>STOCK[[#This Row],[Costo Unitario (USD)]]+STOCK[[#This Row],[Costo Envío (USD)]]+STOCK[[#This Row],[Comisión 10%]]</f>
        <v>16.3333333333333</v>
      </c>
      <c r="U190" s="76">
        <f>STOCK[[#This Row],[Costo total]]*1.5</f>
        <v>24.5</v>
      </c>
      <c r="V190" s="76">
        <v>25</v>
      </c>
      <c r="W190" s="76">
        <f>STOCK[[#This Row],[Precio Final]]-STOCK[[#This Row],[Costo total]]</f>
        <v>8.6666666666667</v>
      </c>
      <c r="X190" s="76">
        <f>STOCK[[#This Row],[Ganancia Unitaria]]*STOCK[[#This Row],[Salidas]]</f>
        <v>17.3333333333334</v>
      </c>
      <c r="AA190" s="76">
        <f>STOCK[[#This Row],[Costo total]]*STOCK[[#This Row],[Entradas]]</f>
        <v>32.6666666666666</v>
      </c>
      <c r="AB190" s="76">
        <f>STOCK[[#This Row],[Stock Actual]]*STOCK[[#This Row],[Costo total]]</f>
        <v>0</v>
      </c>
    </row>
    <row r="191" s="77" customFormat="1" ht="50" hidden="1" customHeight="1" spans="1:28">
      <c r="A191" s="77" t="s">
        <v>421</v>
      </c>
      <c r="B191" s="6"/>
      <c r="C191" s="77" t="s">
        <v>30</v>
      </c>
      <c r="D191" s="77" t="s">
        <v>36</v>
      </c>
      <c r="E191" s="77" t="s">
        <v>422</v>
      </c>
      <c r="F191" s="77" t="s">
        <v>44</v>
      </c>
      <c r="G191" s="77" t="s">
        <v>34</v>
      </c>
      <c r="H191" s="77">
        <f>STOCK[[#This Row],[Precio Final]]</f>
        <v>25</v>
      </c>
      <c r="I191" s="77">
        <f>STOCK[[#This Row],[Precio Venta Ideal (x1.5)]]</f>
        <v>24.5</v>
      </c>
      <c r="J191" s="92">
        <v>3</v>
      </c>
      <c r="K191" s="92">
        <f>SUMIFS(VENTAS[Cantidad],VENTAS[Código del producto Vendido],STOCK[[#This Row],[Code]])</f>
        <v>3</v>
      </c>
      <c r="L191" s="92">
        <f>STOCK[[#This Row],[Entradas]]-STOCK[[#This Row],[Salidas]]</f>
        <v>0</v>
      </c>
      <c r="M191" s="77">
        <f>STOCK[[#This Row],[Precio Final]]*10%</f>
        <v>2.5</v>
      </c>
      <c r="N191" s="77">
        <v>213</v>
      </c>
      <c r="O191" s="77">
        <v>18</v>
      </c>
      <c r="P191" s="77">
        <v>11.8333333333333</v>
      </c>
      <c r="Q191" s="92">
        <v>250</v>
      </c>
      <c r="R191" s="77">
        <v>8</v>
      </c>
      <c r="S191" s="77">
        <f>STOCK[[#This Row],[Peso (g)]]*STOCK[[#This Row],[Precio Envío Kilogramo (USD)]]/1000</f>
        <v>2</v>
      </c>
      <c r="T191" s="76">
        <f>STOCK[[#This Row],[Costo Unitario (USD)]]+STOCK[[#This Row],[Costo Envío (USD)]]+STOCK[[#This Row],[Comisión 10%]]</f>
        <v>16.3333333333333</v>
      </c>
      <c r="U191" s="77">
        <f>STOCK[[#This Row],[Costo total]]*1.5</f>
        <v>24.5</v>
      </c>
      <c r="V191" s="77">
        <v>25</v>
      </c>
      <c r="W191" s="77">
        <f>STOCK[[#This Row],[Precio Final]]-STOCK[[#This Row],[Costo total]]</f>
        <v>8.6666666666667</v>
      </c>
      <c r="X191" s="77">
        <f>STOCK[[#This Row],[Ganancia Unitaria]]*STOCK[[#This Row],[Salidas]]</f>
        <v>26.0000000000001</v>
      </c>
      <c r="AA191" s="77">
        <f>STOCK[[#This Row],[Costo total]]*STOCK[[#This Row],[Entradas]]</f>
        <v>48.9999999999999</v>
      </c>
      <c r="AB191" s="77">
        <f>STOCK[[#This Row],[Stock Actual]]*STOCK[[#This Row],[Costo total]]</f>
        <v>0</v>
      </c>
    </row>
    <row r="192" s="76" customFormat="1" ht="50" hidden="1" customHeight="1" spans="1:28">
      <c r="A192" s="76" t="s">
        <v>423</v>
      </c>
      <c r="B192" s="6"/>
      <c r="C192" s="76" t="s">
        <v>30</v>
      </c>
      <c r="D192" s="76" t="s">
        <v>36</v>
      </c>
      <c r="E192" s="76" t="s">
        <v>424</v>
      </c>
      <c r="F192" s="76" t="s">
        <v>44</v>
      </c>
      <c r="G192" s="76" t="s">
        <v>34</v>
      </c>
      <c r="H192" s="76">
        <f>STOCK[[#This Row],[Precio Final]]</f>
        <v>25</v>
      </c>
      <c r="I192" s="76">
        <f>STOCK[[#This Row],[Precio Venta Ideal (x1.5)]]</f>
        <v>24.5</v>
      </c>
      <c r="J192" s="91">
        <v>3</v>
      </c>
      <c r="K192" s="91">
        <f>SUMIFS(VENTAS[Cantidad],VENTAS[Código del producto Vendido],STOCK[[#This Row],[Code]])</f>
        <v>3</v>
      </c>
      <c r="L192" s="91">
        <f>STOCK[[#This Row],[Entradas]]-STOCK[[#This Row],[Salidas]]</f>
        <v>0</v>
      </c>
      <c r="M192" s="76">
        <f>STOCK[[#This Row],[Precio Final]]*10%</f>
        <v>2.5</v>
      </c>
      <c r="N192" s="76">
        <v>213</v>
      </c>
      <c r="O192" s="76">
        <v>18</v>
      </c>
      <c r="P192" s="76">
        <v>11.8333333333333</v>
      </c>
      <c r="Q192" s="91">
        <v>250</v>
      </c>
      <c r="R192" s="76">
        <v>8</v>
      </c>
      <c r="S192" s="76">
        <f>STOCK[[#This Row],[Peso (g)]]*STOCK[[#This Row],[Precio Envío Kilogramo (USD)]]/1000</f>
        <v>2</v>
      </c>
      <c r="T192" s="76">
        <f>STOCK[[#This Row],[Costo Unitario (USD)]]+STOCK[[#This Row],[Costo Envío (USD)]]+STOCK[[#This Row],[Comisión 10%]]</f>
        <v>16.3333333333333</v>
      </c>
      <c r="U192" s="76">
        <f>STOCK[[#This Row],[Costo total]]*1.5</f>
        <v>24.5</v>
      </c>
      <c r="V192" s="76">
        <v>25</v>
      </c>
      <c r="W192" s="76">
        <f>STOCK[[#This Row],[Precio Final]]-STOCK[[#This Row],[Costo total]]</f>
        <v>8.6666666666667</v>
      </c>
      <c r="X192" s="76">
        <f>STOCK[[#This Row],[Ganancia Unitaria]]*STOCK[[#This Row],[Salidas]]</f>
        <v>26.0000000000001</v>
      </c>
      <c r="AA192" s="76">
        <f>STOCK[[#This Row],[Costo total]]*STOCK[[#This Row],[Entradas]]</f>
        <v>48.9999999999999</v>
      </c>
      <c r="AB192" s="76">
        <f>STOCK[[#This Row],[Stock Actual]]*STOCK[[#This Row],[Costo total]]</f>
        <v>0</v>
      </c>
    </row>
    <row r="193" s="77" customFormat="1" ht="50" hidden="1" customHeight="1" spans="1:28">
      <c r="A193" s="77" t="s">
        <v>425</v>
      </c>
      <c r="B193" s="6"/>
      <c r="C193" s="77" t="s">
        <v>30</v>
      </c>
      <c r="D193" s="77" t="s">
        <v>301</v>
      </c>
      <c r="E193" s="77" t="s">
        <v>426</v>
      </c>
      <c r="F193" s="77" t="s">
        <v>86</v>
      </c>
      <c r="G193" s="77" t="s">
        <v>34</v>
      </c>
      <c r="H193" s="77">
        <f>STOCK[[#This Row],[Precio Final]]</f>
        <v>23</v>
      </c>
      <c r="I193" s="77">
        <f>STOCK[[#This Row],[Precio Venta Ideal (x1.5)]]</f>
        <v>25.5033333333333</v>
      </c>
      <c r="J193" s="92">
        <v>1</v>
      </c>
      <c r="K193" s="92">
        <f>SUMIFS(VENTAS[Cantidad],VENTAS[Código del producto Vendido],STOCK[[#This Row],[Code]])</f>
        <v>1</v>
      </c>
      <c r="L193" s="92">
        <f>STOCK[[#This Row],[Entradas]]-STOCK[[#This Row],[Salidas]]</f>
        <v>0</v>
      </c>
      <c r="M193" s="77">
        <f>STOCK[[#This Row],[Precio Final]]*10%</f>
        <v>2.3</v>
      </c>
      <c r="N193" s="77">
        <v>238</v>
      </c>
      <c r="O193" s="77">
        <v>18</v>
      </c>
      <c r="P193" s="77">
        <v>13.2222222222222</v>
      </c>
      <c r="Q193" s="92">
        <v>185</v>
      </c>
      <c r="R193" s="77">
        <v>8</v>
      </c>
      <c r="S193" s="77">
        <f>STOCK[[#This Row],[Peso (g)]]*STOCK[[#This Row],[Precio Envío Kilogramo (USD)]]/1000</f>
        <v>1.48</v>
      </c>
      <c r="T193" s="76">
        <f>STOCK[[#This Row],[Costo Unitario (USD)]]+STOCK[[#This Row],[Costo Envío (USD)]]+STOCK[[#This Row],[Comisión 10%]]</f>
        <v>17.0022222222222</v>
      </c>
      <c r="U193" s="77">
        <f>STOCK[[#This Row],[Costo total]]*1.5</f>
        <v>25.5033333333333</v>
      </c>
      <c r="V193" s="77">
        <v>23</v>
      </c>
      <c r="W193" s="77">
        <f>STOCK[[#This Row],[Precio Final]]-STOCK[[#This Row],[Costo total]]</f>
        <v>5.9977777777778</v>
      </c>
      <c r="X193" s="77">
        <f>STOCK[[#This Row],[Ganancia Unitaria]]*STOCK[[#This Row],[Salidas]]</f>
        <v>5.9977777777778</v>
      </c>
      <c r="AA193" s="77">
        <f>STOCK[[#This Row],[Costo total]]*STOCK[[#This Row],[Entradas]]</f>
        <v>17.0022222222222</v>
      </c>
      <c r="AB193" s="77">
        <f>STOCK[[#This Row],[Stock Actual]]*STOCK[[#This Row],[Costo total]]</f>
        <v>0</v>
      </c>
    </row>
    <row r="194" s="76" customFormat="1" ht="50" hidden="1" customHeight="1" spans="1:28">
      <c r="A194" s="76" t="s">
        <v>427</v>
      </c>
      <c r="B194" s="6"/>
      <c r="C194" s="76" t="s">
        <v>30</v>
      </c>
      <c r="D194" s="76" t="s">
        <v>301</v>
      </c>
      <c r="E194" s="76" t="s">
        <v>428</v>
      </c>
      <c r="F194" s="76" t="s">
        <v>47</v>
      </c>
      <c r="G194" s="76" t="s">
        <v>34</v>
      </c>
      <c r="H194" s="76">
        <f>STOCK[[#This Row],[Precio Final]]</f>
        <v>23</v>
      </c>
      <c r="I194" s="76">
        <f>STOCK[[#This Row],[Precio Venta Ideal (x1.5)]]</f>
        <v>25.5033333333333</v>
      </c>
      <c r="J194" s="91">
        <v>2</v>
      </c>
      <c r="K194" s="91">
        <f>SUMIFS(VENTAS[Cantidad],VENTAS[Código del producto Vendido],STOCK[[#This Row],[Code]])</f>
        <v>2</v>
      </c>
      <c r="L194" s="91">
        <f>STOCK[[#This Row],[Entradas]]-STOCK[[#This Row],[Salidas]]</f>
        <v>0</v>
      </c>
      <c r="M194" s="76">
        <f>STOCK[[#This Row],[Precio Final]]*10%</f>
        <v>2.3</v>
      </c>
      <c r="N194" s="76">
        <v>238</v>
      </c>
      <c r="O194" s="76">
        <v>18</v>
      </c>
      <c r="P194" s="76">
        <v>13.2222222222222</v>
      </c>
      <c r="Q194" s="91">
        <v>185</v>
      </c>
      <c r="R194" s="76">
        <v>8</v>
      </c>
      <c r="S194" s="76">
        <f>STOCK[[#This Row],[Peso (g)]]*STOCK[[#This Row],[Precio Envío Kilogramo (USD)]]/1000</f>
        <v>1.48</v>
      </c>
      <c r="T194" s="76">
        <f>STOCK[[#This Row],[Costo Unitario (USD)]]+STOCK[[#This Row],[Costo Envío (USD)]]+STOCK[[#This Row],[Comisión 10%]]</f>
        <v>17.0022222222222</v>
      </c>
      <c r="U194" s="76">
        <f>STOCK[[#This Row],[Costo total]]*1.5</f>
        <v>25.5033333333333</v>
      </c>
      <c r="V194" s="76">
        <v>23</v>
      </c>
      <c r="W194" s="76">
        <f>STOCK[[#This Row],[Precio Final]]-STOCK[[#This Row],[Costo total]]</f>
        <v>5.9977777777778</v>
      </c>
      <c r="X194" s="76">
        <f>STOCK[[#This Row],[Ganancia Unitaria]]*STOCK[[#This Row],[Salidas]]</f>
        <v>11.9955555555556</v>
      </c>
      <c r="AA194" s="76">
        <f>STOCK[[#This Row],[Costo total]]*STOCK[[#This Row],[Entradas]]</f>
        <v>34.0044444444444</v>
      </c>
      <c r="AB194" s="76">
        <f>STOCK[[#This Row],[Stock Actual]]*STOCK[[#This Row],[Costo total]]</f>
        <v>0</v>
      </c>
    </row>
    <row r="195" s="77" customFormat="1" ht="50" hidden="1" customHeight="1" spans="1:28">
      <c r="A195" s="77" t="s">
        <v>429</v>
      </c>
      <c r="B195" s="6"/>
      <c r="C195" s="77" t="s">
        <v>30</v>
      </c>
      <c r="D195" s="77" t="s">
        <v>42</v>
      </c>
      <c r="E195" s="77" t="s">
        <v>430</v>
      </c>
      <c r="F195" s="77" t="s">
        <v>47</v>
      </c>
      <c r="G195" s="77" t="s">
        <v>34</v>
      </c>
      <c r="H195" s="77">
        <f>STOCK[[#This Row],[Precio Final]]</f>
        <v>28</v>
      </c>
      <c r="I195" s="77">
        <f>STOCK[[#This Row],[Precio Venta Ideal (x1.5)]]</f>
        <v>28.0616666666667</v>
      </c>
      <c r="J195" s="92">
        <v>1</v>
      </c>
      <c r="K195" s="92">
        <f>SUMIFS(VENTAS[Cantidad],VENTAS[Código del producto Vendido],STOCK[[#This Row],[Code]])</f>
        <v>1</v>
      </c>
      <c r="L195" s="92">
        <f>STOCK[[#This Row],[Entradas]]-STOCK[[#This Row],[Salidas]]</f>
        <v>0</v>
      </c>
      <c r="M195" s="77">
        <f>STOCK[[#This Row],[Precio Final]]*10%</f>
        <v>2.8</v>
      </c>
      <c r="N195" s="77">
        <v>259.7</v>
      </c>
      <c r="O195" s="77">
        <v>18</v>
      </c>
      <c r="P195" s="77">
        <v>14.4277777777778</v>
      </c>
      <c r="Q195" s="92">
        <v>185</v>
      </c>
      <c r="R195" s="77">
        <v>8</v>
      </c>
      <c r="S195" s="77">
        <f>STOCK[[#This Row],[Peso (g)]]*STOCK[[#This Row],[Precio Envío Kilogramo (USD)]]/1000</f>
        <v>1.48</v>
      </c>
      <c r="T195" s="76">
        <f>STOCK[[#This Row],[Costo Unitario (USD)]]+STOCK[[#This Row],[Costo Envío (USD)]]+STOCK[[#This Row],[Comisión 10%]]</f>
        <v>18.7077777777778</v>
      </c>
      <c r="U195" s="77">
        <f>STOCK[[#This Row],[Costo total]]*1.5</f>
        <v>28.0616666666667</v>
      </c>
      <c r="V195" s="77">
        <v>28</v>
      </c>
      <c r="W195" s="77">
        <f>STOCK[[#This Row],[Precio Final]]-STOCK[[#This Row],[Costo total]]</f>
        <v>9.2922222222222</v>
      </c>
      <c r="X195" s="77">
        <f>STOCK[[#This Row],[Ganancia Unitaria]]*STOCK[[#This Row],[Salidas]]</f>
        <v>9.2922222222222</v>
      </c>
      <c r="AA195" s="77">
        <f>STOCK[[#This Row],[Costo total]]*STOCK[[#This Row],[Entradas]]</f>
        <v>18.7077777777778</v>
      </c>
      <c r="AB195" s="77">
        <f>STOCK[[#This Row],[Stock Actual]]*STOCK[[#This Row],[Costo total]]</f>
        <v>0</v>
      </c>
    </row>
    <row r="196" s="76" customFormat="1" ht="50" hidden="1" customHeight="1" spans="1:28">
      <c r="A196" s="76" t="s">
        <v>431</v>
      </c>
      <c r="B196" s="6"/>
      <c r="C196" s="76" t="s">
        <v>30</v>
      </c>
      <c r="D196" s="76" t="s">
        <v>42</v>
      </c>
      <c r="E196" s="76" t="s">
        <v>430</v>
      </c>
      <c r="F196" s="76" t="s">
        <v>60</v>
      </c>
      <c r="G196" s="76" t="s">
        <v>34</v>
      </c>
      <c r="H196" s="76">
        <f>STOCK[[#This Row],[Precio Final]]</f>
        <v>28</v>
      </c>
      <c r="I196" s="76">
        <f>STOCK[[#This Row],[Precio Venta Ideal (x1.5)]]</f>
        <v>28.0616666666667</v>
      </c>
      <c r="J196" s="91">
        <v>1</v>
      </c>
      <c r="K196" s="91">
        <f>SUMIFS(VENTAS[Cantidad],VENTAS[Código del producto Vendido],STOCK[[#This Row],[Code]])</f>
        <v>1</v>
      </c>
      <c r="L196" s="91">
        <f>STOCK[[#This Row],[Entradas]]-STOCK[[#This Row],[Salidas]]</f>
        <v>0</v>
      </c>
      <c r="M196" s="76">
        <f>STOCK[[#This Row],[Precio Final]]*10%</f>
        <v>2.8</v>
      </c>
      <c r="N196" s="76">
        <v>259.7</v>
      </c>
      <c r="O196" s="76">
        <v>18</v>
      </c>
      <c r="P196" s="76">
        <v>14.4277777777778</v>
      </c>
      <c r="Q196" s="91">
        <v>185</v>
      </c>
      <c r="R196" s="76">
        <v>8</v>
      </c>
      <c r="S196" s="76">
        <f>STOCK[[#This Row],[Peso (g)]]*STOCK[[#This Row],[Precio Envío Kilogramo (USD)]]/1000</f>
        <v>1.48</v>
      </c>
      <c r="T196" s="76">
        <f>STOCK[[#This Row],[Costo Unitario (USD)]]+STOCK[[#This Row],[Costo Envío (USD)]]+STOCK[[#This Row],[Comisión 10%]]</f>
        <v>18.7077777777778</v>
      </c>
      <c r="U196" s="76">
        <f>STOCK[[#This Row],[Costo total]]*1.5</f>
        <v>28.0616666666667</v>
      </c>
      <c r="V196" s="76">
        <v>28</v>
      </c>
      <c r="W196" s="76">
        <f>STOCK[[#This Row],[Precio Final]]-STOCK[[#This Row],[Costo total]]</f>
        <v>9.2922222222222</v>
      </c>
      <c r="X196" s="76">
        <f>STOCK[[#This Row],[Ganancia Unitaria]]*STOCK[[#This Row],[Salidas]]</f>
        <v>9.2922222222222</v>
      </c>
      <c r="AA196" s="76">
        <f>STOCK[[#This Row],[Costo total]]*STOCK[[#This Row],[Entradas]]</f>
        <v>18.7077777777778</v>
      </c>
      <c r="AB196" s="76">
        <f>STOCK[[#This Row],[Stock Actual]]*STOCK[[#This Row],[Costo total]]</f>
        <v>0</v>
      </c>
    </row>
    <row r="197" s="77" customFormat="1" ht="50" hidden="1" customHeight="1" spans="1:28">
      <c r="A197" s="77" t="s">
        <v>432</v>
      </c>
      <c r="B197" s="6"/>
      <c r="C197" s="77" t="s">
        <v>30</v>
      </c>
      <c r="D197" s="77" t="s">
        <v>42</v>
      </c>
      <c r="E197" s="77" t="s">
        <v>433</v>
      </c>
      <c r="F197" s="77" t="s">
        <v>38</v>
      </c>
      <c r="G197" s="77" t="s">
        <v>34</v>
      </c>
      <c r="H197" s="77">
        <f>STOCK[[#This Row],[Precio Final]]</f>
        <v>28</v>
      </c>
      <c r="I197" s="77">
        <f>STOCK[[#This Row],[Precio Venta Ideal (x1.5)]]</f>
        <v>28.0616666666667</v>
      </c>
      <c r="J197" s="92">
        <v>1</v>
      </c>
      <c r="K197" s="92">
        <f>SUMIFS(VENTAS[Cantidad],VENTAS[Código del producto Vendido],STOCK[[#This Row],[Code]])</f>
        <v>1</v>
      </c>
      <c r="L197" s="92">
        <f>STOCK[[#This Row],[Entradas]]-STOCK[[#This Row],[Salidas]]</f>
        <v>0</v>
      </c>
      <c r="M197" s="77">
        <f>STOCK[[#This Row],[Precio Final]]*10%</f>
        <v>2.8</v>
      </c>
      <c r="N197" s="77">
        <v>259.7</v>
      </c>
      <c r="O197" s="77">
        <v>18</v>
      </c>
      <c r="P197" s="77">
        <v>14.4277777777778</v>
      </c>
      <c r="Q197" s="92">
        <v>185</v>
      </c>
      <c r="R197" s="77">
        <v>8</v>
      </c>
      <c r="S197" s="77">
        <f>STOCK[[#This Row],[Peso (g)]]*STOCK[[#This Row],[Precio Envío Kilogramo (USD)]]/1000</f>
        <v>1.48</v>
      </c>
      <c r="T197" s="76">
        <f>STOCK[[#This Row],[Costo Unitario (USD)]]+STOCK[[#This Row],[Costo Envío (USD)]]+STOCK[[#This Row],[Comisión 10%]]</f>
        <v>18.7077777777778</v>
      </c>
      <c r="U197" s="77">
        <f>STOCK[[#This Row],[Costo total]]*1.5</f>
        <v>28.0616666666667</v>
      </c>
      <c r="V197" s="77">
        <v>28</v>
      </c>
      <c r="W197" s="77">
        <f>STOCK[[#This Row],[Precio Final]]-STOCK[[#This Row],[Costo total]]</f>
        <v>9.2922222222222</v>
      </c>
      <c r="X197" s="77">
        <f>STOCK[[#This Row],[Ganancia Unitaria]]*STOCK[[#This Row],[Salidas]]</f>
        <v>9.2922222222222</v>
      </c>
      <c r="AA197" s="77">
        <f>STOCK[[#This Row],[Costo total]]*STOCK[[#This Row],[Entradas]]</f>
        <v>18.7077777777778</v>
      </c>
      <c r="AB197" s="77">
        <f>STOCK[[#This Row],[Stock Actual]]*STOCK[[#This Row],[Costo total]]</f>
        <v>0</v>
      </c>
    </row>
    <row r="198" s="76" customFormat="1" ht="50" hidden="1" customHeight="1" spans="1:28">
      <c r="A198" s="76" t="s">
        <v>434</v>
      </c>
      <c r="B198" s="6"/>
      <c r="C198" s="76" t="s">
        <v>30</v>
      </c>
      <c r="D198" s="76" t="s">
        <v>173</v>
      </c>
      <c r="E198" s="76" t="s">
        <v>435</v>
      </c>
      <c r="F198" s="76" t="s">
        <v>186</v>
      </c>
      <c r="G198" s="76" t="s">
        <v>34</v>
      </c>
      <c r="H198" s="76">
        <f>STOCK[[#This Row],[Precio Final]]</f>
        <v>25</v>
      </c>
      <c r="I198" s="76">
        <f>STOCK[[#This Row],[Precio Venta Ideal (x1.5)]]</f>
        <v>28.135</v>
      </c>
      <c r="J198" s="91">
        <v>1</v>
      </c>
      <c r="K198" s="91">
        <f>SUMIFS(VENTAS[Cantidad],VENTAS[Código del producto Vendido],STOCK[[#This Row],[Code]])</f>
        <v>1</v>
      </c>
      <c r="L198" s="91">
        <f>STOCK[[#This Row],[Entradas]]-STOCK[[#This Row],[Salidas]]</f>
        <v>0</v>
      </c>
      <c r="M198" s="76">
        <f>STOCK[[#This Row],[Precio Final]]*10%</f>
        <v>2.5</v>
      </c>
      <c r="N198" s="76">
        <v>266.7</v>
      </c>
      <c r="O198" s="76">
        <v>18</v>
      </c>
      <c r="P198" s="76">
        <v>14.8166666666667</v>
      </c>
      <c r="Q198" s="91">
        <v>180</v>
      </c>
      <c r="R198" s="76">
        <v>8</v>
      </c>
      <c r="S198" s="76">
        <f>STOCK[[#This Row],[Peso (g)]]*STOCK[[#This Row],[Precio Envío Kilogramo (USD)]]/1000</f>
        <v>1.44</v>
      </c>
      <c r="T198" s="76">
        <f>STOCK[[#This Row],[Costo Unitario (USD)]]+STOCK[[#This Row],[Costo Envío (USD)]]+STOCK[[#This Row],[Comisión 10%]]</f>
        <v>18.7566666666667</v>
      </c>
      <c r="U198" s="76">
        <f>STOCK[[#This Row],[Costo total]]*1.5</f>
        <v>28.135</v>
      </c>
      <c r="V198" s="76">
        <v>25</v>
      </c>
      <c r="W198" s="76">
        <f>STOCK[[#This Row],[Precio Final]]-STOCK[[#This Row],[Costo total]]</f>
        <v>6.2433333333333</v>
      </c>
      <c r="X198" s="76">
        <f>STOCK[[#This Row],[Ganancia Unitaria]]*STOCK[[#This Row],[Salidas]]</f>
        <v>6.2433333333333</v>
      </c>
      <c r="AA198" s="76">
        <f>STOCK[[#This Row],[Costo total]]*STOCK[[#This Row],[Entradas]]</f>
        <v>18.7566666666667</v>
      </c>
      <c r="AB198" s="76">
        <f>STOCK[[#This Row],[Stock Actual]]*STOCK[[#This Row],[Costo total]]</f>
        <v>0</v>
      </c>
    </row>
    <row r="199" s="77" customFormat="1" ht="50" hidden="1" customHeight="1" spans="1:28">
      <c r="A199" s="77" t="s">
        <v>436</v>
      </c>
      <c r="B199" s="6"/>
      <c r="C199" s="77" t="s">
        <v>30</v>
      </c>
      <c r="D199" s="77" t="s">
        <v>36</v>
      </c>
      <c r="E199" s="77" t="s">
        <v>437</v>
      </c>
      <c r="F199" s="77" t="s">
        <v>40</v>
      </c>
      <c r="G199" s="77" t="s">
        <v>34</v>
      </c>
      <c r="H199" s="77">
        <f>STOCK[[#This Row],[Precio Final]]</f>
        <v>25</v>
      </c>
      <c r="I199" s="77">
        <f>STOCK[[#This Row],[Precio Venta Ideal (x1.5)]]</f>
        <v>28.6566666666666</v>
      </c>
      <c r="J199" s="92">
        <v>2</v>
      </c>
      <c r="K199" s="92">
        <f>SUMIFS(VENTAS[Cantidad],VENTAS[Código del producto Vendido],STOCK[[#This Row],[Code]])</f>
        <v>2</v>
      </c>
      <c r="L199" s="92">
        <f>STOCK[[#This Row],[Entradas]]-STOCK[[#This Row],[Salidas]]</f>
        <v>0</v>
      </c>
      <c r="M199" s="77">
        <f>STOCK[[#This Row],[Precio Final]]*10%</f>
        <v>2.5</v>
      </c>
      <c r="N199" s="77">
        <v>249.2</v>
      </c>
      <c r="O199" s="77">
        <v>18</v>
      </c>
      <c r="P199" s="77">
        <v>13.8444444444444</v>
      </c>
      <c r="Q199" s="92">
        <v>345</v>
      </c>
      <c r="R199" s="77">
        <v>8</v>
      </c>
      <c r="S199" s="77">
        <f>STOCK[[#This Row],[Peso (g)]]*STOCK[[#This Row],[Precio Envío Kilogramo (USD)]]/1000</f>
        <v>2.76</v>
      </c>
      <c r="T199" s="76">
        <f>STOCK[[#This Row],[Costo Unitario (USD)]]+STOCK[[#This Row],[Costo Envío (USD)]]+STOCK[[#This Row],[Comisión 10%]]</f>
        <v>19.1044444444444</v>
      </c>
      <c r="U199" s="77">
        <f>STOCK[[#This Row],[Costo total]]*1.5</f>
        <v>28.6566666666666</v>
      </c>
      <c r="V199" s="77">
        <v>25</v>
      </c>
      <c r="W199" s="77">
        <f>STOCK[[#This Row],[Precio Final]]-STOCK[[#This Row],[Costo total]]</f>
        <v>5.8955555555556</v>
      </c>
      <c r="X199" s="77">
        <f>STOCK[[#This Row],[Ganancia Unitaria]]*STOCK[[#This Row],[Salidas]]</f>
        <v>11.7911111111112</v>
      </c>
      <c r="AA199" s="77">
        <f>STOCK[[#This Row],[Costo total]]*STOCK[[#This Row],[Entradas]]</f>
        <v>38.2088888888888</v>
      </c>
      <c r="AB199" s="77">
        <f>STOCK[[#This Row],[Stock Actual]]*STOCK[[#This Row],[Costo total]]</f>
        <v>0</v>
      </c>
    </row>
    <row r="200" s="76" customFormat="1" ht="50" hidden="1" customHeight="1" spans="1:28">
      <c r="A200" s="76" t="s">
        <v>438</v>
      </c>
      <c r="B200" s="6"/>
      <c r="C200" s="76" t="s">
        <v>30</v>
      </c>
      <c r="D200" s="76" t="s">
        <v>36</v>
      </c>
      <c r="E200" s="76" t="s">
        <v>98</v>
      </c>
      <c r="F200" s="76" t="s">
        <v>40</v>
      </c>
      <c r="G200" s="76" t="s">
        <v>34</v>
      </c>
      <c r="H200" s="76">
        <f>STOCK[[#This Row],[Precio Final]]</f>
        <v>28</v>
      </c>
      <c r="I200" s="76">
        <f>STOCK[[#This Row],[Precio Venta Ideal (x1.5)]]</f>
        <v>27.925</v>
      </c>
      <c r="J200" s="91">
        <v>0</v>
      </c>
      <c r="K200" s="91">
        <f>SUMIFS(VENTAS[Cantidad],VENTAS[Código del producto Vendido],STOCK[[#This Row],[Code]])</f>
        <v>0</v>
      </c>
      <c r="L200" s="91">
        <f>STOCK[[#This Row],[Entradas]]-STOCK[[#This Row],[Salidas]]</f>
        <v>0</v>
      </c>
      <c r="M200" s="76">
        <f>STOCK[[#This Row],[Precio Final]]*10%</f>
        <v>2.8</v>
      </c>
      <c r="N200" s="76">
        <v>241.5</v>
      </c>
      <c r="O200" s="76">
        <v>18</v>
      </c>
      <c r="P200" s="76">
        <v>13.4166666666667</v>
      </c>
      <c r="Q200" s="91">
        <v>300</v>
      </c>
      <c r="R200" s="76">
        <v>8</v>
      </c>
      <c r="S200" s="76">
        <f>STOCK[[#This Row],[Peso (g)]]*STOCK[[#This Row],[Precio Envío Kilogramo (USD)]]/1000</f>
        <v>2.4</v>
      </c>
      <c r="T200" s="76">
        <f>STOCK[[#This Row],[Costo Unitario (USD)]]+STOCK[[#This Row],[Costo Envío (USD)]]+STOCK[[#This Row],[Comisión 10%]]</f>
        <v>18.6166666666667</v>
      </c>
      <c r="U200" s="76">
        <f>STOCK[[#This Row],[Costo total]]*1.5</f>
        <v>27.925</v>
      </c>
      <c r="V200" s="76">
        <v>28</v>
      </c>
      <c r="W200" s="76">
        <f>STOCK[[#This Row],[Precio Final]]-STOCK[[#This Row],[Costo total]]</f>
        <v>9.3833333333333</v>
      </c>
      <c r="X200" s="76">
        <f>STOCK[[#This Row],[Ganancia Unitaria]]*STOCK[[#This Row],[Salidas]]</f>
        <v>0</v>
      </c>
      <c r="AA200" s="76">
        <f>STOCK[[#This Row],[Costo total]]*STOCK[[#This Row],[Entradas]]</f>
        <v>0</v>
      </c>
      <c r="AB200" s="76">
        <f>STOCK[[#This Row],[Stock Actual]]*STOCK[[#This Row],[Costo total]]</f>
        <v>0</v>
      </c>
    </row>
    <row r="201" s="77" customFormat="1" ht="50" hidden="1" customHeight="1" spans="1:29">
      <c r="A201" s="77" t="s">
        <v>439</v>
      </c>
      <c r="B201" s="6"/>
      <c r="C201" s="77" t="s">
        <v>30</v>
      </c>
      <c r="D201" s="77" t="s">
        <v>293</v>
      </c>
      <c r="E201" s="77" t="s">
        <v>440</v>
      </c>
      <c r="F201" s="77" t="s">
        <v>60</v>
      </c>
      <c r="G201" s="77" t="s">
        <v>34</v>
      </c>
      <c r="H201" s="77">
        <f>STOCK[[#This Row],[Precio Final]]</f>
        <v>12</v>
      </c>
      <c r="I201" s="77">
        <f>STOCK[[#This Row],[Precio Venta Ideal (x1.5)]]</f>
        <v>11.785</v>
      </c>
      <c r="J201" s="92">
        <v>1</v>
      </c>
      <c r="K201" s="92">
        <f>SUMIFS(VENTAS[Cantidad],VENTAS[Código del producto Vendido],STOCK[[#This Row],[Code]])</f>
        <v>0</v>
      </c>
      <c r="L201" s="92">
        <f>STOCK[[#This Row],[Entradas]]-STOCK[[#This Row],[Salidas]]</f>
        <v>1</v>
      </c>
      <c r="M201" s="77">
        <f>STOCK[[#This Row],[Precio Final]]*10%</f>
        <v>1.2</v>
      </c>
      <c r="N201" s="77">
        <v>115.5</v>
      </c>
      <c r="O201" s="77">
        <v>18</v>
      </c>
      <c r="P201" s="77">
        <v>6.41666666666667</v>
      </c>
      <c r="Q201" s="92">
        <v>30</v>
      </c>
      <c r="R201" s="77">
        <v>8</v>
      </c>
      <c r="S201" s="77">
        <f>STOCK[[#This Row],[Peso (g)]]*STOCK[[#This Row],[Precio Envío Kilogramo (USD)]]/1000</f>
        <v>0.24</v>
      </c>
      <c r="T201" s="76">
        <f>STOCK[[#This Row],[Costo Unitario (USD)]]+STOCK[[#This Row],[Costo Envío (USD)]]+STOCK[[#This Row],[Comisión 10%]]</f>
        <v>7.85666666666667</v>
      </c>
      <c r="U201" s="77">
        <f>STOCK[[#This Row],[Costo total]]*1.5</f>
        <v>11.785</v>
      </c>
      <c r="V201" s="77">
        <v>12</v>
      </c>
      <c r="W201" s="77">
        <f>STOCK[[#This Row],[Precio Final]]-STOCK[[#This Row],[Costo total]]</f>
        <v>4.14333333333333</v>
      </c>
      <c r="X201" s="77">
        <f>STOCK[[#This Row],[Ganancia Unitaria]]*STOCK[[#This Row],[Salidas]]</f>
        <v>0</v>
      </c>
      <c r="AA201" s="77">
        <f>STOCK[[#This Row],[Costo total]]*STOCK[[#This Row],[Entradas]]</f>
        <v>7.85666666666667</v>
      </c>
      <c r="AB201" s="77">
        <f>STOCK[[#This Row],[Stock Actual]]*STOCK[[#This Row],[Costo total]]</f>
        <v>7.85666666666667</v>
      </c>
      <c r="AC201" s="77">
        <v>10</v>
      </c>
    </row>
    <row r="202" s="76" customFormat="1" ht="50" hidden="1" customHeight="1" spans="1:28">
      <c r="A202" s="76" t="s">
        <v>441</v>
      </c>
      <c r="B202" s="6"/>
      <c r="C202" s="76" t="s">
        <v>30</v>
      </c>
      <c r="D202" s="76" t="s">
        <v>173</v>
      </c>
      <c r="E202" s="76" t="s">
        <v>442</v>
      </c>
      <c r="F202" s="76" t="s">
        <v>443</v>
      </c>
      <c r="G202" s="76" t="s">
        <v>34</v>
      </c>
      <c r="H202" s="76">
        <f>STOCK[[#This Row],[Precio Final]]</f>
        <v>12</v>
      </c>
      <c r="I202" s="76">
        <f>STOCK[[#This Row],[Precio Venta Ideal (x1.5)]]</f>
        <v>12.9516666666667</v>
      </c>
      <c r="J202" s="91">
        <v>1</v>
      </c>
      <c r="K202" s="91">
        <f>SUMIFS(VENTAS[Cantidad],VENTAS[Código del producto Vendido],STOCK[[#This Row],[Code]])</f>
        <v>1</v>
      </c>
      <c r="L202" s="91">
        <f>STOCK[[#This Row],[Entradas]]-STOCK[[#This Row],[Salidas]]</f>
        <v>0</v>
      </c>
      <c r="M202" s="76">
        <f>STOCK[[#This Row],[Precio Final]]*10%</f>
        <v>1.2</v>
      </c>
      <c r="N202" s="76">
        <v>129.5</v>
      </c>
      <c r="O202" s="76">
        <v>18</v>
      </c>
      <c r="P202" s="76">
        <v>7.19444444444444</v>
      </c>
      <c r="Q202" s="91">
        <v>30</v>
      </c>
      <c r="R202" s="76">
        <v>8</v>
      </c>
      <c r="S202" s="76">
        <f>STOCK[[#This Row],[Peso (g)]]*STOCK[[#This Row],[Precio Envío Kilogramo (USD)]]/1000</f>
        <v>0.24</v>
      </c>
      <c r="T202" s="76">
        <f>STOCK[[#This Row],[Costo Unitario (USD)]]+STOCK[[#This Row],[Costo Envío (USD)]]+STOCK[[#This Row],[Comisión 10%]]</f>
        <v>8.63444444444444</v>
      </c>
      <c r="U202" s="76">
        <f>STOCK[[#This Row],[Costo total]]*1.5</f>
        <v>12.9516666666667</v>
      </c>
      <c r="V202" s="76">
        <v>12</v>
      </c>
      <c r="W202" s="76">
        <f>STOCK[[#This Row],[Precio Final]]-STOCK[[#This Row],[Costo total]]</f>
        <v>3.36555555555556</v>
      </c>
      <c r="X202" s="76">
        <f>STOCK[[#This Row],[Ganancia Unitaria]]*STOCK[[#This Row],[Salidas]]</f>
        <v>3.36555555555556</v>
      </c>
      <c r="AA202" s="76">
        <f>STOCK[[#This Row],[Costo total]]*STOCK[[#This Row],[Entradas]]</f>
        <v>8.63444444444444</v>
      </c>
      <c r="AB202" s="76">
        <f>STOCK[[#This Row],[Stock Actual]]*STOCK[[#This Row],[Costo total]]</f>
        <v>0</v>
      </c>
    </row>
    <row r="203" s="77" customFormat="1" ht="50" hidden="1" customHeight="1" spans="1:28">
      <c r="A203" s="77" t="s">
        <v>444</v>
      </c>
      <c r="B203" s="6"/>
      <c r="C203" s="77" t="s">
        <v>30</v>
      </c>
      <c r="D203" s="77" t="s">
        <v>42</v>
      </c>
      <c r="E203" s="77" t="s">
        <v>445</v>
      </c>
      <c r="F203" s="77" t="s">
        <v>38</v>
      </c>
      <c r="G203" s="77" t="s">
        <v>34</v>
      </c>
      <c r="H203" s="77">
        <f>STOCK[[#This Row],[Precio Final]]</f>
        <v>16</v>
      </c>
      <c r="I203" s="77">
        <f>STOCK[[#This Row],[Precio Venta Ideal (x1.5)]]</f>
        <v>25.37</v>
      </c>
      <c r="J203" s="92">
        <v>1</v>
      </c>
      <c r="K203" s="92">
        <f>SUMIFS(VENTAS[Cantidad],VENTAS[Código del producto Vendido],STOCK[[#This Row],[Code]])</f>
        <v>1</v>
      </c>
      <c r="L203" s="92">
        <f>STOCK[[#This Row],[Entradas]]-STOCK[[#This Row],[Salidas]]</f>
        <v>0</v>
      </c>
      <c r="M203" s="77">
        <f>STOCK[[#This Row],[Precio Final]]*10%</f>
        <v>1.6</v>
      </c>
      <c r="N203" s="77">
        <v>256.2</v>
      </c>
      <c r="O203" s="77">
        <v>18</v>
      </c>
      <c r="P203" s="77">
        <v>14.2333333333333</v>
      </c>
      <c r="Q203" s="92">
        <v>135</v>
      </c>
      <c r="R203" s="77">
        <v>8</v>
      </c>
      <c r="S203" s="77">
        <f>STOCK[[#This Row],[Peso (g)]]*STOCK[[#This Row],[Precio Envío Kilogramo (USD)]]/1000</f>
        <v>1.08</v>
      </c>
      <c r="T203" s="76">
        <f>STOCK[[#This Row],[Costo Unitario (USD)]]+STOCK[[#This Row],[Costo Envío (USD)]]+STOCK[[#This Row],[Comisión 10%]]</f>
        <v>16.9133333333333</v>
      </c>
      <c r="U203" s="77">
        <f>STOCK[[#This Row],[Costo total]]*1.5</f>
        <v>25.37</v>
      </c>
      <c r="V203" s="77">
        <v>16</v>
      </c>
      <c r="W203" s="77">
        <f>STOCK[[#This Row],[Precio Final]]-STOCK[[#This Row],[Costo total]]</f>
        <v>-0.913333333333302</v>
      </c>
      <c r="X203" s="77">
        <f>STOCK[[#This Row],[Ganancia Unitaria]]*STOCK[[#This Row],[Salidas]]</f>
        <v>-0.913333333333302</v>
      </c>
      <c r="AA203" s="77">
        <f>STOCK[[#This Row],[Costo total]]*STOCK[[#This Row],[Entradas]]</f>
        <v>16.9133333333333</v>
      </c>
      <c r="AB203" s="77">
        <f>STOCK[[#This Row],[Stock Actual]]*STOCK[[#This Row],[Costo total]]</f>
        <v>0</v>
      </c>
    </row>
    <row r="204" s="76" customFormat="1" ht="50" hidden="1" customHeight="1" spans="1:28">
      <c r="A204" s="76" t="s">
        <v>446</v>
      </c>
      <c r="B204" s="6"/>
      <c r="C204" s="76" t="s">
        <v>30</v>
      </c>
      <c r="D204" s="76" t="s">
        <v>151</v>
      </c>
      <c r="E204" s="76" t="s">
        <v>447</v>
      </c>
      <c r="F204" s="76" t="s">
        <v>60</v>
      </c>
      <c r="G204" s="76" t="s">
        <v>34</v>
      </c>
      <c r="H204" s="76">
        <f>STOCK[[#This Row],[Precio Final]]</f>
        <v>15</v>
      </c>
      <c r="I204" s="76">
        <f>STOCK[[#This Row],[Precio Venta Ideal (x1.5)]]</f>
        <v>15.6416666666667</v>
      </c>
      <c r="J204" s="91">
        <v>1</v>
      </c>
      <c r="K204" s="91">
        <f>SUMIFS(VENTAS[Cantidad],VENTAS[Código del producto Vendido],STOCK[[#This Row],[Code]])</f>
        <v>1</v>
      </c>
      <c r="L204" s="91">
        <f>STOCK[[#This Row],[Entradas]]-STOCK[[#This Row],[Salidas]]</f>
        <v>0</v>
      </c>
      <c r="M204" s="76">
        <f>STOCK[[#This Row],[Precio Final]]*10%</f>
        <v>1.5</v>
      </c>
      <c r="N204" s="76">
        <v>146.3</v>
      </c>
      <c r="O204" s="76">
        <v>18</v>
      </c>
      <c r="P204" s="76">
        <v>8.12777777777778</v>
      </c>
      <c r="Q204" s="91">
        <v>100</v>
      </c>
      <c r="R204" s="76">
        <v>8</v>
      </c>
      <c r="S204" s="76">
        <f>STOCK[[#This Row],[Peso (g)]]*STOCK[[#This Row],[Precio Envío Kilogramo (USD)]]/1000</f>
        <v>0.8</v>
      </c>
      <c r="T204" s="76">
        <f>STOCK[[#This Row],[Costo Unitario (USD)]]+STOCK[[#This Row],[Costo Envío (USD)]]+STOCK[[#This Row],[Comisión 10%]]</f>
        <v>10.4277777777778</v>
      </c>
      <c r="U204" s="76">
        <f>STOCK[[#This Row],[Costo total]]*1.5</f>
        <v>15.6416666666667</v>
      </c>
      <c r="V204" s="76">
        <v>15</v>
      </c>
      <c r="W204" s="76">
        <f>STOCK[[#This Row],[Precio Final]]-STOCK[[#This Row],[Costo total]]</f>
        <v>4.57222222222222</v>
      </c>
      <c r="X204" s="76">
        <f>STOCK[[#This Row],[Ganancia Unitaria]]*STOCK[[#This Row],[Salidas]]</f>
        <v>4.57222222222222</v>
      </c>
      <c r="AA204" s="76">
        <f>STOCK[[#This Row],[Costo total]]*STOCK[[#This Row],[Entradas]]</f>
        <v>10.4277777777778</v>
      </c>
      <c r="AB204" s="76">
        <f>STOCK[[#This Row],[Stock Actual]]*STOCK[[#This Row],[Costo total]]</f>
        <v>0</v>
      </c>
    </row>
    <row r="205" s="77" customFormat="1" ht="50" hidden="1" customHeight="1" spans="1:28">
      <c r="A205" s="77" t="s">
        <v>448</v>
      </c>
      <c r="B205" s="6"/>
      <c r="C205" s="77" t="s">
        <v>30</v>
      </c>
      <c r="D205" s="77" t="s">
        <v>36</v>
      </c>
      <c r="E205" s="77" t="s">
        <v>98</v>
      </c>
      <c r="F205" s="77" t="s">
        <v>60</v>
      </c>
      <c r="G205" s="77" t="s">
        <v>34</v>
      </c>
      <c r="H205" s="77">
        <f>STOCK[[#This Row],[Precio Final]]</f>
        <v>25</v>
      </c>
      <c r="I205" s="77">
        <f>STOCK[[#This Row],[Precio Venta Ideal (x1.5)]]</f>
        <v>23.875</v>
      </c>
      <c r="J205" s="92">
        <v>2</v>
      </c>
      <c r="K205" s="92">
        <f>SUMIFS(VENTAS[Cantidad],VENTAS[Código del producto Vendido],STOCK[[#This Row],[Code]])</f>
        <v>2</v>
      </c>
      <c r="L205" s="92">
        <f>STOCK[[#This Row],[Entradas]]-STOCK[[#This Row],[Salidas]]</f>
        <v>0</v>
      </c>
      <c r="M205" s="77">
        <f>STOCK[[#This Row],[Precio Final]]*10%</f>
        <v>2.5</v>
      </c>
      <c r="N205" s="77">
        <v>241.5</v>
      </c>
      <c r="O205" s="77">
        <v>18</v>
      </c>
      <c r="P205" s="77">
        <v>13.4166666666667</v>
      </c>
      <c r="Q205" s="92"/>
      <c r="R205" s="77">
        <v>8</v>
      </c>
      <c r="S205" s="77">
        <f>STOCK[[#This Row],[Peso (g)]]*STOCK[[#This Row],[Precio Envío Kilogramo (USD)]]/1000</f>
        <v>0</v>
      </c>
      <c r="T205" s="76">
        <f>STOCK[[#This Row],[Costo Unitario (USD)]]+STOCK[[#This Row],[Costo Envío (USD)]]+STOCK[[#This Row],[Comisión 10%]]</f>
        <v>15.9166666666667</v>
      </c>
      <c r="U205" s="77">
        <f>STOCK[[#This Row],[Costo total]]*1.5</f>
        <v>23.875</v>
      </c>
      <c r="V205" s="77">
        <v>25</v>
      </c>
      <c r="W205" s="77">
        <f>STOCK[[#This Row],[Precio Final]]-STOCK[[#This Row],[Costo total]]</f>
        <v>9.0833333333333</v>
      </c>
      <c r="X205" s="77">
        <f>STOCK[[#This Row],[Ganancia Unitaria]]*STOCK[[#This Row],[Salidas]]</f>
        <v>18.1666666666666</v>
      </c>
      <c r="AA205" s="77">
        <f>STOCK[[#This Row],[Costo total]]*STOCK[[#This Row],[Entradas]]</f>
        <v>31.8333333333334</v>
      </c>
      <c r="AB205" s="77">
        <f>STOCK[[#This Row],[Stock Actual]]*STOCK[[#This Row],[Costo total]]</f>
        <v>0</v>
      </c>
    </row>
    <row r="206" s="76" customFormat="1" ht="50" hidden="1" customHeight="1" spans="1:28">
      <c r="A206" s="76" t="s">
        <v>449</v>
      </c>
      <c r="B206" s="6"/>
      <c r="C206" s="76" t="s">
        <v>30</v>
      </c>
      <c r="D206" s="76" t="s">
        <v>36</v>
      </c>
      <c r="E206" s="76" t="s">
        <v>98</v>
      </c>
      <c r="F206" s="76" t="s">
        <v>47</v>
      </c>
      <c r="G206" s="76" t="s">
        <v>34</v>
      </c>
      <c r="H206" s="76">
        <f>STOCK[[#This Row],[Precio Final]]</f>
        <v>25</v>
      </c>
      <c r="I206" s="76">
        <f>STOCK[[#This Row],[Precio Venta Ideal (x1.5)]]</f>
        <v>23.875</v>
      </c>
      <c r="J206" s="91">
        <v>4</v>
      </c>
      <c r="K206" s="91">
        <f>SUMIFS(VENTAS[Cantidad],VENTAS[Código del producto Vendido],STOCK[[#This Row],[Code]])</f>
        <v>4</v>
      </c>
      <c r="L206" s="91">
        <f>STOCK[[#This Row],[Entradas]]-STOCK[[#This Row],[Salidas]]</f>
        <v>0</v>
      </c>
      <c r="M206" s="76">
        <f>STOCK[[#This Row],[Precio Final]]*10%</f>
        <v>2.5</v>
      </c>
      <c r="N206" s="76">
        <v>241.5</v>
      </c>
      <c r="O206" s="76">
        <v>18</v>
      </c>
      <c r="P206" s="76">
        <v>13.4166666666667</v>
      </c>
      <c r="Q206" s="91"/>
      <c r="R206" s="76">
        <v>8</v>
      </c>
      <c r="S206" s="76">
        <f>STOCK[[#This Row],[Peso (g)]]*STOCK[[#This Row],[Precio Envío Kilogramo (USD)]]/1000</f>
        <v>0</v>
      </c>
      <c r="T206" s="76">
        <f>STOCK[[#This Row],[Costo Unitario (USD)]]+STOCK[[#This Row],[Costo Envío (USD)]]+STOCK[[#This Row],[Comisión 10%]]</f>
        <v>15.9166666666667</v>
      </c>
      <c r="U206" s="76">
        <f>STOCK[[#This Row],[Costo total]]*1.5</f>
        <v>23.875</v>
      </c>
      <c r="V206" s="76">
        <v>25</v>
      </c>
      <c r="W206" s="76">
        <f>STOCK[[#This Row],[Precio Final]]-STOCK[[#This Row],[Costo total]]</f>
        <v>9.0833333333333</v>
      </c>
      <c r="X206" s="76">
        <f>STOCK[[#This Row],[Ganancia Unitaria]]*STOCK[[#This Row],[Salidas]]</f>
        <v>36.3333333333332</v>
      </c>
      <c r="AA206" s="76">
        <f>STOCK[[#This Row],[Costo total]]*STOCK[[#This Row],[Entradas]]</f>
        <v>63.6666666666668</v>
      </c>
      <c r="AB206" s="76">
        <f>STOCK[[#This Row],[Stock Actual]]*STOCK[[#This Row],[Costo total]]</f>
        <v>0</v>
      </c>
    </row>
    <row r="207" s="77" customFormat="1" ht="50" hidden="1" customHeight="1" spans="1:28">
      <c r="A207" s="77" t="s">
        <v>450</v>
      </c>
      <c r="B207" s="6"/>
      <c r="C207" s="77" t="s">
        <v>30</v>
      </c>
      <c r="D207" s="77" t="s">
        <v>36</v>
      </c>
      <c r="E207" s="77" t="s">
        <v>98</v>
      </c>
      <c r="F207" s="77" t="s">
        <v>44</v>
      </c>
      <c r="G207" s="77" t="s">
        <v>34</v>
      </c>
      <c r="H207" s="77">
        <f>STOCK[[#This Row],[Precio Final]]</f>
        <v>25</v>
      </c>
      <c r="I207" s="77">
        <f>STOCK[[#This Row],[Precio Venta Ideal (x1.5)]]</f>
        <v>23.875</v>
      </c>
      <c r="J207" s="92">
        <v>2</v>
      </c>
      <c r="K207" s="92">
        <f>SUMIFS(VENTAS[Cantidad],VENTAS[Código del producto Vendido],STOCK[[#This Row],[Code]])</f>
        <v>2</v>
      </c>
      <c r="L207" s="92">
        <f>STOCK[[#This Row],[Entradas]]-STOCK[[#This Row],[Salidas]]</f>
        <v>0</v>
      </c>
      <c r="M207" s="77">
        <f>STOCK[[#This Row],[Precio Final]]*10%</f>
        <v>2.5</v>
      </c>
      <c r="N207" s="77">
        <v>241.5</v>
      </c>
      <c r="O207" s="77">
        <v>18</v>
      </c>
      <c r="P207" s="77">
        <v>13.4166666666667</v>
      </c>
      <c r="Q207" s="92"/>
      <c r="R207" s="77">
        <v>8</v>
      </c>
      <c r="S207" s="77">
        <f>STOCK[[#This Row],[Peso (g)]]*STOCK[[#This Row],[Precio Envío Kilogramo (USD)]]/1000</f>
        <v>0</v>
      </c>
      <c r="T207" s="76">
        <f>STOCK[[#This Row],[Costo Unitario (USD)]]+STOCK[[#This Row],[Costo Envío (USD)]]+STOCK[[#This Row],[Comisión 10%]]</f>
        <v>15.9166666666667</v>
      </c>
      <c r="U207" s="77">
        <f>STOCK[[#This Row],[Costo total]]*1.5</f>
        <v>23.875</v>
      </c>
      <c r="V207" s="77">
        <v>25</v>
      </c>
      <c r="W207" s="77">
        <f>STOCK[[#This Row],[Precio Final]]-STOCK[[#This Row],[Costo total]]</f>
        <v>9.0833333333333</v>
      </c>
      <c r="X207" s="77">
        <f>STOCK[[#This Row],[Ganancia Unitaria]]*STOCK[[#This Row],[Salidas]]</f>
        <v>18.1666666666666</v>
      </c>
      <c r="AA207" s="77">
        <f>STOCK[[#This Row],[Costo total]]*STOCK[[#This Row],[Entradas]]</f>
        <v>31.8333333333334</v>
      </c>
      <c r="AB207" s="77">
        <f>STOCK[[#This Row],[Stock Actual]]*STOCK[[#This Row],[Costo total]]</f>
        <v>0</v>
      </c>
    </row>
    <row r="208" s="76" customFormat="1" ht="50" hidden="1" customHeight="1" spans="1:28">
      <c r="A208" s="76" t="s">
        <v>451</v>
      </c>
      <c r="B208" s="6"/>
      <c r="C208" s="76" t="s">
        <v>30</v>
      </c>
      <c r="D208" s="76" t="s">
        <v>36</v>
      </c>
      <c r="E208" s="76" t="s">
        <v>452</v>
      </c>
      <c r="F208" s="76" t="s">
        <v>44</v>
      </c>
      <c r="G208" s="76" t="s">
        <v>34</v>
      </c>
      <c r="H208" s="76">
        <f>STOCK[[#This Row],[Precio Final]]</f>
        <v>28</v>
      </c>
      <c r="I208" s="76">
        <f>STOCK[[#This Row],[Precio Venta Ideal (x1.5)]]</f>
        <v>33.8916666666666</v>
      </c>
      <c r="J208" s="91">
        <v>4</v>
      </c>
      <c r="K208" s="91">
        <f>SUMIFS(VENTAS[Cantidad],VENTAS[Código del producto Vendido],STOCK[[#This Row],[Code]])</f>
        <v>4</v>
      </c>
      <c r="L208" s="91">
        <f>STOCK[[#This Row],[Entradas]]-STOCK[[#This Row],[Salidas]]</f>
        <v>0</v>
      </c>
      <c r="M208" s="76">
        <f>STOCK[[#This Row],[Precio Final]]*10%</f>
        <v>2.8</v>
      </c>
      <c r="N208" s="76">
        <v>249.2</v>
      </c>
      <c r="O208" s="76">
        <v>18</v>
      </c>
      <c r="P208" s="76">
        <v>13.8444444444444</v>
      </c>
      <c r="Q208" s="91">
        <v>340</v>
      </c>
      <c r="R208" s="76">
        <v>17.5</v>
      </c>
      <c r="S208" s="76">
        <f>STOCK[[#This Row],[Peso (g)]]*STOCK[[#This Row],[Precio Envío Kilogramo (USD)]]/1000</f>
        <v>5.95</v>
      </c>
      <c r="T208" s="76">
        <f>STOCK[[#This Row],[Costo Unitario (USD)]]+STOCK[[#This Row],[Costo Envío (USD)]]+STOCK[[#This Row],[Comisión 10%]]</f>
        <v>22.5944444444444</v>
      </c>
      <c r="U208" s="76">
        <f>STOCK[[#This Row],[Costo total]]*1.5</f>
        <v>33.8916666666666</v>
      </c>
      <c r="V208" s="76">
        <v>28</v>
      </c>
      <c r="W208" s="76">
        <f>STOCK[[#This Row],[Precio Final]]-STOCK[[#This Row],[Costo total]]</f>
        <v>5.4055555555556</v>
      </c>
      <c r="X208" s="76">
        <f>STOCK[[#This Row],[Ganancia Unitaria]]*STOCK[[#This Row],[Salidas]]</f>
        <v>21.6222222222224</v>
      </c>
      <c r="AA208" s="76">
        <f>STOCK[[#This Row],[Costo total]]*STOCK[[#This Row],[Entradas]]</f>
        <v>90.3777777777776</v>
      </c>
      <c r="AB208" s="76">
        <f>STOCK[[#This Row],[Stock Actual]]*STOCK[[#This Row],[Costo total]]</f>
        <v>0</v>
      </c>
    </row>
    <row r="209" s="77" customFormat="1" ht="50" hidden="1" customHeight="1" spans="1:28">
      <c r="A209" s="77" t="s">
        <v>453</v>
      </c>
      <c r="B209" s="6"/>
      <c r="C209" s="77" t="s">
        <v>30</v>
      </c>
      <c r="D209" s="77" t="s">
        <v>36</v>
      </c>
      <c r="E209" s="77" t="s">
        <v>452</v>
      </c>
      <c r="F209" s="77" t="s">
        <v>47</v>
      </c>
      <c r="G209" s="77" t="s">
        <v>34</v>
      </c>
      <c r="H209" s="77">
        <f>STOCK[[#This Row],[Precio Final]]</f>
        <v>25</v>
      </c>
      <c r="I209" s="77">
        <f>STOCK[[#This Row],[Precio Venta Ideal (x1.5)]]</f>
        <v>33.4416666666666</v>
      </c>
      <c r="J209" s="92">
        <v>4</v>
      </c>
      <c r="K209" s="92">
        <f>SUMIFS(VENTAS[Cantidad],VENTAS[Código del producto Vendido],STOCK[[#This Row],[Code]])</f>
        <v>4</v>
      </c>
      <c r="L209" s="92">
        <f>STOCK[[#This Row],[Entradas]]-STOCK[[#This Row],[Salidas]]</f>
        <v>0</v>
      </c>
      <c r="M209" s="77">
        <f>STOCK[[#This Row],[Precio Final]]*10%</f>
        <v>2.5</v>
      </c>
      <c r="N209" s="77">
        <v>249.2</v>
      </c>
      <c r="O209" s="77">
        <v>18</v>
      </c>
      <c r="P209" s="77">
        <v>13.8444444444444</v>
      </c>
      <c r="Q209" s="92">
        <v>340</v>
      </c>
      <c r="R209" s="77">
        <v>17.5</v>
      </c>
      <c r="S209" s="77">
        <f>STOCK[[#This Row],[Peso (g)]]*STOCK[[#This Row],[Precio Envío Kilogramo (USD)]]/1000</f>
        <v>5.95</v>
      </c>
      <c r="T209" s="76">
        <f>STOCK[[#This Row],[Costo Unitario (USD)]]+STOCK[[#This Row],[Costo Envío (USD)]]+STOCK[[#This Row],[Comisión 10%]]</f>
        <v>22.2944444444444</v>
      </c>
      <c r="U209" s="77">
        <f>STOCK[[#This Row],[Costo total]]*1.5</f>
        <v>33.4416666666666</v>
      </c>
      <c r="V209" s="77">
        <v>25</v>
      </c>
      <c r="W209" s="77">
        <f>STOCK[[#This Row],[Precio Final]]-STOCK[[#This Row],[Costo total]]</f>
        <v>2.7055555555556</v>
      </c>
      <c r="X209" s="77">
        <f>STOCK[[#This Row],[Ganancia Unitaria]]*STOCK[[#This Row],[Salidas]]</f>
        <v>10.8222222222224</v>
      </c>
      <c r="AA209" s="77">
        <f>STOCK[[#This Row],[Costo total]]*STOCK[[#This Row],[Entradas]]</f>
        <v>89.1777777777776</v>
      </c>
      <c r="AB209" s="77">
        <f>STOCK[[#This Row],[Stock Actual]]*STOCK[[#This Row],[Costo total]]</f>
        <v>0</v>
      </c>
    </row>
    <row r="210" s="76" customFormat="1" ht="50" hidden="1" customHeight="1" spans="1:28">
      <c r="A210" s="76" t="s">
        <v>454</v>
      </c>
      <c r="B210" s="6"/>
      <c r="C210" s="76" t="s">
        <v>30</v>
      </c>
      <c r="D210" s="76" t="s">
        <v>36</v>
      </c>
      <c r="E210" s="76" t="s">
        <v>455</v>
      </c>
      <c r="F210" s="76" t="s">
        <v>60</v>
      </c>
      <c r="G210" s="76" t="s">
        <v>34</v>
      </c>
      <c r="H210" s="76">
        <f>STOCK[[#This Row],[Precio Final]]</f>
        <v>25</v>
      </c>
      <c r="I210" s="76">
        <f>STOCK[[#This Row],[Precio Venta Ideal (x1.5)]]</f>
        <v>28.7166666666666</v>
      </c>
      <c r="J210" s="91">
        <v>1</v>
      </c>
      <c r="K210" s="91">
        <f>SUMIFS(VENTAS[Cantidad],VENTAS[Código del producto Vendido],STOCK[[#This Row],[Code]])</f>
        <v>1</v>
      </c>
      <c r="L210" s="91">
        <f>STOCK[[#This Row],[Entradas]]-STOCK[[#This Row],[Salidas]]</f>
        <v>0</v>
      </c>
      <c r="M210" s="76">
        <f>STOCK[[#This Row],[Precio Final]]*10%</f>
        <v>2.5</v>
      </c>
      <c r="N210" s="76">
        <v>249.2</v>
      </c>
      <c r="O210" s="76">
        <v>18</v>
      </c>
      <c r="P210" s="76">
        <v>13.8444444444444</v>
      </c>
      <c r="Q210" s="91">
        <v>350</v>
      </c>
      <c r="R210" s="76">
        <v>8</v>
      </c>
      <c r="S210" s="76">
        <f>STOCK[[#This Row],[Peso (g)]]*STOCK[[#This Row],[Precio Envío Kilogramo (USD)]]/1000</f>
        <v>2.8</v>
      </c>
      <c r="T210" s="76">
        <f>STOCK[[#This Row],[Costo Unitario (USD)]]+STOCK[[#This Row],[Costo Envío (USD)]]+STOCK[[#This Row],[Comisión 10%]]</f>
        <v>19.1444444444444</v>
      </c>
      <c r="U210" s="76">
        <f>STOCK[[#This Row],[Costo total]]*1.5</f>
        <v>28.7166666666666</v>
      </c>
      <c r="V210" s="76">
        <v>25</v>
      </c>
      <c r="W210" s="76">
        <f>STOCK[[#This Row],[Precio Final]]-STOCK[[#This Row],[Costo total]]</f>
        <v>5.8555555555556</v>
      </c>
      <c r="X210" s="76">
        <f>STOCK[[#This Row],[Ganancia Unitaria]]*STOCK[[#This Row],[Salidas]]</f>
        <v>5.8555555555556</v>
      </c>
      <c r="AA210" s="76">
        <f>STOCK[[#This Row],[Costo total]]*STOCK[[#This Row],[Entradas]]</f>
        <v>19.1444444444444</v>
      </c>
      <c r="AB210" s="76">
        <f>STOCK[[#This Row],[Stock Actual]]*STOCK[[#This Row],[Costo total]]</f>
        <v>0</v>
      </c>
    </row>
    <row r="211" s="77" customFormat="1" ht="50" hidden="1" customHeight="1" spans="1:28">
      <c r="A211" s="77" t="s">
        <v>456</v>
      </c>
      <c r="B211" s="6"/>
      <c r="C211" s="77" t="s">
        <v>30</v>
      </c>
      <c r="D211" s="77" t="s">
        <v>350</v>
      </c>
      <c r="E211" s="77" t="s">
        <v>457</v>
      </c>
      <c r="F211" s="77" t="s">
        <v>387</v>
      </c>
      <c r="G211" s="77" t="s">
        <v>34</v>
      </c>
      <c r="H211" s="77">
        <f>STOCK[[#This Row],[Precio Final]]</f>
        <v>15</v>
      </c>
      <c r="I211" s="77">
        <f>STOCK[[#This Row],[Precio Venta Ideal (x1.5)]]</f>
        <v>16.575</v>
      </c>
      <c r="J211" s="92">
        <v>2</v>
      </c>
      <c r="K211" s="92">
        <f>SUMIFS(VENTAS[Cantidad],VENTAS[Código del producto Vendido],STOCK[[#This Row],[Code]])</f>
        <v>2</v>
      </c>
      <c r="L211" s="92">
        <f>STOCK[[#This Row],[Entradas]]-STOCK[[#This Row],[Salidas]]</f>
        <v>0</v>
      </c>
      <c r="M211" s="77">
        <f>STOCK[[#This Row],[Precio Final]]*10%</f>
        <v>1.5</v>
      </c>
      <c r="N211" s="77">
        <v>143.1</v>
      </c>
      <c r="O211" s="77">
        <v>18</v>
      </c>
      <c r="P211" s="77">
        <v>7.95</v>
      </c>
      <c r="Q211" s="92">
        <v>200</v>
      </c>
      <c r="R211" s="77">
        <v>8</v>
      </c>
      <c r="S211" s="77">
        <f>STOCK[[#This Row],[Peso (g)]]*STOCK[[#This Row],[Precio Envío Kilogramo (USD)]]/1000</f>
        <v>1.6</v>
      </c>
      <c r="T211" s="76">
        <f>STOCK[[#This Row],[Costo Unitario (USD)]]+STOCK[[#This Row],[Costo Envío (USD)]]+STOCK[[#This Row],[Comisión 10%]]</f>
        <v>11.05</v>
      </c>
      <c r="U211" s="77">
        <f>STOCK[[#This Row],[Costo total]]*1.5</f>
        <v>16.575</v>
      </c>
      <c r="V211" s="77">
        <v>15</v>
      </c>
      <c r="W211" s="77">
        <f>STOCK[[#This Row],[Precio Final]]-STOCK[[#This Row],[Costo total]]</f>
        <v>3.95</v>
      </c>
      <c r="X211" s="77">
        <f>STOCK[[#This Row],[Ganancia Unitaria]]*STOCK[[#This Row],[Salidas]]</f>
        <v>7.9</v>
      </c>
      <c r="AA211" s="77">
        <f>STOCK[[#This Row],[Costo total]]*STOCK[[#This Row],[Entradas]]</f>
        <v>22.1</v>
      </c>
      <c r="AB211" s="77">
        <f>STOCK[[#This Row],[Stock Actual]]*STOCK[[#This Row],[Costo total]]</f>
        <v>0</v>
      </c>
    </row>
    <row r="212" s="76" customFormat="1" ht="50" hidden="1" customHeight="1" spans="1:28">
      <c r="A212" s="76" t="s">
        <v>458</v>
      </c>
      <c r="B212" s="6"/>
      <c r="C212" s="76" t="s">
        <v>30</v>
      </c>
      <c r="D212" s="76" t="s">
        <v>36</v>
      </c>
      <c r="E212" s="76" t="s">
        <v>459</v>
      </c>
      <c r="F212" s="76" t="s">
        <v>47</v>
      </c>
      <c r="G212" s="76" t="s">
        <v>34</v>
      </c>
      <c r="H212" s="76">
        <f>STOCK[[#This Row],[Precio Final]]</f>
        <v>22</v>
      </c>
      <c r="I212" s="76">
        <f>STOCK[[#This Row],[Precio Venta Ideal (x1.5)]]</f>
        <v>20.1033333333333</v>
      </c>
      <c r="J212" s="91">
        <v>1</v>
      </c>
      <c r="K212" s="91">
        <f>SUMIFS(VENTAS[Cantidad],VENTAS[Código del producto Vendido],STOCK[[#This Row],[Code]])</f>
        <v>1</v>
      </c>
      <c r="L212" s="91">
        <f>STOCK[[#This Row],[Entradas]]-STOCK[[#This Row],[Salidas]]</f>
        <v>0</v>
      </c>
      <c r="M212" s="76">
        <f>STOCK[[#This Row],[Precio Final]]*10%</f>
        <v>2.2</v>
      </c>
      <c r="N212" s="76">
        <v>201.64</v>
      </c>
      <c r="O212" s="76">
        <v>18</v>
      </c>
      <c r="P212" s="76">
        <v>11.2022222222222</v>
      </c>
      <c r="Q212" s="91"/>
      <c r="S212" s="76">
        <f>STOCK[[#This Row],[Peso (g)]]*STOCK[[#This Row],[Precio Envío Kilogramo (USD)]]/1000</f>
        <v>0</v>
      </c>
      <c r="T212" s="76">
        <f>STOCK[[#This Row],[Costo Unitario (USD)]]+STOCK[[#This Row],[Costo Envío (USD)]]+STOCK[[#This Row],[Comisión 10%]]</f>
        <v>13.4022222222222</v>
      </c>
      <c r="U212" s="76">
        <f>STOCK[[#This Row],[Costo total]]*1.5</f>
        <v>20.1033333333333</v>
      </c>
      <c r="V212" s="76">
        <v>22</v>
      </c>
      <c r="W212" s="76">
        <f>STOCK[[#This Row],[Precio Final]]-STOCK[[#This Row],[Costo total]]</f>
        <v>8.5977777777778</v>
      </c>
      <c r="X212" s="76">
        <f>STOCK[[#This Row],[Ganancia Unitaria]]*STOCK[[#This Row],[Salidas]]</f>
        <v>8.5977777777778</v>
      </c>
      <c r="AA212" s="76">
        <f>STOCK[[#This Row],[Costo total]]*STOCK[[#This Row],[Entradas]]</f>
        <v>13.4022222222222</v>
      </c>
      <c r="AB212" s="76">
        <f>STOCK[[#This Row],[Stock Actual]]*STOCK[[#This Row],[Costo total]]</f>
        <v>0</v>
      </c>
    </row>
    <row r="213" s="77" customFormat="1" ht="50" hidden="1" customHeight="1" spans="1:28">
      <c r="A213" s="77" t="s">
        <v>460</v>
      </c>
      <c r="B213" s="6"/>
      <c r="C213" s="77" t="s">
        <v>30</v>
      </c>
      <c r="D213" s="77" t="s">
        <v>36</v>
      </c>
      <c r="E213" s="77" t="s">
        <v>461</v>
      </c>
      <c r="F213" s="77" t="s">
        <v>47</v>
      </c>
      <c r="G213" s="77" t="s">
        <v>34</v>
      </c>
      <c r="H213" s="77">
        <f>STOCK[[#This Row],[Precio Final]]</f>
        <v>22</v>
      </c>
      <c r="I213" s="77">
        <f>STOCK[[#This Row],[Precio Venta Ideal (x1.5)]]</f>
        <v>20.4041666666667</v>
      </c>
      <c r="J213" s="92">
        <v>1</v>
      </c>
      <c r="K213" s="92">
        <f>SUMIFS(VENTAS[Cantidad],VENTAS[Código del producto Vendido],STOCK[[#This Row],[Code]])</f>
        <v>1</v>
      </c>
      <c r="L213" s="92">
        <f>STOCK[[#This Row],[Entradas]]-STOCK[[#This Row],[Salidas]]</f>
        <v>0</v>
      </c>
      <c r="M213" s="77">
        <f>STOCK[[#This Row],[Precio Final]]*10%</f>
        <v>2.2</v>
      </c>
      <c r="N213" s="77">
        <v>205.25</v>
      </c>
      <c r="O213" s="77">
        <v>18</v>
      </c>
      <c r="P213" s="77">
        <v>11.4027777777778</v>
      </c>
      <c r="Q213" s="92"/>
      <c r="S213" s="77">
        <f>STOCK[[#This Row],[Peso (g)]]*STOCK[[#This Row],[Precio Envío Kilogramo (USD)]]/1000</f>
        <v>0</v>
      </c>
      <c r="T213" s="76">
        <f>STOCK[[#This Row],[Costo Unitario (USD)]]+STOCK[[#This Row],[Costo Envío (USD)]]+STOCK[[#This Row],[Comisión 10%]]</f>
        <v>13.6027777777778</v>
      </c>
      <c r="U213" s="77">
        <f>STOCK[[#This Row],[Costo total]]*1.5</f>
        <v>20.4041666666667</v>
      </c>
      <c r="V213" s="77">
        <v>22</v>
      </c>
      <c r="W213" s="77">
        <f>STOCK[[#This Row],[Precio Final]]-STOCK[[#This Row],[Costo total]]</f>
        <v>8.3972222222222</v>
      </c>
      <c r="X213" s="77">
        <f>STOCK[[#This Row],[Ganancia Unitaria]]*STOCK[[#This Row],[Salidas]]</f>
        <v>8.3972222222222</v>
      </c>
      <c r="AA213" s="77">
        <f>STOCK[[#This Row],[Costo total]]*STOCK[[#This Row],[Entradas]]</f>
        <v>13.6027777777778</v>
      </c>
      <c r="AB213" s="77">
        <f>STOCK[[#This Row],[Stock Actual]]*STOCK[[#This Row],[Costo total]]</f>
        <v>0</v>
      </c>
    </row>
    <row r="214" s="76" customFormat="1" ht="50" hidden="1" customHeight="1" spans="1:28">
      <c r="A214" s="76" t="s">
        <v>462</v>
      </c>
      <c r="B214" s="6"/>
      <c r="C214" s="76" t="s">
        <v>30</v>
      </c>
      <c r="D214" s="76" t="s">
        <v>42</v>
      </c>
      <c r="E214" s="76" t="s">
        <v>463</v>
      </c>
      <c r="F214" s="76" t="s">
        <v>38</v>
      </c>
      <c r="G214" s="76" t="s">
        <v>34</v>
      </c>
      <c r="H214" s="76">
        <f>STOCK[[#This Row],[Precio Final]]</f>
        <v>25</v>
      </c>
      <c r="I214" s="76">
        <f>STOCK[[#This Row],[Precio Venta Ideal (x1.5)]]</f>
        <v>20.54</v>
      </c>
      <c r="J214" s="91">
        <v>1</v>
      </c>
      <c r="K214" s="91">
        <f>SUMIFS(VENTAS[Cantidad],VENTAS[Código del producto Vendido],STOCK[[#This Row],[Code]])</f>
        <v>1</v>
      </c>
      <c r="L214" s="91">
        <f>STOCK[[#This Row],[Entradas]]-STOCK[[#This Row],[Salidas]]</f>
        <v>0</v>
      </c>
      <c r="M214" s="76">
        <f>STOCK[[#This Row],[Precio Final]]*10%</f>
        <v>2.5</v>
      </c>
      <c r="N214" s="76">
        <v>159</v>
      </c>
      <c r="O214" s="76">
        <v>18</v>
      </c>
      <c r="P214" s="76">
        <v>8.83333333333333</v>
      </c>
      <c r="Q214" s="91">
        <v>295</v>
      </c>
      <c r="R214" s="76">
        <v>8</v>
      </c>
      <c r="S214" s="76">
        <f>STOCK[[#This Row],[Peso (g)]]*STOCK[[#This Row],[Precio Envío Kilogramo (USD)]]/1000</f>
        <v>2.36</v>
      </c>
      <c r="T214" s="76">
        <f>STOCK[[#This Row],[Costo Unitario (USD)]]+STOCK[[#This Row],[Costo Envío (USD)]]+STOCK[[#This Row],[Comisión 10%]]</f>
        <v>13.6933333333333</v>
      </c>
      <c r="U214" s="76">
        <f>STOCK[[#This Row],[Costo total]]*1.5</f>
        <v>20.54</v>
      </c>
      <c r="V214" s="76">
        <v>25</v>
      </c>
      <c r="W214" s="76">
        <f>STOCK[[#This Row],[Precio Final]]-STOCK[[#This Row],[Costo total]]</f>
        <v>11.3066666666667</v>
      </c>
      <c r="X214" s="76">
        <f>STOCK[[#This Row],[Ganancia Unitaria]]*STOCK[[#This Row],[Salidas]]</f>
        <v>11.3066666666667</v>
      </c>
      <c r="AA214" s="76">
        <f>STOCK[[#This Row],[Costo total]]*STOCK[[#This Row],[Entradas]]</f>
        <v>13.6933333333333</v>
      </c>
      <c r="AB214" s="76">
        <f>STOCK[[#This Row],[Stock Actual]]*STOCK[[#This Row],[Costo total]]</f>
        <v>0</v>
      </c>
    </row>
    <row r="215" s="77" customFormat="1" ht="50" hidden="1" customHeight="1" spans="1:29">
      <c r="A215" s="77" t="s">
        <v>464</v>
      </c>
      <c r="B215" s="6"/>
      <c r="C215" s="77" t="s">
        <v>30</v>
      </c>
      <c r="D215" s="77" t="s">
        <v>215</v>
      </c>
      <c r="E215" s="77" t="s">
        <v>465</v>
      </c>
      <c r="F215" s="77" t="s">
        <v>38</v>
      </c>
      <c r="G215" s="77" t="s">
        <v>34</v>
      </c>
      <c r="H215" s="77">
        <f>STOCK[[#This Row],[Precio Final]]</f>
        <v>25</v>
      </c>
      <c r="I215" s="77">
        <f>STOCK[[#This Row],[Precio Venta Ideal (x1.5)]]</f>
        <v>28.4825</v>
      </c>
      <c r="J215" s="92">
        <v>1</v>
      </c>
      <c r="K215" s="92">
        <f>SUMIFS(VENTAS[Cantidad],VENTAS[Código del producto Vendido],STOCK[[#This Row],[Code]])</f>
        <v>0</v>
      </c>
      <c r="L215" s="92">
        <f>STOCK[[#This Row],[Entradas]]-STOCK[[#This Row],[Salidas]]</f>
        <v>1</v>
      </c>
      <c r="M215" s="77">
        <f>STOCK[[#This Row],[Precio Final]]*10%</f>
        <v>2.5</v>
      </c>
      <c r="N215" s="77">
        <v>249.99</v>
      </c>
      <c r="O215" s="77">
        <v>18</v>
      </c>
      <c r="P215" s="77">
        <v>13.8883333333333</v>
      </c>
      <c r="Q215" s="92">
        <v>325</v>
      </c>
      <c r="R215" s="77">
        <v>8</v>
      </c>
      <c r="S215" s="77">
        <f>STOCK[[#This Row],[Peso (g)]]*STOCK[[#This Row],[Precio Envío Kilogramo (USD)]]/1000</f>
        <v>2.6</v>
      </c>
      <c r="T215" s="76">
        <f>STOCK[[#This Row],[Costo Unitario (USD)]]+STOCK[[#This Row],[Costo Envío (USD)]]+STOCK[[#This Row],[Comisión 10%]]</f>
        <v>18.9883333333333</v>
      </c>
      <c r="U215" s="77">
        <f>STOCK[[#This Row],[Costo total]]*1.5</f>
        <v>28.4825</v>
      </c>
      <c r="V215" s="77">
        <v>25</v>
      </c>
      <c r="W215" s="77">
        <f>STOCK[[#This Row],[Precio Final]]-STOCK[[#This Row],[Costo total]]</f>
        <v>6.0116666666667</v>
      </c>
      <c r="X215" s="77">
        <f>STOCK[[#This Row],[Ganancia Unitaria]]*STOCK[[#This Row],[Salidas]]</f>
        <v>0</v>
      </c>
      <c r="AA215" s="77">
        <f>STOCK[[#This Row],[Costo total]]*STOCK[[#This Row],[Entradas]]</f>
        <v>18.9883333333333</v>
      </c>
      <c r="AB215" s="77">
        <f>STOCK[[#This Row],[Stock Actual]]*STOCK[[#This Row],[Costo total]]</f>
        <v>18.9883333333333</v>
      </c>
      <c r="AC215" s="77">
        <v>20</v>
      </c>
    </row>
    <row r="216" s="76" customFormat="1" ht="50" hidden="1" customHeight="1" spans="1:29">
      <c r="A216" s="76" t="s">
        <v>466</v>
      </c>
      <c r="B216" s="6"/>
      <c r="C216" s="76" t="s">
        <v>30</v>
      </c>
      <c r="D216" s="77" t="s">
        <v>215</v>
      </c>
      <c r="E216" s="76" t="s">
        <v>465</v>
      </c>
      <c r="F216" s="76" t="s">
        <v>47</v>
      </c>
      <c r="G216" s="76" t="s">
        <v>34</v>
      </c>
      <c r="H216" s="76">
        <f>STOCK[[#This Row],[Precio Final]]</f>
        <v>25</v>
      </c>
      <c r="I216" s="76">
        <f>STOCK[[#This Row],[Precio Venta Ideal (x1.5)]]</f>
        <v>28.4825</v>
      </c>
      <c r="J216" s="91">
        <v>1</v>
      </c>
      <c r="K216" s="91">
        <f>SUMIFS(VENTAS[Cantidad],VENTAS[Código del producto Vendido],STOCK[[#This Row],[Code]])</f>
        <v>0</v>
      </c>
      <c r="L216" s="91">
        <f>STOCK[[#This Row],[Entradas]]-STOCK[[#This Row],[Salidas]]</f>
        <v>1</v>
      </c>
      <c r="M216" s="76">
        <f>STOCK[[#This Row],[Precio Final]]*10%</f>
        <v>2.5</v>
      </c>
      <c r="N216" s="76">
        <v>249.99</v>
      </c>
      <c r="O216" s="76">
        <v>18</v>
      </c>
      <c r="P216" s="76">
        <v>13.8883333333333</v>
      </c>
      <c r="Q216" s="91">
        <v>325</v>
      </c>
      <c r="R216" s="76">
        <v>8</v>
      </c>
      <c r="S216" s="76">
        <f>STOCK[[#This Row],[Peso (g)]]*STOCK[[#This Row],[Precio Envío Kilogramo (USD)]]/1000</f>
        <v>2.6</v>
      </c>
      <c r="T216" s="76">
        <f>STOCK[[#This Row],[Costo Unitario (USD)]]+STOCK[[#This Row],[Costo Envío (USD)]]+STOCK[[#This Row],[Comisión 10%]]</f>
        <v>18.9883333333333</v>
      </c>
      <c r="U216" s="76">
        <f>STOCK[[#This Row],[Costo total]]*1.5</f>
        <v>28.4825</v>
      </c>
      <c r="V216" s="76">
        <v>25</v>
      </c>
      <c r="W216" s="76">
        <f>STOCK[[#This Row],[Precio Final]]-STOCK[[#This Row],[Costo total]]</f>
        <v>6.0116666666667</v>
      </c>
      <c r="X216" s="76">
        <f>STOCK[[#This Row],[Ganancia Unitaria]]*STOCK[[#This Row],[Salidas]]</f>
        <v>0</v>
      </c>
      <c r="AA216" s="76">
        <f>STOCK[[#This Row],[Costo total]]*STOCK[[#This Row],[Entradas]]</f>
        <v>18.9883333333333</v>
      </c>
      <c r="AB216" s="76">
        <f>STOCK[[#This Row],[Stock Actual]]*STOCK[[#This Row],[Costo total]]</f>
        <v>18.9883333333333</v>
      </c>
      <c r="AC216" s="76">
        <v>20</v>
      </c>
    </row>
    <row r="217" s="77" customFormat="1" ht="50" hidden="1" customHeight="1" spans="1:29">
      <c r="A217" s="77" t="s">
        <v>467</v>
      </c>
      <c r="B217" s="6"/>
      <c r="C217" s="77" t="s">
        <v>30</v>
      </c>
      <c r="D217" s="77" t="s">
        <v>468</v>
      </c>
      <c r="E217" s="77" t="s">
        <v>469</v>
      </c>
      <c r="F217" s="77" t="s">
        <v>470</v>
      </c>
      <c r="G217" s="77" t="s">
        <v>34</v>
      </c>
      <c r="H217" s="77">
        <f>STOCK[[#This Row],[Precio Final]]</f>
        <v>35</v>
      </c>
      <c r="I217" s="77">
        <f>STOCK[[#This Row],[Precio Venta Ideal (x1.5)]]</f>
        <v>30.5908333333334</v>
      </c>
      <c r="J217" s="92">
        <v>1</v>
      </c>
      <c r="K217" s="92">
        <f>SUMIFS(VENTAS[Cantidad],VENTAS[Código del producto Vendido],STOCK[[#This Row],[Code]])</f>
        <v>0</v>
      </c>
      <c r="L217" s="92">
        <f>STOCK[[#This Row],[Entradas]]-STOCK[[#This Row],[Salidas]]</f>
        <v>1</v>
      </c>
      <c r="M217" s="77">
        <f>STOCK[[#This Row],[Precio Final]]*10%</f>
        <v>3.5</v>
      </c>
      <c r="N217" s="77">
        <v>239.29</v>
      </c>
      <c r="O217" s="77">
        <v>18</v>
      </c>
      <c r="P217" s="77">
        <v>13.2938888888889</v>
      </c>
      <c r="Q217" s="92">
        <v>450</v>
      </c>
      <c r="R217" s="77">
        <v>8</v>
      </c>
      <c r="S217" s="77">
        <f>STOCK[[#This Row],[Peso (g)]]*STOCK[[#This Row],[Precio Envío Kilogramo (USD)]]/1000</f>
        <v>3.6</v>
      </c>
      <c r="T217" s="76">
        <f>STOCK[[#This Row],[Costo Unitario (USD)]]+STOCK[[#This Row],[Costo Envío (USD)]]+STOCK[[#This Row],[Comisión 10%]]</f>
        <v>20.3938888888889</v>
      </c>
      <c r="U217" s="77">
        <f>STOCK[[#This Row],[Costo total]]*1.5</f>
        <v>30.5908333333334</v>
      </c>
      <c r="V217" s="77">
        <v>35</v>
      </c>
      <c r="W217" s="77">
        <f>STOCK[[#This Row],[Precio Final]]-STOCK[[#This Row],[Costo total]]</f>
        <v>14.6061111111111</v>
      </c>
      <c r="X217" s="77">
        <f>STOCK[[#This Row],[Ganancia Unitaria]]*STOCK[[#This Row],[Salidas]]</f>
        <v>0</v>
      </c>
      <c r="AA217" s="77">
        <f>STOCK[[#This Row],[Costo total]]*STOCK[[#This Row],[Entradas]]</f>
        <v>20.3938888888889</v>
      </c>
      <c r="AB217" s="77">
        <f>STOCK[[#This Row],[Stock Actual]]*STOCK[[#This Row],[Costo total]]</f>
        <v>20.3938888888889</v>
      </c>
      <c r="AC217" s="77">
        <v>25</v>
      </c>
    </row>
    <row r="218" s="76" customFormat="1" ht="50" hidden="1" customHeight="1" spans="1:29">
      <c r="A218" s="76" t="s">
        <v>471</v>
      </c>
      <c r="B218" s="6"/>
      <c r="C218" s="76" t="s">
        <v>30</v>
      </c>
      <c r="D218" s="77" t="s">
        <v>468</v>
      </c>
      <c r="E218" s="76" t="s">
        <v>469</v>
      </c>
      <c r="F218" s="76" t="s">
        <v>90</v>
      </c>
      <c r="G218" s="76" t="s">
        <v>34</v>
      </c>
      <c r="H218" s="76">
        <f>STOCK[[#This Row],[Precio Final]]</f>
        <v>35</v>
      </c>
      <c r="I218" s="76">
        <f>STOCK[[#This Row],[Precio Venta Ideal (x1.5)]]</f>
        <v>30.5908333333334</v>
      </c>
      <c r="J218" s="91">
        <v>1</v>
      </c>
      <c r="K218" s="91">
        <f>SUMIFS(VENTAS[Cantidad],VENTAS[Código del producto Vendido],STOCK[[#This Row],[Code]])</f>
        <v>0</v>
      </c>
      <c r="L218" s="91">
        <f>STOCK[[#This Row],[Entradas]]-STOCK[[#This Row],[Salidas]]</f>
        <v>1</v>
      </c>
      <c r="M218" s="76">
        <f>STOCK[[#This Row],[Precio Final]]*10%</f>
        <v>3.5</v>
      </c>
      <c r="N218" s="76">
        <v>239.29</v>
      </c>
      <c r="O218" s="76">
        <v>18</v>
      </c>
      <c r="P218" s="76">
        <v>13.2938888888889</v>
      </c>
      <c r="Q218" s="91">
        <v>450</v>
      </c>
      <c r="R218" s="76">
        <v>8</v>
      </c>
      <c r="S218" s="76">
        <f>STOCK[[#This Row],[Peso (g)]]*STOCK[[#This Row],[Precio Envío Kilogramo (USD)]]/1000</f>
        <v>3.6</v>
      </c>
      <c r="T218" s="76">
        <f>STOCK[[#This Row],[Costo Unitario (USD)]]+STOCK[[#This Row],[Costo Envío (USD)]]+STOCK[[#This Row],[Comisión 10%]]</f>
        <v>20.3938888888889</v>
      </c>
      <c r="U218" s="76">
        <f>STOCK[[#This Row],[Costo total]]*1.5</f>
        <v>30.5908333333334</v>
      </c>
      <c r="V218" s="76">
        <v>35</v>
      </c>
      <c r="W218" s="76">
        <f>STOCK[[#This Row],[Precio Final]]-STOCK[[#This Row],[Costo total]]</f>
        <v>14.6061111111111</v>
      </c>
      <c r="X218" s="76">
        <f>STOCK[[#This Row],[Ganancia Unitaria]]*STOCK[[#This Row],[Salidas]]</f>
        <v>0</v>
      </c>
      <c r="AA218" s="76">
        <f>STOCK[[#This Row],[Costo total]]*STOCK[[#This Row],[Entradas]]</f>
        <v>20.3938888888889</v>
      </c>
      <c r="AB218" s="76">
        <f>STOCK[[#This Row],[Stock Actual]]*STOCK[[#This Row],[Costo total]]</f>
        <v>20.3938888888889</v>
      </c>
      <c r="AC218" s="76">
        <v>25</v>
      </c>
    </row>
    <row r="219" s="77" customFormat="1" ht="50" hidden="1" customHeight="1" spans="1:28">
      <c r="A219" s="77" t="s">
        <v>472</v>
      </c>
      <c r="B219" s="6"/>
      <c r="C219" s="77" t="s">
        <v>30</v>
      </c>
      <c r="D219" s="77" t="s">
        <v>42</v>
      </c>
      <c r="E219" s="77" t="s">
        <v>473</v>
      </c>
      <c r="G219" s="77" t="s">
        <v>34</v>
      </c>
      <c r="H219" s="77">
        <f>STOCK[[#This Row],[Precio Final]]</f>
        <v>25</v>
      </c>
      <c r="I219" s="77">
        <f>STOCK[[#This Row],[Precio Venta Ideal (x1.5)]]</f>
        <v>29.6408333333334</v>
      </c>
      <c r="J219" s="92">
        <v>1</v>
      </c>
      <c r="K219" s="92">
        <f>SUMIFS(VENTAS[Cantidad],VENTAS[Código del producto Vendido],STOCK[[#This Row],[Code]])</f>
        <v>1</v>
      </c>
      <c r="L219" s="92">
        <f>STOCK[[#This Row],[Entradas]]-STOCK[[#This Row],[Salidas]]</f>
        <v>0</v>
      </c>
      <c r="M219" s="77">
        <f>STOCK[[#This Row],[Precio Final]]*10%</f>
        <v>2.5</v>
      </c>
      <c r="N219" s="77">
        <v>267.49</v>
      </c>
      <c r="O219" s="77">
        <v>18</v>
      </c>
      <c r="P219" s="77">
        <v>14.8605555555556</v>
      </c>
      <c r="Q219" s="92">
        <v>300</v>
      </c>
      <c r="R219" s="77">
        <v>8</v>
      </c>
      <c r="S219" s="77">
        <f>STOCK[[#This Row],[Peso (g)]]*STOCK[[#This Row],[Precio Envío Kilogramo (USD)]]/1000</f>
        <v>2.4</v>
      </c>
      <c r="T219" s="76">
        <f>STOCK[[#This Row],[Costo Unitario (USD)]]+STOCK[[#This Row],[Costo Envío (USD)]]+STOCK[[#This Row],[Comisión 10%]]</f>
        <v>19.7605555555556</v>
      </c>
      <c r="U219" s="77">
        <f>STOCK[[#This Row],[Costo total]]*1.5</f>
        <v>29.6408333333334</v>
      </c>
      <c r="V219" s="77">
        <v>25</v>
      </c>
      <c r="W219" s="77">
        <f>STOCK[[#This Row],[Precio Final]]-STOCK[[#This Row],[Costo total]]</f>
        <v>5.2394444444444</v>
      </c>
      <c r="X219" s="77">
        <f>STOCK[[#This Row],[Ganancia Unitaria]]*STOCK[[#This Row],[Salidas]]</f>
        <v>5.2394444444444</v>
      </c>
      <c r="AA219" s="77">
        <f>STOCK[[#This Row],[Costo total]]*STOCK[[#This Row],[Entradas]]</f>
        <v>19.7605555555556</v>
      </c>
      <c r="AB219" s="77">
        <f>STOCK[[#This Row],[Stock Actual]]*STOCK[[#This Row],[Costo total]]</f>
        <v>0</v>
      </c>
    </row>
    <row r="220" s="76" customFormat="1" ht="50" hidden="1" customHeight="1" spans="1:28">
      <c r="A220" s="76" t="s">
        <v>474</v>
      </c>
      <c r="B220" s="6"/>
      <c r="C220" s="76" t="s">
        <v>30</v>
      </c>
      <c r="D220" s="76" t="s">
        <v>36</v>
      </c>
      <c r="E220" s="76" t="s">
        <v>475</v>
      </c>
      <c r="F220" s="76" t="s">
        <v>44</v>
      </c>
      <c r="G220" s="76" t="s">
        <v>34</v>
      </c>
      <c r="H220" s="76">
        <f>STOCK[[#This Row],[Precio Final]]</f>
        <v>20</v>
      </c>
      <c r="I220" s="76">
        <f>STOCK[[#This Row],[Precio Venta Ideal (x1.5)]]</f>
        <v>19.5016666666667</v>
      </c>
      <c r="J220" s="91">
        <v>1</v>
      </c>
      <c r="K220" s="91">
        <f>SUMIFS(VENTAS[Cantidad],VENTAS[Código del producto Vendido],STOCK[[#This Row],[Code]])</f>
        <v>1</v>
      </c>
      <c r="L220" s="91">
        <f>STOCK[[#This Row],[Entradas]]-STOCK[[#This Row],[Salidas]]</f>
        <v>0</v>
      </c>
      <c r="M220" s="76">
        <f>STOCK[[#This Row],[Precio Final]]*10%</f>
        <v>2</v>
      </c>
      <c r="N220" s="76">
        <v>198.02</v>
      </c>
      <c r="O220" s="76">
        <v>18</v>
      </c>
      <c r="P220" s="76">
        <v>11.0011111111111</v>
      </c>
      <c r="Q220" s="91"/>
      <c r="S220" s="76">
        <f>STOCK[[#This Row],[Peso (g)]]*STOCK[[#This Row],[Precio Envío Kilogramo (USD)]]/1000</f>
        <v>0</v>
      </c>
      <c r="T220" s="76">
        <f>STOCK[[#This Row],[Costo Unitario (USD)]]+STOCK[[#This Row],[Costo Envío (USD)]]+STOCK[[#This Row],[Comisión 10%]]</f>
        <v>13.0011111111111</v>
      </c>
      <c r="U220" s="76">
        <f>STOCK[[#This Row],[Costo total]]*1.5</f>
        <v>19.5016666666667</v>
      </c>
      <c r="V220" s="76">
        <v>20</v>
      </c>
      <c r="W220" s="76">
        <f>STOCK[[#This Row],[Precio Final]]-STOCK[[#This Row],[Costo total]]</f>
        <v>6.9988888888889</v>
      </c>
      <c r="X220" s="76">
        <f>STOCK[[#This Row],[Ganancia Unitaria]]*STOCK[[#This Row],[Salidas]]</f>
        <v>6.9988888888889</v>
      </c>
      <c r="AA220" s="76">
        <f>STOCK[[#This Row],[Costo total]]*STOCK[[#This Row],[Entradas]]</f>
        <v>13.0011111111111</v>
      </c>
      <c r="AB220" s="76">
        <f>STOCK[[#This Row],[Stock Actual]]*STOCK[[#This Row],[Costo total]]</f>
        <v>0</v>
      </c>
    </row>
    <row r="221" s="77" customFormat="1" ht="50" hidden="1" customHeight="1" spans="1:28">
      <c r="A221" s="77" t="s">
        <v>476</v>
      </c>
      <c r="B221" s="6"/>
      <c r="C221" s="77" t="s">
        <v>30</v>
      </c>
      <c r="D221" s="77" t="s">
        <v>42</v>
      </c>
      <c r="E221" s="77" t="s">
        <v>477</v>
      </c>
      <c r="F221" s="77" t="s">
        <v>38</v>
      </c>
      <c r="G221" s="77" t="s">
        <v>34</v>
      </c>
      <c r="H221" s="77">
        <f>STOCK[[#This Row],[Precio Final]]</f>
        <v>18</v>
      </c>
      <c r="I221" s="77">
        <f>STOCK[[#This Row],[Precio Venta Ideal (x1.5)]]</f>
        <v>19.675</v>
      </c>
      <c r="J221" s="92">
        <v>1</v>
      </c>
      <c r="K221" s="92">
        <f>SUMIFS(VENTAS[Cantidad],VENTAS[Código del producto Vendido],STOCK[[#This Row],[Code]])</f>
        <v>1</v>
      </c>
      <c r="L221" s="92">
        <f>STOCK[[#This Row],[Entradas]]-STOCK[[#This Row],[Salidas]]</f>
        <v>0</v>
      </c>
      <c r="M221" s="77">
        <f>STOCK[[#This Row],[Precio Final]]*10%</f>
        <v>1.8</v>
      </c>
      <c r="N221" s="77">
        <v>160.5</v>
      </c>
      <c r="O221" s="77">
        <v>18</v>
      </c>
      <c r="P221" s="77">
        <v>8.91666666666667</v>
      </c>
      <c r="Q221" s="92">
        <v>300</v>
      </c>
      <c r="R221" s="77">
        <v>8</v>
      </c>
      <c r="S221" s="77">
        <f>STOCK[[#This Row],[Peso (g)]]*STOCK[[#This Row],[Precio Envío Kilogramo (USD)]]/1000</f>
        <v>2.4</v>
      </c>
      <c r="T221" s="76">
        <f>STOCK[[#This Row],[Costo Unitario (USD)]]+STOCK[[#This Row],[Costo Envío (USD)]]+STOCK[[#This Row],[Comisión 10%]]</f>
        <v>13.1166666666667</v>
      </c>
      <c r="U221" s="77">
        <f>STOCK[[#This Row],[Costo total]]*1.5</f>
        <v>19.675</v>
      </c>
      <c r="V221" s="77">
        <v>18</v>
      </c>
      <c r="W221" s="77">
        <f>STOCK[[#This Row],[Precio Final]]-STOCK[[#This Row],[Costo total]]</f>
        <v>4.88333333333333</v>
      </c>
      <c r="X221" s="77">
        <f>STOCK[[#This Row],[Ganancia Unitaria]]*STOCK[[#This Row],[Salidas]]</f>
        <v>4.88333333333333</v>
      </c>
      <c r="AA221" s="77">
        <f>STOCK[[#This Row],[Costo total]]*STOCK[[#This Row],[Entradas]]</f>
        <v>13.1166666666667</v>
      </c>
      <c r="AB221" s="77">
        <f>STOCK[[#This Row],[Stock Actual]]*STOCK[[#This Row],[Costo total]]</f>
        <v>0</v>
      </c>
    </row>
    <row r="222" s="76" customFormat="1" ht="50" hidden="1" customHeight="1" spans="1:28">
      <c r="A222" s="76" t="s">
        <v>478</v>
      </c>
      <c r="B222" s="6"/>
      <c r="C222" s="76" t="s">
        <v>30</v>
      </c>
      <c r="D222" s="76" t="s">
        <v>350</v>
      </c>
      <c r="E222" s="76" t="s">
        <v>479</v>
      </c>
      <c r="F222" s="76" t="s">
        <v>387</v>
      </c>
      <c r="G222" s="76" t="s">
        <v>34</v>
      </c>
      <c r="H222" s="76">
        <f>STOCK[[#This Row],[Precio Final]]</f>
        <v>15</v>
      </c>
      <c r="I222" s="76">
        <f>STOCK[[#This Row],[Precio Venta Ideal (x1.5)]]</f>
        <v>11.7566666666667</v>
      </c>
      <c r="J222" s="91">
        <v>2</v>
      </c>
      <c r="K222" s="91">
        <f>SUMIFS(VENTAS[Cantidad],VENTAS[Código del producto Vendido],STOCK[[#This Row],[Code]])</f>
        <v>2</v>
      </c>
      <c r="L222" s="91">
        <f>STOCK[[#This Row],[Entradas]]-STOCK[[#This Row],[Salidas]]</f>
        <v>0</v>
      </c>
      <c r="M222" s="76">
        <f>STOCK[[#This Row],[Precio Final]]*10%</f>
        <v>1.5</v>
      </c>
      <c r="N222" s="76">
        <v>85.28</v>
      </c>
      <c r="O222" s="76">
        <v>18</v>
      </c>
      <c r="P222" s="76">
        <v>4.73777777777778</v>
      </c>
      <c r="Q222" s="91">
        <v>200</v>
      </c>
      <c r="R222" s="76">
        <v>8</v>
      </c>
      <c r="S222" s="76">
        <f>STOCK[[#This Row],[Peso (g)]]*STOCK[[#This Row],[Precio Envío Kilogramo (USD)]]/1000</f>
        <v>1.6</v>
      </c>
      <c r="T222" s="76">
        <f>STOCK[[#This Row],[Costo Unitario (USD)]]+STOCK[[#This Row],[Costo Envío (USD)]]+STOCK[[#This Row],[Comisión 10%]]</f>
        <v>7.83777777777778</v>
      </c>
      <c r="U222" s="76">
        <f>STOCK[[#This Row],[Costo total]]*1.5</f>
        <v>11.7566666666667</v>
      </c>
      <c r="V222" s="76">
        <v>15</v>
      </c>
      <c r="W222" s="76">
        <f>STOCK[[#This Row],[Precio Final]]-STOCK[[#This Row],[Costo total]]</f>
        <v>7.16222222222222</v>
      </c>
      <c r="X222" s="76">
        <f>STOCK[[#This Row],[Ganancia Unitaria]]*STOCK[[#This Row],[Salidas]]</f>
        <v>14.3244444444444</v>
      </c>
      <c r="AA222" s="76">
        <f>STOCK[[#This Row],[Costo total]]*STOCK[[#This Row],[Entradas]]</f>
        <v>15.6755555555556</v>
      </c>
      <c r="AB222" s="76">
        <f>STOCK[[#This Row],[Stock Actual]]*STOCK[[#This Row],[Costo total]]</f>
        <v>0</v>
      </c>
    </row>
    <row r="223" s="77" customFormat="1" ht="50" hidden="1" customHeight="1" spans="1:28">
      <c r="A223" s="77" t="s">
        <v>480</v>
      </c>
      <c r="B223" s="6"/>
      <c r="C223" s="77" t="s">
        <v>30</v>
      </c>
      <c r="D223" s="77" t="s">
        <v>36</v>
      </c>
      <c r="E223" s="77" t="s">
        <v>481</v>
      </c>
      <c r="F223" s="77" t="s">
        <v>60</v>
      </c>
      <c r="G223" s="77" t="s">
        <v>34</v>
      </c>
      <c r="H223" s="77">
        <f>STOCK[[#This Row],[Precio Final]]</f>
        <v>15</v>
      </c>
      <c r="I223" s="77">
        <f>STOCK[[#This Row],[Precio Venta Ideal (x1.5)]]</f>
        <v>15.4308333333333</v>
      </c>
      <c r="J223" s="92">
        <v>1</v>
      </c>
      <c r="K223" s="92">
        <f>SUMIFS(VENTAS[Cantidad],VENTAS[Código del producto Vendido],STOCK[[#This Row],[Code]])</f>
        <v>1</v>
      </c>
      <c r="L223" s="92">
        <f>STOCK[[#This Row],[Entradas]]-STOCK[[#This Row],[Salidas]]</f>
        <v>0</v>
      </c>
      <c r="M223" s="77">
        <f>STOCK[[#This Row],[Precio Final]]*10%</f>
        <v>1.5</v>
      </c>
      <c r="N223" s="77">
        <v>129.37</v>
      </c>
      <c r="O223" s="77">
        <v>18</v>
      </c>
      <c r="P223" s="77">
        <v>7.18722222222222</v>
      </c>
      <c r="Q223" s="92">
        <v>200</v>
      </c>
      <c r="R223" s="77">
        <v>8</v>
      </c>
      <c r="S223" s="77">
        <f>STOCK[[#This Row],[Peso (g)]]*STOCK[[#This Row],[Precio Envío Kilogramo (USD)]]/1000</f>
        <v>1.6</v>
      </c>
      <c r="T223" s="76">
        <f>STOCK[[#This Row],[Costo Unitario (USD)]]+STOCK[[#This Row],[Costo Envío (USD)]]+STOCK[[#This Row],[Comisión 10%]]</f>
        <v>10.2872222222222</v>
      </c>
      <c r="U223" s="77">
        <f>STOCK[[#This Row],[Costo total]]*1.5</f>
        <v>15.4308333333333</v>
      </c>
      <c r="V223" s="77">
        <v>15</v>
      </c>
      <c r="W223" s="77">
        <f>STOCK[[#This Row],[Precio Final]]-STOCK[[#This Row],[Costo total]]</f>
        <v>4.71277777777778</v>
      </c>
      <c r="X223" s="77">
        <f>STOCK[[#This Row],[Ganancia Unitaria]]*STOCK[[#This Row],[Salidas]]</f>
        <v>4.71277777777778</v>
      </c>
      <c r="AA223" s="77">
        <f>STOCK[[#This Row],[Costo total]]*STOCK[[#This Row],[Entradas]]</f>
        <v>10.2872222222222</v>
      </c>
      <c r="AB223" s="77">
        <f>STOCK[[#This Row],[Stock Actual]]*STOCK[[#This Row],[Costo total]]</f>
        <v>0</v>
      </c>
    </row>
    <row r="224" s="76" customFormat="1" ht="50" hidden="1" customHeight="1" spans="1:29">
      <c r="A224" s="76" t="s">
        <v>482</v>
      </c>
      <c r="B224" s="6"/>
      <c r="C224" s="76" t="s">
        <v>30</v>
      </c>
      <c r="D224" s="76" t="s">
        <v>483</v>
      </c>
      <c r="E224" s="76" t="s">
        <v>481</v>
      </c>
      <c r="F224" s="76" t="s">
        <v>47</v>
      </c>
      <c r="G224" s="76" t="s">
        <v>34</v>
      </c>
      <c r="H224" s="76">
        <f>STOCK[[#This Row],[Precio Final]]</f>
        <v>15</v>
      </c>
      <c r="I224" s="76">
        <f>STOCK[[#This Row],[Precio Venta Ideal (x1.5)]]</f>
        <v>15.4308333333333</v>
      </c>
      <c r="J224" s="91">
        <v>2</v>
      </c>
      <c r="K224" s="91">
        <f>SUMIFS(VENTAS[Cantidad],VENTAS[Código del producto Vendido],STOCK[[#This Row],[Code]])</f>
        <v>2</v>
      </c>
      <c r="L224" s="91">
        <f>STOCK[[#This Row],[Entradas]]-STOCK[[#This Row],[Salidas]]</f>
        <v>0</v>
      </c>
      <c r="M224" s="76">
        <f>STOCK[[#This Row],[Precio Final]]*10%</f>
        <v>1.5</v>
      </c>
      <c r="N224" s="76">
        <v>129.37</v>
      </c>
      <c r="O224" s="76">
        <v>18</v>
      </c>
      <c r="P224" s="76">
        <v>7.18722222222222</v>
      </c>
      <c r="Q224" s="91">
        <v>200</v>
      </c>
      <c r="R224" s="76">
        <v>8</v>
      </c>
      <c r="S224" s="76">
        <f>STOCK[[#This Row],[Peso (g)]]*STOCK[[#This Row],[Precio Envío Kilogramo (USD)]]/1000</f>
        <v>1.6</v>
      </c>
      <c r="T224" s="76">
        <f>STOCK[[#This Row],[Costo Unitario (USD)]]+STOCK[[#This Row],[Costo Envío (USD)]]+STOCK[[#This Row],[Comisión 10%]]</f>
        <v>10.2872222222222</v>
      </c>
      <c r="U224" s="76">
        <f>STOCK[[#This Row],[Costo total]]*1.5</f>
        <v>15.4308333333333</v>
      </c>
      <c r="V224" s="76">
        <v>15</v>
      </c>
      <c r="W224" s="76">
        <f>STOCK[[#This Row],[Precio Final]]-STOCK[[#This Row],[Costo total]]</f>
        <v>4.71277777777778</v>
      </c>
      <c r="X224" s="76">
        <f>STOCK[[#This Row],[Ganancia Unitaria]]*STOCK[[#This Row],[Salidas]]</f>
        <v>9.42555555555556</v>
      </c>
      <c r="AA224" s="76">
        <f>STOCK[[#This Row],[Costo total]]*STOCK[[#This Row],[Entradas]]</f>
        <v>20.5744444444444</v>
      </c>
      <c r="AB224" s="76">
        <f>STOCK[[#This Row],[Stock Actual]]*STOCK[[#This Row],[Costo total]]</f>
        <v>0</v>
      </c>
      <c r="AC224" s="76">
        <v>12</v>
      </c>
    </row>
    <row r="225" s="77" customFormat="1" ht="50" hidden="1" customHeight="1" spans="1:28">
      <c r="A225" s="77" t="s">
        <v>484</v>
      </c>
      <c r="B225" s="6"/>
      <c r="C225" s="77" t="s">
        <v>30</v>
      </c>
      <c r="D225" s="77" t="s">
        <v>350</v>
      </c>
      <c r="E225" s="77" t="s">
        <v>485</v>
      </c>
      <c r="F225" s="77" t="s">
        <v>387</v>
      </c>
      <c r="G225" s="77" t="s">
        <v>34</v>
      </c>
      <c r="H225" s="77">
        <f>STOCK[[#This Row],[Precio Final]]</f>
        <v>15</v>
      </c>
      <c r="I225" s="77">
        <f>STOCK[[#This Row],[Precio Venta Ideal (x1.5)]]</f>
        <v>15.5466666666667</v>
      </c>
      <c r="J225" s="92">
        <v>2</v>
      </c>
      <c r="K225" s="92">
        <f>SUMIFS(VENTAS[Cantidad],VENTAS[Código del producto Vendido],STOCK[[#This Row],[Code]])</f>
        <v>2</v>
      </c>
      <c r="L225" s="92">
        <f>STOCK[[#This Row],[Entradas]]-STOCK[[#This Row],[Salidas]]</f>
        <v>0</v>
      </c>
      <c r="M225" s="77">
        <f>STOCK[[#This Row],[Precio Final]]*10%</f>
        <v>1.5</v>
      </c>
      <c r="N225" s="77">
        <v>116.36</v>
      </c>
      <c r="O225" s="77">
        <v>18</v>
      </c>
      <c r="P225" s="77">
        <v>6.46444444444444</v>
      </c>
      <c r="Q225" s="92">
        <v>300</v>
      </c>
      <c r="R225" s="77">
        <v>8</v>
      </c>
      <c r="S225" s="77">
        <f>STOCK[[#This Row],[Peso (g)]]*STOCK[[#This Row],[Precio Envío Kilogramo (USD)]]/1000</f>
        <v>2.4</v>
      </c>
      <c r="T225" s="76">
        <f>STOCK[[#This Row],[Costo Unitario (USD)]]+STOCK[[#This Row],[Costo Envío (USD)]]+STOCK[[#This Row],[Comisión 10%]]</f>
        <v>10.3644444444444</v>
      </c>
      <c r="U225" s="77">
        <f>STOCK[[#This Row],[Costo total]]*1.5</f>
        <v>15.5466666666667</v>
      </c>
      <c r="V225" s="77">
        <v>15</v>
      </c>
      <c r="W225" s="77">
        <f>STOCK[[#This Row],[Precio Final]]-STOCK[[#This Row],[Costo total]]</f>
        <v>4.63555555555556</v>
      </c>
      <c r="X225" s="77">
        <f>STOCK[[#This Row],[Ganancia Unitaria]]*STOCK[[#This Row],[Salidas]]</f>
        <v>9.27111111111112</v>
      </c>
      <c r="AA225" s="77">
        <f>STOCK[[#This Row],[Costo total]]*STOCK[[#This Row],[Entradas]]</f>
        <v>20.7288888888889</v>
      </c>
      <c r="AB225" s="77">
        <f>STOCK[[#This Row],[Stock Actual]]*STOCK[[#This Row],[Costo total]]</f>
        <v>0</v>
      </c>
    </row>
    <row r="226" s="76" customFormat="1" ht="50" hidden="1" customHeight="1" spans="1:28">
      <c r="A226" s="76" t="s">
        <v>486</v>
      </c>
      <c r="B226" s="6"/>
      <c r="C226" s="76" t="s">
        <v>30</v>
      </c>
      <c r="D226" s="76" t="s">
        <v>487</v>
      </c>
      <c r="E226" s="76" t="s">
        <v>488</v>
      </c>
      <c r="F226" s="76" t="s">
        <v>489</v>
      </c>
      <c r="G226" s="76" t="s">
        <v>34</v>
      </c>
      <c r="H226" s="76">
        <f>STOCK[[#This Row],[Precio Final]]</f>
        <v>12</v>
      </c>
      <c r="I226" s="76">
        <f>STOCK[[#This Row],[Precio Venta Ideal (x1.5)]]</f>
        <v>15.2166666666667</v>
      </c>
      <c r="J226" s="91">
        <v>2</v>
      </c>
      <c r="K226" s="91">
        <f>SUMIFS(VENTAS[Cantidad],VENTAS[Código del producto Vendido],STOCK[[#This Row],[Code]])</f>
        <v>2</v>
      </c>
      <c r="L226" s="91">
        <f>STOCK[[#This Row],[Entradas]]-STOCK[[#This Row],[Salidas]]</f>
        <v>0</v>
      </c>
      <c r="M226" s="76">
        <f>STOCK[[#This Row],[Precio Final]]*10%</f>
        <v>1.2</v>
      </c>
      <c r="N226" s="76">
        <v>117.8</v>
      </c>
      <c r="O226" s="76">
        <v>18</v>
      </c>
      <c r="P226" s="76">
        <v>6.54444444444444</v>
      </c>
      <c r="Q226" s="91">
        <v>300</v>
      </c>
      <c r="R226" s="76">
        <v>8</v>
      </c>
      <c r="S226" s="76">
        <f>STOCK[[#This Row],[Peso (g)]]*STOCK[[#This Row],[Precio Envío Kilogramo (USD)]]/1000</f>
        <v>2.4</v>
      </c>
      <c r="T226" s="76">
        <f>STOCK[[#This Row],[Costo Unitario (USD)]]+STOCK[[#This Row],[Costo Envío (USD)]]+STOCK[[#This Row],[Comisión 10%]]</f>
        <v>10.1444444444444</v>
      </c>
      <c r="U226" s="76">
        <f>STOCK[[#This Row],[Costo total]]*1.5</f>
        <v>15.2166666666667</v>
      </c>
      <c r="V226" s="76">
        <v>12</v>
      </c>
      <c r="W226" s="76">
        <f>STOCK[[#This Row],[Precio Final]]-STOCK[[#This Row],[Costo total]]</f>
        <v>1.85555555555556</v>
      </c>
      <c r="X226" s="76">
        <f>STOCK[[#This Row],[Ganancia Unitaria]]*STOCK[[#This Row],[Salidas]]</f>
        <v>3.71111111111112</v>
      </c>
      <c r="AA226" s="76">
        <f>STOCK[[#This Row],[Costo total]]*STOCK[[#This Row],[Entradas]]</f>
        <v>20.2888888888889</v>
      </c>
      <c r="AB226" s="76">
        <f>STOCK[[#This Row],[Stock Actual]]*STOCK[[#This Row],[Costo total]]</f>
        <v>0</v>
      </c>
    </row>
    <row r="227" s="77" customFormat="1" ht="50" hidden="1" customHeight="1" spans="1:28">
      <c r="A227" s="77" t="s">
        <v>490</v>
      </c>
      <c r="B227" s="6"/>
      <c r="C227" s="77" t="s">
        <v>30</v>
      </c>
      <c r="D227" s="77" t="s">
        <v>350</v>
      </c>
      <c r="E227" s="77" t="s">
        <v>491</v>
      </c>
      <c r="F227" s="77" t="s">
        <v>387</v>
      </c>
      <c r="G227" s="77" t="s">
        <v>34</v>
      </c>
      <c r="H227" s="77">
        <f>STOCK[[#This Row],[Precio Final]]</f>
        <v>10</v>
      </c>
      <c r="I227" s="77">
        <f>STOCK[[#This Row],[Precio Venta Ideal (x1.5)]]</f>
        <v>9.19583333333334</v>
      </c>
      <c r="J227" s="92">
        <v>2</v>
      </c>
      <c r="K227" s="92">
        <f>SUMIFS(VENTAS[Cantidad],VENTAS[Código del producto Vendido],STOCK[[#This Row],[Code]])</f>
        <v>2</v>
      </c>
      <c r="L227" s="92">
        <f>STOCK[[#This Row],[Entradas]]-STOCK[[#This Row],[Salidas]]</f>
        <v>0</v>
      </c>
      <c r="M227" s="77">
        <f>STOCK[[#This Row],[Precio Final]]*10%</f>
        <v>1</v>
      </c>
      <c r="N227" s="77">
        <v>49.15</v>
      </c>
      <c r="O227" s="77">
        <v>18</v>
      </c>
      <c r="P227" s="77">
        <v>2.73055555555556</v>
      </c>
      <c r="Q227" s="92">
        <v>300</v>
      </c>
      <c r="R227" s="77">
        <v>8</v>
      </c>
      <c r="S227" s="77">
        <f>STOCK[[#This Row],[Peso (g)]]*STOCK[[#This Row],[Precio Envío Kilogramo (USD)]]/1000</f>
        <v>2.4</v>
      </c>
      <c r="T227" s="76">
        <f>STOCK[[#This Row],[Costo Unitario (USD)]]+STOCK[[#This Row],[Costo Envío (USD)]]+STOCK[[#This Row],[Comisión 10%]]</f>
        <v>6.13055555555556</v>
      </c>
      <c r="U227" s="77">
        <f>STOCK[[#This Row],[Costo total]]*1.5</f>
        <v>9.19583333333334</v>
      </c>
      <c r="V227" s="77">
        <v>10</v>
      </c>
      <c r="W227" s="77">
        <f>STOCK[[#This Row],[Precio Final]]-STOCK[[#This Row],[Costo total]]</f>
        <v>3.86944444444444</v>
      </c>
      <c r="X227" s="77">
        <f>STOCK[[#This Row],[Ganancia Unitaria]]*STOCK[[#This Row],[Salidas]]</f>
        <v>7.73888888888888</v>
      </c>
      <c r="AA227" s="77">
        <f>STOCK[[#This Row],[Costo total]]*STOCK[[#This Row],[Entradas]]</f>
        <v>12.2611111111111</v>
      </c>
      <c r="AB227" s="77">
        <f>STOCK[[#This Row],[Stock Actual]]*STOCK[[#This Row],[Costo total]]</f>
        <v>0</v>
      </c>
    </row>
    <row r="228" s="76" customFormat="1" ht="50" hidden="1" customHeight="1" spans="1:28">
      <c r="A228" s="76" t="s">
        <v>492</v>
      </c>
      <c r="B228" s="6"/>
      <c r="C228" s="76" t="s">
        <v>30</v>
      </c>
      <c r="D228" s="77" t="s">
        <v>36</v>
      </c>
      <c r="E228" s="76" t="s">
        <v>493</v>
      </c>
      <c r="F228" s="76" t="s">
        <v>210</v>
      </c>
      <c r="G228" s="76" t="s">
        <v>34</v>
      </c>
      <c r="H228" s="76">
        <f>STOCK[[#This Row],[Precio Final]]</f>
        <v>25</v>
      </c>
      <c r="I228" s="76">
        <f>STOCK[[#This Row],[Precio Venta Ideal (x1.5)]]</f>
        <v>22.4708333333334</v>
      </c>
      <c r="J228" s="91">
        <v>2</v>
      </c>
      <c r="K228" s="91">
        <f>SUMIFS(VENTAS[Cantidad],VENTAS[Código del producto Vendido],STOCK[[#This Row],[Code]])</f>
        <v>2</v>
      </c>
      <c r="L228" s="91">
        <f>STOCK[[#This Row],[Entradas]]-STOCK[[#This Row],[Salidas]]</f>
        <v>0</v>
      </c>
      <c r="M228" s="76">
        <f>STOCK[[#This Row],[Precio Final]]*10%</f>
        <v>2.5</v>
      </c>
      <c r="N228" s="76">
        <v>195.85</v>
      </c>
      <c r="O228" s="76">
        <v>18</v>
      </c>
      <c r="P228" s="76">
        <v>10.8805555555556</v>
      </c>
      <c r="Q228" s="91">
        <v>200</v>
      </c>
      <c r="R228" s="76">
        <v>8</v>
      </c>
      <c r="S228" s="76">
        <f>STOCK[[#This Row],[Peso (g)]]*STOCK[[#This Row],[Precio Envío Kilogramo (USD)]]/1000</f>
        <v>1.6</v>
      </c>
      <c r="T228" s="76">
        <f>STOCK[[#This Row],[Costo Unitario (USD)]]+STOCK[[#This Row],[Costo Envío (USD)]]+STOCK[[#This Row],[Comisión 10%]]</f>
        <v>14.9805555555556</v>
      </c>
      <c r="U228" s="76">
        <f>STOCK[[#This Row],[Costo total]]*1.5</f>
        <v>22.4708333333334</v>
      </c>
      <c r="V228" s="76">
        <v>25</v>
      </c>
      <c r="W228" s="76">
        <f>STOCK[[#This Row],[Precio Final]]-STOCK[[#This Row],[Costo total]]</f>
        <v>10.0194444444444</v>
      </c>
      <c r="X228" s="76">
        <f>STOCK[[#This Row],[Ganancia Unitaria]]*STOCK[[#This Row],[Salidas]]</f>
        <v>20.0388888888888</v>
      </c>
      <c r="AA228" s="76">
        <f>STOCK[[#This Row],[Costo total]]*STOCK[[#This Row],[Entradas]]</f>
        <v>29.9611111111112</v>
      </c>
      <c r="AB228" s="76">
        <f>STOCK[[#This Row],[Stock Actual]]*STOCK[[#This Row],[Costo total]]</f>
        <v>0</v>
      </c>
    </row>
    <row r="229" s="77" customFormat="1" ht="50" hidden="1" customHeight="1" spans="1:28">
      <c r="A229" s="77" t="s">
        <v>494</v>
      </c>
      <c r="B229" s="6"/>
      <c r="C229" s="77" t="s">
        <v>30</v>
      </c>
      <c r="D229" s="77" t="s">
        <v>36</v>
      </c>
      <c r="E229" s="77" t="s">
        <v>495</v>
      </c>
      <c r="F229" s="77" t="s">
        <v>60</v>
      </c>
      <c r="G229" s="77" t="s">
        <v>34</v>
      </c>
      <c r="H229" s="77">
        <f>STOCK[[#This Row],[Precio Final]]</f>
        <v>22</v>
      </c>
      <c r="I229" s="77">
        <f>STOCK[[#This Row],[Precio Venta Ideal (x1.5)]]</f>
        <v>22.0208333333334</v>
      </c>
      <c r="J229" s="92">
        <v>1</v>
      </c>
      <c r="K229" s="92">
        <f>SUMIFS(VENTAS[Cantidad],VENTAS[Código del producto Vendido],STOCK[[#This Row],[Code]])</f>
        <v>1</v>
      </c>
      <c r="L229" s="92">
        <f>STOCK[[#This Row],[Entradas]]-STOCK[[#This Row],[Salidas]]</f>
        <v>0</v>
      </c>
      <c r="M229" s="77">
        <f>STOCK[[#This Row],[Precio Final]]*10%</f>
        <v>2.2</v>
      </c>
      <c r="N229" s="77">
        <v>195.85</v>
      </c>
      <c r="O229" s="77">
        <v>18</v>
      </c>
      <c r="P229" s="77">
        <v>10.8805555555556</v>
      </c>
      <c r="Q229" s="92">
        <v>200</v>
      </c>
      <c r="R229" s="77">
        <v>8</v>
      </c>
      <c r="S229" s="77">
        <f>STOCK[[#This Row],[Peso (g)]]*STOCK[[#This Row],[Precio Envío Kilogramo (USD)]]/1000</f>
        <v>1.6</v>
      </c>
      <c r="T229" s="76">
        <f>STOCK[[#This Row],[Costo Unitario (USD)]]+STOCK[[#This Row],[Costo Envío (USD)]]+STOCK[[#This Row],[Comisión 10%]]</f>
        <v>14.6805555555556</v>
      </c>
      <c r="U229" s="77">
        <f>STOCK[[#This Row],[Costo total]]*1.5</f>
        <v>22.0208333333334</v>
      </c>
      <c r="V229" s="77">
        <v>22</v>
      </c>
      <c r="W229" s="77">
        <f>STOCK[[#This Row],[Precio Final]]-STOCK[[#This Row],[Costo total]]</f>
        <v>7.3194444444444</v>
      </c>
      <c r="X229" s="77">
        <f>STOCK[[#This Row],[Ganancia Unitaria]]*STOCK[[#This Row],[Salidas]]</f>
        <v>7.3194444444444</v>
      </c>
      <c r="AA229" s="77">
        <f>STOCK[[#This Row],[Costo total]]*STOCK[[#This Row],[Entradas]]</f>
        <v>14.6805555555556</v>
      </c>
      <c r="AB229" s="77">
        <f>STOCK[[#This Row],[Stock Actual]]*STOCK[[#This Row],[Costo total]]</f>
        <v>0</v>
      </c>
    </row>
    <row r="230" s="76" customFormat="1" ht="50" hidden="1" customHeight="1" spans="1:28">
      <c r="A230" s="76" t="s">
        <v>496</v>
      </c>
      <c r="B230" s="6"/>
      <c r="C230" s="76" t="s">
        <v>30</v>
      </c>
      <c r="D230" s="77" t="s">
        <v>36</v>
      </c>
      <c r="E230" s="76" t="s">
        <v>497</v>
      </c>
      <c r="F230" s="76" t="s">
        <v>38</v>
      </c>
      <c r="G230" s="76" t="s">
        <v>34</v>
      </c>
      <c r="H230" s="76">
        <f>STOCK[[#This Row],[Precio Final]]</f>
        <v>15</v>
      </c>
      <c r="I230" s="76">
        <f>STOCK[[#This Row],[Precio Venta Ideal (x1.5)]]</f>
        <v>15.4308333333333</v>
      </c>
      <c r="J230" s="91">
        <v>2</v>
      </c>
      <c r="K230" s="91">
        <f>SUMIFS(VENTAS[Cantidad],VENTAS[Código del producto Vendido],STOCK[[#This Row],[Code]])</f>
        <v>2</v>
      </c>
      <c r="L230" s="91">
        <f>STOCK[[#This Row],[Entradas]]-STOCK[[#This Row],[Salidas]]</f>
        <v>0</v>
      </c>
      <c r="M230" s="76">
        <f>STOCK[[#This Row],[Precio Final]]*10%</f>
        <v>1.5</v>
      </c>
      <c r="N230" s="76">
        <v>129.37</v>
      </c>
      <c r="O230" s="76">
        <v>18</v>
      </c>
      <c r="P230" s="76">
        <v>7.18722222222222</v>
      </c>
      <c r="Q230" s="91">
        <v>200</v>
      </c>
      <c r="R230" s="76">
        <v>8</v>
      </c>
      <c r="S230" s="76">
        <f>STOCK[[#This Row],[Peso (g)]]*STOCK[[#This Row],[Precio Envío Kilogramo (USD)]]/1000</f>
        <v>1.6</v>
      </c>
      <c r="T230" s="76">
        <f>STOCK[[#This Row],[Costo Unitario (USD)]]+STOCK[[#This Row],[Costo Envío (USD)]]+STOCK[[#This Row],[Comisión 10%]]</f>
        <v>10.2872222222222</v>
      </c>
      <c r="U230" s="76">
        <f>STOCK[[#This Row],[Costo total]]*1.5</f>
        <v>15.4308333333333</v>
      </c>
      <c r="V230" s="76">
        <v>15</v>
      </c>
      <c r="W230" s="76">
        <f>STOCK[[#This Row],[Precio Final]]-STOCK[[#This Row],[Costo total]]</f>
        <v>4.71277777777778</v>
      </c>
      <c r="X230" s="76">
        <f>STOCK[[#This Row],[Ganancia Unitaria]]*STOCK[[#This Row],[Salidas]]</f>
        <v>9.42555555555556</v>
      </c>
      <c r="AA230" s="76">
        <f>STOCK[[#This Row],[Costo total]]*STOCK[[#This Row],[Entradas]]</f>
        <v>20.5744444444444</v>
      </c>
      <c r="AB230" s="76">
        <f>STOCK[[#This Row],[Stock Actual]]*STOCK[[#This Row],[Costo total]]</f>
        <v>0</v>
      </c>
    </row>
    <row r="231" s="77" customFormat="1" ht="50" hidden="1" customHeight="1" spans="1:28">
      <c r="A231" s="77" t="s">
        <v>498</v>
      </c>
      <c r="B231" s="6"/>
      <c r="C231" s="77" t="s">
        <v>30</v>
      </c>
      <c r="D231" s="77" t="s">
        <v>212</v>
      </c>
      <c r="E231" s="77" t="s">
        <v>405</v>
      </c>
      <c r="F231" s="77" t="s">
        <v>40</v>
      </c>
      <c r="G231" s="77" t="s">
        <v>34</v>
      </c>
      <c r="H231" s="77">
        <f>STOCK[[#This Row],[Precio Final]]</f>
        <v>20</v>
      </c>
      <c r="I231" s="77">
        <f>STOCK[[#This Row],[Precio Venta Ideal (x1.5)]]</f>
        <v>18.2841666666667</v>
      </c>
      <c r="J231" s="92">
        <v>2</v>
      </c>
      <c r="K231" s="92">
        <f>SUMIFS(VENTAS[Cantidad],VENTAS[Código del producto Vendido],STOCK[[#This Row],[Code]])</f>
        <v>2</v>
      </c>
      <c r="L231" s="92">
        <f>STOCK[[#This Row],[Entradas]]-STOCK[[#This Row],[Salidas]]</f>
        <v>0</v>
      </c>
      <c r="M231" s="77">
        <f>STOCK[[#This Row],[Precio Final]]*10%</f>
        <v>2</v>
      </c>
      <c r="N231" s="77">
        <v>140.21</v>
      </c>
      <c r="O231" s="77">
        <v>18</v>
      </c>
      <c r="P231" s="77">
        <v>7.78944444444445</v>
      </c>
      <c r="Q231" s="92">
        <v>300</v>
      </c>
      <c r="R231" s="77">
        <v>8</v>
      </c>
      <c r="S231" s="77">
        <f>STOCK[[#This Row],[Peso (g)]]*STOCK[[#This Row],[Precio Envío Kilogramo (USD)]]/1000</f>
        <v>2.4</v>
      </c>
      <c r="T231" s="76">
        <f>STOCK[[#This Row],[Costo Unitario (USD)]]+STOCK[[#This Row],[Costo Envío (USD)]]+STOCK[[#This Row],[Comisión 10%]]</f>
        <v>12.1894444444444</v>
      </c>
      <c r="U231" s="77">
        <f>STOCK[[#This Row],[Costo total]]*1.5</f>
        <v>18.2841666666667</v>
      </c>
      <c r="V231" s="77">
        <v>20</v>
      </c>
      <c r="W231" s="77">
        <f>STOCK[[#This Row],[Precio Final]]-STOCK[[#This Row],[Costo total]]</f>
        <v>7.81055555555555</v>
      </c>
      <c r="X231" s="77">
        <f>STOCK[[#This Row],[Ganancia Unitaria]]*STOCK[[#This Row],[Salidas]]</f>
        <v>15.6211111111111</v>
      </c>
      <c r="AA231" s="77">
        <f>STOCK[[#This Row],[Costo total]]*STOCK[[#This Row],[Entradas]]</f>
        <v>24.3788888888889</v>
      </c>
      <c r="AB231" s="77">
        <f>STOCK[[#This Row],[Stock Actual]]*STOCK[[#This Row],[Costo total]]</f>
        <v>0</v>
      </c>
    </row>
    <row r="232" s="76" customFormat="1" ht="50" hidden="1" customHeight="1" spans="1:28">
      <c r="A232" s="76" t="s">
        <v>499</v>
      </c>
      <c r="B232" s="6"/>
      <c r="C232" s="76" t="s">
        <v>30</v>
      </c>
      <c r="D232" s="76" t="s">
        <v>42</v>
      </c>
      <c r="E232" s="76" t="s">
        <v>405</v>
      </c>
      <c r="F232" s="76" t="s">
        <v>86</v>
      </c>
      <c r="G232" s="76" t="s">
        <v>34</v>
      </c>
      <c r="H232" s="76">
        <f>STOCK[[#This Row],[Precio Final]]</f>
        <v>20</v>
      </c>
      <c r="I232" s="76">
        <f>STOCK[[#This Row],[Precio Venta Ideal (x1.5)]]</f>
        <v>17.6841666666667</v>
      </c>
      <c r="J232" s="91">
        <v>1</v>
      </c>
      <c r="K232" s="91">
        <f>SUMIFS(VENTAS[Cantidad],VENTAS[Código del producto Vendido],STOCK[[#This Row],[Code]])</f>
        <v>1</v>
      </c>
      <c r="L232" s="91">
        <f>STOCK[[#This Row],[Entradas]]-STOCK[[#This Row],[Salidas]]</f>
        <v>0</v>
      </c>
      <c r="M232" s="76">
        <f>STOCK[[#This Row],[Precio Final]]*10%</f>
        <v>2</v>
      </c>
      <c r="N232" s="76">
        <v>140.21</v>
      </c>
      <c r="O232" s="76">
        <v>18</v>
      </c>
      <c r="P232" s="76">
        <v>7.78944444444445</v>
      </c>
      <c r="Q232" s="91">
        <v>250</v>
      </c>
      <c r="R232" s="76">
        <v>8</v>
      </c>
      <c r="S232" s="76">
        <f>STOCK[[#This Row],[Peso (g)]]*STOCK[[#This Row],[Precio Envío Kilogramo (USD)]]/1000</f>
        <v>2</v>
      </c>
      <c r="T232" s="76">
        <f>STOCK[[#This Row],[Costo Unitario (USD)]]+STOCK[[#This Row],[Costo Envío (USD)]]+STOCK[[#This Row],[Comisión 10%]]</f>
        <v>11.7894444444444</v>
      </c>
      <c r="U232" s="76">
        <f>STOCK[[#This Row],[Costo total]]*1.5</f>
        <v>17.6841666666667</v>
      </c>
      <c r="V232" s="76">
        <v>20</v>
      </c>
      <c r="W232" s="76">
        <f>STOCK[[#This Row],[Precio Final]]-STOCK[[#This Row],[Costo total]]</f>
        <v>8.21055555555555</v>
      </c>
      <c r="X232" s="76">
        <f>STOCK[[#This Row],[Ganancia Unitaria]]*STOCK[[#This Row],[Salidas]]</f>
        <v>8.21055555555555</v>
      </c>
      <c r="AA232" s="76">
        <f>STOCK[[#This Row],[Costo total]]*STOCK[[#This Row],[Entradas]]</f>
        <v>11.7894444444444</v>
      </c>
      <c r="AB232" s="76">
        <f>STOCK[[#This Row],[Stock Actual]]*STOCK[[#This Row],[Costo total]]</f>
        <v>0</v>
      </c>
    </row>
    <row r="233" s="77" customFormat="1" ht="50" hidden="1" customHeight="1" spans="1:28">
      <c r="A233" s="77" t="s">
        <v>500</v>
      </c>
      <c r="B233" s="6"/>
      <c r="C233" s="77" t="s">
        <v>30</v>
      </c>
      <c r="D233" s="77" t="s">
        <v>36</v>
      </c>
      <c r="E233" s="77" t="s">
        <v>501</v>
      </c>
      <c r="F233" s="77" t="s">
        <v>47</v>
      </c>
      <c r="G233" s="77" t="s">
        <v>34</v>
      </c>
      <c r="H233" s="77">
        <f>STOCK[[#This Row],[Precio Final]]</f>
        <v>25</v>
      </c>
      <c r="I233" s="77">
        <f>STOCK[[#This Row],[Precio Venta Ideal (x1.5)]]</f>
        <v>28.5833333333334</v>
      </c>
      <c r="J233" s="92">
        <v>2</v>
      </c>
      <c r="K233" s="92">
        <f>SUMIFS(VENTAS[Cantidad],VENTAS[Código del producto Vendido],STOCK[[#This Row],[Code]])</f>
        <v>2</v>
      </c>
      <c r="L233" s="92">
        <f>STOCK[[#This Row],[Entradas]]-STOCK[[#This Row],[Salidas]]</f>
        <v>0</v>
      </c>
      <c r="M233" s="77">
        <f>STOCK[[#This Row],[Precio Final]]*10%</f>
        <v>2.5</v>
      </c>
      <c r="N233" s="77">
        <v>254.8</v>
      </c>
      <c r="O233" s="77">
        <v>18</v>
      </c>
      <c r="P233" s="77">
        <v>14.1555555555556</v>
      </c>
      <c r="Q233" s="92">
        <v>300</v>
      </c>
      <c r="R233" s="77">
        <v>8</v>
      </c>
      <c r="S233" s="77">
        <f>STOCK[[#This Row],[Peso (g)]]*STOCK[[#This Row],[Precio Envío Kilogramo (USD)]]/1000</f>
        <v>2.4</v>
      </c>
      <c r="T233" s="76">
        <f>STOCK[[#This Row],[Costo Unitario (USD)]]+STOCK[[#This Row],[Costo Envío (USD)]]+STOCK[[#This Row],[Comisión 10%]]</f>
        <v>19.0555555555556</v>
      </c>
      <c r="U233" s="77">
        <f>STOCK[[#This Row],[Costo total]]*1.5</f>
        <v>28.5833333333334</v>
      </c>
      <c r="V233" s="77">
        <v>25</v>
      </c>
      <c r="W233" s="77">
        <f>STOCK[[#This Row],[Precio Final]]-STOCK[[#This Row],[Costo total]]</f>
        <v>5.9444444444444</v>
      </c>
      <c r="X233" s="77">
        <f>STOCK[[#This Row],[Ganancia Unitaria]]*STOCK[[#This Row],[Salidas]]</f>
        <v>11.8888888888888</v>
      </c>
      <c r="AA233" s="77">
        <f>STOCK[[#This Row],[Costo total]]*STOCK[[#This Row],[Entradas]]</f>
        <v>38.1111111111112</v>
      </c>
      <c r="AB233" s="77">
        <f>STOCK[[#This Row],[Stock Actual]]*STOCK[[#This Row],[Costo total]]</f>
        <v>0</v>
      </c>
    </row>
    <row r="234" s="76" customFormat="1" ht="50" hidden="1" customHeight="1" spans="1:28">
      <c r="A234" s="76" t="s">
        <v>502</v>
      </c>
      <c r="B234" s="6"/>
      <c r="C234" s="76" t="s">
        <v>30</v>
      </c>
      <c r="D234" s="76" t="s">
        <v>36</v>
      </c>
      <c r="E234" s="76" t="s">
        <v>503</v>
      </c>
      <c r="F234" s="76" t="s">
        <v>60</v>
      </c>
      <c r="G234" s="76" t="s">
        <v>34</v>
      </c>
      <c r="H234" s="76">
        <f>STOCK[[#This Row],[Precio Final]]</f>
        <v>25</v>
      </c>
      <c r="I234" s="76">
        <f>STOCK[[#This Row],[Precio Venta Ideal (x1.5)]]</f>
        <v>28.5833333333334</v>
      </c>
      <c r="J234" s="91">
        <v>2</v>
      </c>
      <c r="K234" s="91">
        <f>SUMIFS(VENTAS[Cantidad],VENTAS[Código del producto Vendido],STOCK[[#This Row],[Code]])</f>
        <v>2</v>
      </c>
      <c r="L234" s="91">
        <f>STOCK[[#This Row],[Entradas]]-STOCK[[#This Row],[Salidas]]</f>
        <v>0</v>
      </c>
      <c r="M234" s="76">
        <f>STOCK[[#This Row],[Precio Final]]*10%</f>
        <v>2.5</v>
      </c>
      <c r="N234" s="76">
        <v>254.8</v>
      </c>
      <c r="O234" s="76">
        <v>18</v>
      </c>
      <c r="P234" s="76">
        <v>14.1555555555556</v>
      </c>
      <c r="Q234" s="91">
        <v>300</v>
      </c>
      <c r="R234" s="76">
        <v>8</v>
      </c>
      <c r="S234" s="76">
        <f>STOCK[[#This Row],[Peso (g)]]*STOCK[[#This Row],[Precio Envío Kilogramo (USD)]]/1000</f>
        <v>2.4</v>
      </c>
      <c r="T234" s="76">
        <f>STOCK[[#This Row],[Costo Unitario (USD)]]+STOCK[[#This Row],[Costo Envío (USD)]]+STOCK[[#This Row],[Comisión 10%]]</f>
        <v>19.0555555555556</v>
      </c>
      <c r="U234" s="76">
        <f>STOCK[[#This Row],[Costo total]]*1.5</f>
        <v>28.5833333333334</v>
      </c>
      <c r="V234" s="76">
        <v>25</v>
      </c>
      <c r="W234" s="76">
        <f>STOCK[[#This Row],[Precio Final]]-STOCK[[#This Row],[Costo total]]</f>
        <v>5.9444444444444</v>
      </c>
      <c r="X234" s="76">
        <f>STOCK[[#This Row],[Ganancia Unitaria]]*STOCK[[#This Row],[Salidas]]</f>
        <v>11.8888888888888</v>
      </c>
      <c r="AA234" s="76">
        <f>STOCK[[#This Row],[Costo total]]*STOCK[[#This Row],[Entradas]]</f>
        <v>38.1111111111112</v>
      </c>
      <c r="AB234" s="76">
        <f>STOCK[[#This Row],[Stock Actual]]*STOCK[[#This Row],[Costo total]]</f>
        <v>0</v>
      </c>
    </row>
    <row r="235" s="77" customFormat="1" ht="50" hidden="1" customHeight="1" spans="1:28">
      <c r="A235" s="77" t="s">
        <v>504</v>
      </c>
      <c r="B235" s="6"/>
      <c r="C235" s="77" t="s">
        <v>30</v>
      </c>
      <c r="D235" s="77" t="s">
        <v>505</v>
      </c>
      <c r="E235" s="77" t="s">
        <v>506</v>
      </c>
      <c r="F235" s="77" t="s">
        <v>44</v>
      </c>
      <c r="G235" s="77" t="s">
        <v>34</v>
      </c>
      <c r="H235" s="77">
        <f>STOCK[[#This Row],[Precio Final]]</f>
        <v>21</v>
      </c>
      <c r="I235" s="77">
        <f>STOCK[[#This Row],[Precio Venta Ideal (x1.5)]]</f>
        <v>23.9208333333333</v>
      </c>
      <c r="J235" s="92">
        <v>1</v>
      </c>
      <c r="K235" s="92">
        <f>SUMIFS(VENTAS[Cantidad],VENTAS[Código del producto Vendido],STOCK[[#This Row],[Code]])</f>
        <v>0</v>
      </c>
      <c r="L235" s="92">
        <f>STOCK[[#This Row],[Entradas]]-STOCK[[#This Row],[Salidas]]</f>
        <v>1</v>
      </c>
      <c r="M235" s="77">
        <f>STOCK[[#This Row],[Precio Final]]*10%</f>
        <v>2.1</v>
      </c>
      <c r="N235" s="77">
        <v>206.05</v>
      </c>
      <c r="O235" s="77">
        <v>18</v>
      </c>
      <c r="P235" s="77">
        <v>11.4472222222222</v>
      </c>
      <c r="Q235" s="92">
        <v>300</v>
      </c>
      <c r="R235" s="77">
        <v>8</v>
      </c>
      <c r="S235" s="77">
        <f>STOCK[[#This Row],[Peso (g)]]*STOCK[[#This Row],[Precio Envío Kilogramo (USD)]]/1000</f>
        <v>2.4</v>
      </c>
      <c r="T235" s="76">
        <f>STOCK[[#This Row],[Costo Unitario (USD)]]+STOCK[[#This Row],[Costo Envío (USD)]]+STOCK[[#This Row],[Comisión 10%]]</f>
        <v>15.9472222222222</v>
      </c>
      <c r="U235" s="77">
        <f>STOCK[[#This Row],[Costo total]]*1.5</f>
        <v>23.9208333333333</v>
      </c>
      <c r="V235" s="77">
        <v>21</v>
      </c>
      <c r="W235" s="77">
        <f>STOCK[[#This Row],[Precio Final]]-STOCK[[#This Row],[Costo total]]</f>
        <v>5.0527777777778</v>
      </c>
      <c r="X235" s="77">
        <f>STOCK[[#This Row],[Ganancia Unitaria]]*STOCK[[#This Row],[Salidas]]</f>
        <v>0</v>
      </c>
      <c r="AA235" s="77">
        <f>STOCK[[#This Row],[Costo total]]*STOCK[[#This Row],[Entradas]]</f>
        <v>15.9472222222222</v>
      </c>
      <c r="AB235" s="77">
        <f>STOCK[[#This Row],[Stock Actual]]*STOCK[[#This Row],[Costo total]]</f>
        <v>15.9472222222222</v>
      </c>
    </row>
    <row r="236" s="76" customFormat="1" ht="50" hidden="1" customHeight="1" spans="1:28">
      <c r="A236" s="76" t="s">
        <v>507</v>
      </c>
      <c r="B236" s="6"/>
      <c r="C236" s="76" t="s">
        <v>30</v>
      </c>
      <c r="D236" s="76" t="s">
        <v>36</v>
      </c>
      <c r="E236" s="76" t="s">
        <v>508</v>
      </c>
      <c r="F236" s="76" t="s">
        <v>47</v>
      </c>
      <c r="G236" s="76" t="s">
        <v>34</v>
      </c>
      <c r="H236" s="76">
        <f>STOCK[[#This Row],[Precio Final]]</f>
        <v>25</v>
      </c>
      <c r="I236" s="76">
        <f>STOCK[[#This Row],[Precio Venta Ideal (x1.5)]]</f>
        <v>27.8166666666666</v>
      </c>
      <c r="J236" s="91">
        <v>2</v>
      </c>
      <c r="K236" s="91">
        <f>SUMIFS(VENTAS[Cantidad],VENTAS[Código del producto Vendido],STOCK[[#This Row],[Code]])</f>
        <v>2</v>
      </c>
      <c r="L236" s="91">
        <f>STOCK[[#This Row],[Entradas]]-STOCK[[#This Row],[Salidas]]</f>
        <v>0</v>
      </c>
      <c r="M236" s="76">
        <f>STOCK[[#This Row],[Precio Final]]*10%</f>
        <v>2.5</v>
      </c>
      <c r="N236" s="76">
        <v>260</v>
      </c>
      <c r="O236" s="76">
        <v>18</v>
      </c>
      <c r="P236" s="76">
        <v>14.4444444444444</v>
      </c>
      <c r="Q236" s="91">
        <v>200</v>
      </c>
      <c r="R236" s="76">
        <v>8</v>
      </c>
      <c r="S236" s="76">
        <f>STOCK[[#This Row],[Peso (g)]]*STOCK[[#This Row],[Precio Envío Kilogramo (USD)]]/1000</f>
        <v>1.6</v>
      </c>
      <c r="T236" s="76">
        <f>STOCK[[#This Row],[Costo Unitario (USD)]]+STOCK[[#This Row],[Costo Envío (USD)]]+STOCK[[#This Row],[Comisión 10%]]</f>
        <v>18.5444444444444</v>
      </c>
      <c r="U236" s="76">
        <f>STOCK[[#This Row],[Costo total]]*1.5</f>
        <v>27.8166666666666</v>
      </c>
      <c r="V236" s="76">
        <v>25</v>
      </c>
      <c r="W236" s="76">
        <f>STOCK[[#This Row],[Precio Final]]-STOCK[[#This Row],[Costo total]]</f>
        <v>6.4555555555556</v>
      </c>
      <c r="X236" s="76">
        <f>STOCK[[#This Row],[Ganancia Unitaria]]*STOCK[[#This Row],[Salidas]]</f>
        <v>12.9111111111112</v>
      </c>
      <c r="AA236" s="76">
        <f>STOCK[[#This Row],[Costo total]]*STOCK[[#This Row],[Entradas]]</f>
        <v>37.0888888888888</v>
      </c>
      <c r="AB236" s="76">
        <f>STOCK[[#This Row],[Stock Actual]]*STOCK[[#This Row],[Costo total]]</f>
        <v>0</v>
      </c>
    </row>
    <row r="237" s="77" customFormat="1" ht="50" hidden="1" customHeight="1" spans="1:28">
      <c r="A237" s="77" t="s">
        <v>509</v>
      </c>
      <c r="B237" s="6"/>
      <c r="C237" s="77" t="s">
        <v>30</v>
      </c>
      <c r="D237" s="77" t="s">
        <v>36</v>
      </c>
      <c r="E237" s="77" t="s">
        <v>510</v>
      </c>
      <c r="F237" s="77" t="s">
        <v>86</v>
      </c>
      <c r="G237" s="77" t="s">
        <v>34</v>
      </c>
      <c r="H237" s="77">
        <f>STOCK[[#This Row],[Precio Final]]</f>
        <v>25</v>
      </c>
      <c r="I237" s="77">
        <f>STOCK[[#This Row],[Precio Venta Ideal (x1.5)]]</f>
        <v>27.8166666666666</v>
      </c>
      <c r="J237" s="92">
        <v>2</v>
      </c>
      <c r="K237" s="92">
        <f>SUMIFS(VENTAS[Cantidad],VENTAS[Código del producto Vendido],STOCK[[#This Row],[Code]])</f>
        <v>2</v>
      </c>
      <c r="L237" s="92">
        <f>STOCK[[#This Row],[Entradas]]-STOCK[[#This Row],[Salidas]]</f>
        <v>0</v>
      </c>
      <c r="M237" s="77">
        <f>STOCK[[#This Row],[Precio Final]]*10%</f>
        <v>2.5</v>
      </c>
      <c r="N237" s="77">
        <v>260</v>
      </c>
      <c r="O237" s="77">
        <v>18</v>
      </c>
      <c r="P237" s="77">
        <v>14.4444444444444</v>
      </c>
      <c r="Q237" s="92">
        <v>200</v>
      </c>
      <c r="R237" s="77">
        <v>8</v>
      </c>
      <c r="S237" s="77">
        <f>STOCK[[#This Row],[Peso (g)]]*STOCK[[#This Row],[Precio Envío Kilogramo (USD)]]/1000</f>
        <v>1.6</v>
      </c>
      <c r="T237" s="76">
        <f>STOCK[[#This Row],[Costo Unitario (USD)]]+STOCK[[#This Row],[Costo Envío (USD)]]+STOCK[[#This Row],[Comisión 10%]]</f>
        <v>18.5444444444444</v>
      </c>
      <c r="U237" s="77">
        <f>STOCK[[#This Row],[Costo total]]*1.5</f>
        <v>27.8166666666666</v>
      </c>
      <c r="V237" s="77">
        <v>25</v>
      </c>
      <c r="W237" s="77">
        <f>STOCK[[#This Row],[Precio Final]]-STOCK[[#This Row],[Costo total]]</f>
        <v>6.4555555555556</v>
      </c>
      <c r="X237" s="77">
        <f>STOCK[[#This Row],[Ganancia Unitaria]]*STOCK[[#This Row],[Salidas]]</f>
        <v>12.9111111111112</v>
      </c>
      <c r="AA237" s="77">
        <f>STOCK[[#This Row],[Costo total]]*STOCK[[#This Row],[Entradas]]</f>
        <v>37.0888888888888</v>
      </c>
      <c r="AB237" s="77">
        <f>STOCK[[#This Row],[Stock Actual]]*STOCK[[#This Row],[Costo total]]</f>
        <v>0</v>
      </c>
    </row>
    <row r="238" s="76" customFormat="1" ht="50" hidden="1" customHeight="1" spans="1:28">
      <c r="A238" s="76" t="s">
        <v>511</v>
      </c>
      <c r="B238" s="6"/>
      <c r="C238" s="76" t="s">
        <v>30</v>
      </c>
      <c r="E238" s="76" t="s">
        <v>512</v>
      </c>
      <c r="F238" s="76" t="s">
        <v>393</v>
      </c>
      <c r="G238" s="76" t="s">
        <v>34</v>
      </c>
      <c r="H238" s="76">
        <f>STOCK[[#This Row],[Precio Final]]</f>
        <v>5</v>
      </c>
      <c r="I238" s="76">
        <f>STOCK[[#This Row],[Precio Venta Ideal (x1.5)]]</f>
        <v>4.82916666666666</v>
      </c>
      <c r="J238" s="91">
        <v>0</v>
      </c>
      <c r="K238" s="91">
        <f>SUMIFS(VENTAS[Cantidad],VENTAS[Código del producto Vendido],STOCK[[#This Row],[Code]])</f>
        <v>0</v>
      </c>
      <c r="L238" s="91">
        <f>STOCK[[#This Row],[Entradas]]-STOCK[[#This Row],[Salidas]]</f>
        <v>0</v>
      </c>
      <c r="M238" s="76">
        <f>STOCK[[#This Row],[Precio Final]]*10%</f>
        <v>0.5</v>
      </c>
      <c r="N238" s="76">
        <v>46.07</v>
      </c>
      <c r="O238" s="76">
        <v>18</v>
      </c>
      <c r="P238" s="76">
        <v>2.55944444444444</v>
      </c>
      <c r="Q238" s="91">
        <v>20</v>
      </c>
      <c r="R238" s="76">
        <v>8</v>
      </c>
      <c r="S238" s="76">
        <f>STOCK[[#This Row],[Peso (g)]]*STOCK[[#This Row],[Precio Envío Kilogramo (USD)]]/1000</f>
        <v>0.16</v>
      </c>
      <c r="T238" s="76">
        <f>STOCK[[#This Row],[Costo Unitario (USD)]]+STOCK[[#This Row],[Costo Envío (USD)]]+STOCK[[#This Row],[Comisión 10%]]</f>
        <v>3.21944444444444</v>
      </c>
      <c r="U238" s="76">
        <f>STOCK[[#This Row],[Costo total]]*1.5</f>
        <v>4.82916666666666</v>
      </c>
      <c r="V238" s="76">
        <v>5</v>
      </c>
      <c r="W238" s="76">
        <f>STOCK[[#This Row],[Precio Final]]-STOCK[[#This Row],[Costo total]]</f>
        <v>1.78055555555556</v>
      </c>
      <c r="X238" s="76">
        <f>STOCK[[#This Row],[Ganancia Unitaria]]*STOCK[[#This Row],[Salidas]]</f>
        <v>0</v>
      </c>
      <c r="AA238" s="76">
        <f>STOCK[[#This Row],[Costo total]]*STOCK[[#This Row],[Entradas]]</f>
        <v>0</v>
      </c>
      <c r="AB238" s="76">
        <f>STOCK[[#This Row],[Stock Actual]]*STOCK[[#This Row],[Costo total]]</f>
        <v>0</v>
      </c>
    </row>
    <row r="239" s="77" customFormat="1" ht="50" hidden="1" customHeight="1" spans="1:28">
      <c r="A239" s="77" t="s">
        <v>513</v>
      </c>
      <c r="B239" s="6"/>
      <c r="C239" s="77" t="s">
        <v>30</v>
      </c>
      <c r="D239" s="77" t="s">
        <v>514</v>
      </c>
      <c r="E239" s="77" t="s">
        <v>515</v>
      </c>
      <c r="F239" s="77" t="s">
        <v>516</v>
      </c>
      <c r="G239" s="77" t="s">
        <v>34</v>
      </c>
      <c r="H239" s="77">
        <f>STOCK[[#This Row],[Precio Final]]</f>
        <v>20</v>
      </c>
      <c r="I239" s="77">
        <f>STOCK[[#This Row],[Precio Venta Ideal (x1.5)]]</f>
        <v>21.9558333333333</v>
      </c>
      <c r="J239" s="92">
        <v>1</v>
      </c>
      <c r="K239" s="92">
        <f>SUMIFS(VENTAS[Cantidad],VENTAS[Código del producto Vendido],STOCK[[#This Row],[Code]])</f>
        <v>1</v>
      </c>
      <c r="L239" s="92">
        <f>STOCK[[#This Row],[Entradas]]-STOCK[[#This Row],[Salidas]]</f>
        <v>0</v>
      </c>
      <c r="M239" s="77">
        <f>STOCK[[#This Row],[Precio Final]]*10%</f>
        <v>2</v>
      </c>
      <c r="N239" s="77">
        <v>184.27</v>
      </c>
      <c r="O239" s="77">
        <v>18</v>
      </c>
      <c r="P239" s="77">
        <v>10.2372222222222</v>
      </c>
      <c r="Q239" s="92">
        <v>300</v>
      </c>
      <c r="R239" s="77">
        <v>8</v>
      </c>
      <c r="S239" s="77">
        <f>STOCK[[#This Row],[Peso (g)]]*STOCK[[#This Row],[Precio Envío Kilogramo (USD)]]/1000</f>
        <v>2.4</v>
      </c>
      <c r="T239" s="76">
        <f>STOCK[[#This Row],[Costo Unitario (USD)]]+STOCK[[#This Row],[Costo Envío (USD)]]+STOCK[[#This Row],[Comisión 10%]]</f>
        <v>14.6372222222222</v>
      </c>
      <c r="U239" s="77">
        <f>STOCK[[#This Row],[Costo total]]*1.5</f>
        <v>21.9558333333333</v>
      </c>
      <c r="V239" s="77">
        <v>20</v>
      </c>
      <c r="W239" s="77">
        <f>STOCK[[#This Row],[Precio Final]]-STOCK[[#This Row],[Costo total]]</f>
        <v>5.3627777777778</v>
      </c>
      <c r="X239" s="77">
        <f>STOCK[[#This Row],[Ganancia Unitaria]]*STOCK[[#This Row],[Salidas]]</f>
        <v>5.3627777777778</v>
      </c>
      <c r="AA239" s="77">
        <f>STOCK[[#This Row],[Costo total]]*STOCK[[#This Row],[Entradas]]</f>
        <v>14.6372222222222</v>
      </c>
      <c r="AB239" s="77">
        <f>STOCK[[#This Row],[Stock Actual]]*STOCK[[#This Row],[Costo total]]</f>
        <v>0</v>
      </c>
    </row>
    <row r="240" s="76" customFormat="1" ht="50" hidden="1" customHeight="1" spans="1:28">
      <c r="A240" s="76" t="s">
        <v>517</v>
      </c>
      <c r="B240" s="6"/>
      <c r="C240" s="76" t="s">
        <v>30</v>
      </c>
      <c r="D240" s="76" t="s">
        <v>350</v>
      </c>
      <c r="E240" s="76" t="s">
        <v>518</v>
      </c>
      <c r="F240" s="76" t="s">
        <v>393</v>
      </c>
      <c r="G240" s="76" t="s">
        <v>34</v>
      </c>
      <c r="H240" s="76">
        <f>STOCK[[#This Row],[Precio Final]]</f>
        <v>2</v>
      </c>
      <c r="I240" s="76">
        <f>STOCK[[#This Row],[Precio Venta Ideal (x1.5)]]</f>
        <v>1.56666666666667</v>
      </c>
      <c r="J240" s="91">
        <v>10</v>
      </c>
      <c r="K240" s="91">
        <f>SUMIFS(VENTAS[Cantidad],VENTAS[Código del producto Vendido],STOCK[[#This Row],[Code]])</f>
        <v>10</v>
      </c>
      <c r="L240" s="91">
        <f>STOCK[[#This Row],[Entradas]]-STOCK[[#This Row],[Salidas]]</f>
        <v>0</v>
      </c>
      <c r="M240" s="76">
        <f>STOCK[[#This Row],[Precio Final]]*10%</f>
        <v>0.2</v>
      </c>
      <c r="N240" s="76">
        <v>8</v>
      </c>
      <c r="O240" s="76">
        <v>18</v>
      </c>
      <c r="P240" s="76">
        <v>0.444444444444444</v>
      </c>
      <c r="Q240" s="91">
        <v>50</v>
      </c>
      <c r="R240" s="76">
        <v>8</v>
      </c>
      <c r="S240" s="76">
        <f>STOCK[[#This Row],[Peso (g)]]*STOCK[[#This Row],[Precio Envío Kilogramo (USD)]]/1000</f>
        <v>0.4</v>
      </c>
      <c r="T240" s="76">
        <f>STOCK[[#This Row],[Costo Unitario (USD)]]+STOCK[[#This Row],[Costo Envío (USD)]]+STOCK[[#This Row],[Comisión 10%]]</f>
        <v>1.04444444444444</v>
      </c>
      <c r="U240" s="76">
        <f>STOCK[[#This Row],[Costo total]]*1.5</f>
        <v>1.56666666666667</v>
      </c>
      <c r="V240" s="76">
        <v>2</v>
      </c>
      <c r="W240" s="76">
        <f>STOCK[[#This Row],[Precio Final]]-STOCK[[#This Row],[Costo total]]</f>
        <v>0.955555555555556</v>
      </c>
      <c r="X240" s="76">
        <f>STOCK[[#This Row],[Ganancia Unitaria]]*STOCK[[#This Row],[Salidas]]</f>
        <v>9.55555555555556</v>
      </c>
      <c r="AA240" s="76">
        <f>STOCK[[#This Row],[Costo total]]*STOCK[[#This Row],[Entradas]]</f>
        <v>10.4444444444444</v>
      </c>
      <c r="AB240" s="76">
        <f>STOCK[[#This Row],[Stock Actual]]*STOCK[[#This Row],[Costo total]]</f>
        <v>0</v>
      </c>
    </row>
    <row r="241" s="77" customFormat="1" ht="50" hidden="1" customHeight="1" spans="1:28">
      <c r="A241" s="77" t="s">
        <v>519</v>
      </c>
      <c r="B241" s="6"/>
      <c r="C241" s="77" t="s">
        <v>30</v>
      </c>
      <c r="D241" s="77" t="s">
        <v>514</v>
      </c>
      <c r="E241" s="77" t="s">
        <v>520</v>
      </c>
      <c r="F241" s="77" t="s">
        <v>516</v>
      </c>
      <c r="G241" s="77" t="s">
        <v>34</v>
      </c>
      <c r="H241" s="77">
        <f>STOCK[[#This Row],[Precio Final]]</f>
        <v>26</v>
      </c>
      <c r="I241" s="77">
        <f>STOCK[[#This Row],[Precio Venta Ideal (x1.5)]]</f>
        <v>29.2891666666666</v>
      </c>
      <c r="J241" s="92">
        <v>1</v>
      </c>
      <c r="K241" s="92">
        <f>SUMIFS(VENTAS[Cantidad],VENTAS[Código del producto Vendido],STOCK[[#This Row],[Code]])</f>
        <v>1</v>
      </c>
      <c r="L241" s="92">
        <f>STOCK[[#This Row],[Entradas]]-STOCK[[#This Row],[Salidas]]</f>
        <v>0</v>
      </c>
      <c r="M241" s="77">
        <f>STOCK[[#This Row],[Precio Final]]*10%</f>
        <v>2.6</v>
      </c>
      <c r="N241" s="77">
        <v>261.47</v>
      </c>
      <c r="O241" s="77">
        <v>18</v>
      </c>
      <c r="P241" s="77">
        <v>14.5261111111111</v>
      </c>
      <c r="Q241" s="92">
        <v>300</v>
      </c>
      <c r="R241" s="77">
        <v>8</v>
      </c>
      <c r="S241" s="77">
        <f>STOCK[[#This Row],[Peso (g)]]*STOCK[[#This Row],[Precio Envío Kilogramo (USD)]]/1000</f>
        <v>2.4</v>
      </c>
      <c r="T241" s="76">
        <f>STOCK[[#This Row],[Costo Unitario (USD)]]+STOCK[[#This Row],[Costo Envío (USD)]]+STOCK[[#This Row],[Comisión 10%]]</f>
        <v>19.5261111111111</v>
      </c>
      <c r="U241" s="77">
        <f>STOCK[[#This Row],[Costo total]]*1.5</f>
        <v>29.2891666666666</v>
      </c>
      <c r="V241" s="77">
        <v>26</v>
      </c>
      <c r="W241" s="77">
        <f>STOCK[[#This Row],[Precio Final]]-STOCK[[#This Row],[Costo total]]</f>
        <v>6.4738888888889</v>
      </c>
      <c r="X241" s="77">
        <f>STOCK[[#This Row],[Ganancia Unitaria]]*STOCK[[#This Row],[Salidas]]</f>
        <v>6.4738888888889</v>
      </c>
      <c r="AA241" s="77">
        <f>STOCK[[#This Row],[Costo total]]*STOCK[[#This Row],[Entradas]]</f>
        <v>19.5261111111111</v>
      </c>
      <c r="AB241" s="77">
        <f>STOCK[[#This Row],[Stock Actual]]*STOCK[[#This Row],[Costo total]]</f>
        <v>0</v>
      </c>
    </row>
    <row r="242" s="76" customFormat="1" ht="50" hidden="1" customHeight="1" spans="1:29">
      <c r="A242" s="76" t="s">
        <v>521</v>
      </c>
      <c r="B242" s="6"/>
      <c r="C242" s="76" t="s">
        <v>30</v>
      </c>
      <c r="D242" s="76" t="s">
        <v>522</v>
      </c>
      <c r="E242" s="76" t="s">
        <v>523</v>
      </c>
      <c r="F242" s="76" t="s">
        <v>524</v>
      </c>
      <c r="G242" s="76" t="s">
        <v>34</v>
      </c>
      <c r="H242" s="76">
        <f>STOCK[[#This Row],[Precio Final]]</f>
        <v>1</v>
      </c>
      <c r="I242" s="76">
        <f>STOCK[[#This Row],[Precio Venta Ideal (x1.5)]]</f>
        <v>0.512083333333333</v>
      </c>
      <c r="J242" s="91">
        <v>8</v>
      </c>
      <c r="K242" s="91">
        <f>SUMIFS(VENTAS[Cantidad],VENTAS[Código del producto Vendido],STOCK[[#This Row],[Code]])</f>
        <v>3</v>
      </c>
      <c r="L242" s="91">
        <f>STOCK[[#This Row],[Entradas]]-STOCK[[#This Row],[Salidas]]</f>
        <v>5</v>
      </c>
      <c r="M242" s="76">
        <f>STOCK[[#This Row],[Precio Final]]*10%</f>
        <v>0.1</v>
      </c>
      <c r="N242" s="76">
        <v>0.025</v>
      </c>
      <c r="O242" s="76">
        <v>18</v>
      </c>
      <c r="P242" s="76">
        <v>0.00138888888888889</v>
      </c>
      <c r="Q242" s="91">
        <v>30</v>
      </c>
      <c r="R242" s="76">
        <v>8</v>
      </c>
      <c r="S242" s="76">
        <f>STOCK[[#This Row],[Peso (g)]]*STOCK[[#This Row],[Precio Envío Kilogramo (USD)]]/1000</f>
        <v>0.24</v>
      </c>
      <c r="T242" s="76">
        <f>STOCK[[#This Row],[Costo Unitario (USD)]]+STOCK[[#This Row],[Costo Envío (USD)]]+STOCK[[#This Row],[Comisión 10%]]</f>
        <v>0.341388888888889</v>
      </c>
      <c r="U242" s="76">
        <f>STOCK[[#This Row],[Costo total]]*1.5</f>
        <v>0.512083333333333</v>
      </c>
      <c r="V242" s="76">
        <v>1</v>
      </c>
      <c r="W242" s="76">
        <f>STOCK[[#This Row],[Precio Final]]-STOCK[[#This Row],[Costo total]]</f>
        <v>0.658611111111111</v>
      </c>
      <c r="X242" s="76">
        <f>STOCK[[#This Row],[Ganancia Unitaria]]*STOCK[[#This Row],[Salidas]]</f>
        <v>1.97583333333333</v>
      </c>
      <c r="AA242" s="76">
        <f>STOCK[[#This Row],[Costo total]]*STOCK[[#This Row],[Entradas]]</f>
        <v>2.73111111111111</v>
      </c>
      <c r="AB242" s="76">
        <f>STOCK[[#This Row],[Stock Actual]]*STOCK[[#This Row],[Costo total]]</f>
        <v>1.70694444444444</v>
      </c>
      <c r="AC242" s="76">
        <v>0.8</v>
      </c>
    </row>
    <row r="243" s="77" customFormat="1" ht="50" hidden="1" customHeight="1" spans="1:28">
      <c r="A243" s="77" t="s">
        <v>525</v>
      </c>
      <c r="B243" s="6"/>
      <c r="C243" s="77" t="s">
        <v>30</v>
      </c>
      <c r="D243" s="77" t="s">
        <v>526</v>
      </c>
      <c r="E243" s="77" t="s">
        <v>527</v>
      </c>
      <c r="F243" s="77" t="s">
        <v>528</v>
      </c>
      <c r="G243" s="77" t="s">
        <v>34</v>
      </c>
      <c r="H243" s="77">
        <f>STOCK[[#This Row],[Precio Final]]</f>
        <v>30</v>
      </c>
      <c r="I243" s="77">
        <f>STOCK[[#This Row],[Precio Venta Ideal (x1.5)]]</f>
        <v>29.5766666666667</v>
      </c>
      <c r="J243" s="92">
        <v>1</v>
      </c>
      <c r="K243" s="92">
        <f>SUMIFS(VENTAS[Cantidad],VENTAS[Código del producto Vendido],STOCK[[#This Row],[Code]])</f>
        <v>1</v>
      </c>
      <c r="L243" s="92">
        <f>STOCK[[#This Row],[Entradas]]-STOCK[[#This Row],[Salidas]]</f>
        <v>0</v>
      </c>
      <c r="M243" s="77">
        <f>STOCK[[#This Row],[Precio Final]]*10%</f>
        <v>3</v>
      </c>
      <c r="N243" s="77">
        <v>228.92</v>
      </c>
      <c r="O243" s="77">
        <v>18</v>
      </c>
      <c r="P243" s="77">
        <v>12.7177777777778</v>
      </c>
      <c r="Q243" s="92">
        <v>500</v>
      </c>
      <c r="R243" s="77">
        <v>8</v>
      </c>
      <c r="S243" s="77">
        <f>STOCK[[#This Row],[Peso (g)]]*STOCK[[#This Row],[Precio Envío Kilogramo (USD)]]/1000</f>
        <v>4</v>
      </c>
      <c r="T243" s="76">
        <f>STOCK[[#This Row],[Costo Unitario (USD)]]+STOCK[[#This Row],[Costo Envío (USD)]]+STOCK[[#This Row],[Comisión 10%]]</f>
        <v>19.7177777777778</v>
      </c>
      <c r="U243" s="77">
        <f>STOCK[[#This Row],[Costo total]]*1.5</f>
        <v>29.5766666666667</v>
      </c>
      <c r="V243" s="77">
        <v>30</v>
      </c>
      <c r="W243" s="77">
        <f>STOCK[[#This Row],[Precio Final]]-STOCK[[#This Row],[Costo total]]</f>
        <v>10.2822222222222</v>
      </c>
      <c r="X243" s="77">
        <f>STOCK[[#This Row],[Ganancia Unitaria]]*STOCK[[#This Row],[Salidas]]</f>
        <v>10.2822222222222</v>
      </c>
      <c r="AA243" s="77">
        <f>STOCK[[#This Row],[Costo total]]*STOCK[[#This Row],[Entradas]]</f>
        <v>19.7177777777778</v>
      </c>
      <c r="AB243" s="77">
        <f>STOCK[[#This Row],[Stock Actual]]*STOCK[[#This Row],[Costo total]]</f>
        <v>0</v>
      </c>
    </row>
    <row r="244" s="76" customFormat="1" ht="50" hidden="1" customHeight="1" spans="1:29">
      <c r="A244" s="76" t="s">
        <v>529</v>
      </c>
      <c r="B244" s="6"/>
      <c r="C244" s="76" t="s">
        <v>30</v>
      </c>
      <c r="D244" s="76" t="s">
        <v>522</v>
      </c>
      <c r="E244" s="76" t="s">
        <v>530</v>
      </c>
      <c r="F244" s="76" t="s">
        <v>524</v>
      </c>
      <c r="G244" s="76" t="s">
        <v>34</v>
      </c>
      <c r="H244" s="76">
        <f>STOCK[[#This Row],[Precio Final]]</f>
        <v>1</v>
      </c>
      <c r="I244" s="76">
        <f>STOCK[[#This Row],[Precio Venta Ideal (x1.5)]]</f>
        <v>0.804166666666667</v>
      </c>
      <c r="J244" s="91">
        <v>7</v>
      </c>
      <c r="K244" s="91">
        <f>SUMIFS(VENTAS[Cantidad],VENTAS[Código del producto Vendido],STOCK[[#This Row],[Code]])</f>
        <v>4</v>
      </c>
      <c r="L244" s="91">
        <f>STOCK[[#This Row],[Entradas]]-STOCK[[#This Row],[Salidas]]</f>
        <v>3</v>
      </c>
      <c r="M244" s="76">
        <f>STOCK[[#This Row],[Precio Final]]*10%</f>
        <v>0.1</v>
      </c>
      <c r="N244" s="76">
        <v>0.65</v>
      </c>
      <c r="O244" s="76">
        <v>18</v>
      </c>
      <c r="P244" s="76">
        <v>0.0361111111111111</v>
      </c>
      <c r="Q244" s="91">
        <v>50</v>
      </c>
      <c r="R244" s="76">
        <v>8</v>
      </c>
      <c r="S244" s="76">
        <f>STOCK[[#This Row],[Peso (g)]]*STOCK[[#This Row],[Precio Envío Kilogramo (USD)]]/1000</f>
        <v>0.4</v>
      </c>
      <c r="T244" s="76">
        <f>STOCK[[#This Row],[Costo Unitario (USD)]]+STOCK[[#This Row],[Costo Envío (USD)]]+STOCK[[#This Row],[Comisión 10%]]</f>
        <v>0.536111111111111</v>
      </c>
      <c r="U244" s="76">
        <f>STOCK[[#This Row],[Costo total]]*1.5</f>
        <v>0.804166666666667</v>
      </c>
      <c r="V244" s="76">
        <v>1</v>
      </c>
      <c r="W244" s="76">
        <f>STOCK[[#This Row],[Precio Final]]-STOCK[[#This Row],[Costo total]]</f>
        <v>0.463888888888889</v>
      </c>
      <c r="X244" s="76">
        <f>STOCK[[#This Row],[Ganancia Unitaria]]*STOCK[[#This Row],[Salidas]]</f>
        <v>1.85555555555556</v>
      </c>
      <c r="AA244" s="76">
        <f>STOCK[[#This Row],[Costo total]]*STOCK[[#This Row],[Entradas]]</f>
        <v>3.75277777777778</v>
      </c>
      <c r="AB244" s="76">
        <f>STOCK[[#This Row],[Stock Actual]]*STOCK[[#This Row],[Costo total]]</f>
        <v>1.60833333333333</v>
      </c>
      <c r="AC244" s="76">
        <v>0.6</v>
      </c>
    </row>
    <row r="245" s="77" customFormat="1" ht="50" hidden="1" customHeight="1" spans="1:28">
      <c r="A245" s="77" t="s">
        <v>531</v>
      </c>
      <c r="B245" s="6"/>
      <c r="C245" s="77" t="s">
        <v>30</v>
      </c>
      <c r="D245" s="77" t="s">
        <v>173</v>
      </c>
      <c r="E245" s="77" t="s">
        <v>532</v>
      </c>
      <c r="G245" s="77" t="s">
        <v>34</v>
      </c>
      <c r="H245" s="77">
        <f>STOCK[[#This Row],[Precio Final]]</f>
        <v>1</v>
      </c>
      <c r="I245" s="77">
        <f>STOCK[[#This Row],[Precio Venta Ideal (x1.5)]]</f>
        <v>3.22166666666667</v>
      </c>
      <c r="J245" s="92">
        <v>1</v>
      </c>
      <c r="K245" s="92">
        <f>SUMIFS(VENTAS[Cantidad],VENTAS[Código del producto Vendido],STOCK[[#This Row],[Code]])</f>
        <v>1</v>
      </c>
      <c r="L245" s="92">
        <f>STOCK[[#This Row],[Entradas]]-STOCK[[#This Row],[Salidas]]</f>
        <v>0</v>
      </c>
      <c r="M245" s="77">
        <f>STOCK[[#This Row],[Precio Final]]*10%</f>
        <v>0.1</v>
      </c>
      <c r="N245" s="77">
        <v>36.86</v>
      </c>
      <c r="O245" s="77">
        <v>18</v>
      </c>
      <c r="P245" s="77">
        <v>2.04777777777778</v>
      </c>
      <c r="Q245" s="92"/>
      <c r="R245" s="77">
        <v>8</v>
      </c>
      <c r="S245" s="77">
        <f>STOCK[[#This Row],[Peso (g)]]*STOCK[[#This Row],[Precio Envío Kilogramo (USD)]]/1000</f>
        <v>0</v>
      </c>
      <c r="T245" s="76">
        <f>STOCK[[#This Row],[Costo Unitario (USD)]]+STOCK[[#This Row],[Costo Envío (USD)]]+STOCK[[#This Row],[Comisión 10%]]</f>
        <v>2.14777777777778</v>
      </c>
      <c r="U245" s="77">
        <f>STOCK[[#This Row],[Costo total]]*1.5</f>
        <v>3.22166666666667</v>
      </c>
      <c r="V245" s="77">
        <v>1</v>
      </c>
      <c r="W245" s="77">
        <f>STOCK[[#This Row],[Precio Final]]-STOCK[[#This Row],[Costo total]]</f>
        <v>-1.14777777777778</v>
      </c>
      <c r="X245" s="77">
        <f>STOCK[[#This Row],[Ganancia Unitaria]]*STOCK[[#This Row],[Salidas]]</f>
        <v>-1.14777777777778</v>
      </c>
      <c r="AA245" s="77">
        <f>STOCK[[#This Row],[Costo total]]*STOCK[[#This Row],[Entradas]]</f>
        <v>2.14777777777778</v>
      </c>
      <c r="AB245" s="77">
        <f>STOCK[[#This Row],[Stock Actual]]*STOCK[[#This Row],[Costo total]]</f>
        <v>0</v>
      </c>
    </row>
    <row r="246" s="76" customFormat="1" ht="50" hidden="1" customHeight="1" spans="1:28">
      <c r="A246" s="76" t="s">
        <v>533</v>
      </c>
      <c r="B246" s="6"/>
      <c r="C246" s="76" t="s">
        <v>30</v>
      </c>
      <c r="D246" s="76" t="s">
        <v>42</v>
      </c>
      <c r="E246" s="76" t="s">
        <v>534</v>
      </c>
      <c r="F246" s="76" t="s">
        <v>186</v>
      </c>
      <c r="G246" s="76" t="s">
        <v>34</v>
      </c>
      <c r="H246" s="76">
        <f>STOCK[[#This Row],[Precio Final]]</f>
        <v>18</v>
      </c>
      <c r="I246" s="76">
        <f>STOCK[[#This Row],[Precio Venta Ideal (x1.5)]]</f>
        <v>24.7666666666666</v>
      </c>
      <c r="J246" s="91">
        <v>1</v>
      </c>
      <c r="K246" s="91">
        <f>SUMIFS(VENTAS[Cantidad],VENTAS[Código del producto Vendido],STOCK[[#This Row],[Code]])</f>
        <v>1</v>
      </c>
      <c r="L246" s="91">
        <f>STOCK[[#This Row],[Entradas]]-STOCK[[#This Row],[Salidas]]</f>
        <v>0</v>
      </c>
      <c r="M246" s="76">
        <f>STOCK[[#This Row],[Precio Final]]*10%</f>
        <v>1.8</v>
      </c>
      <c r="N246" s="76">
        <v>228.8</v>
      </c>
      <c r="O246" s="76">
        <v>18</v>
      </c>
      <c r="P246" s="76">
        <v>12.7111111111111</v>
      </c>
      <c r="Q246" s="91">
        <v>250</v>
      </c>
      <c r="R246" s="76">
        <v>8</v>
      </c>
      <c r="S246" s="76">
        <f>STOCK[[#This Row],[Peso (g)]]*STOCK[[#This Row],[Precio Envío Kilogramo (USD)]]/1000</f>
        <v>2</v>
      </c>
      <c r="T246" s="76">
        <f>STOCK[[#This Row],[Costo Unitario (USD)]]+STOCK[[#This Row],[Costo Envío (USD)]]+STOCK[[#This Row],[Comisión 10%]]</f>
        <v>16.5111111111111</v>
      </c>
      <c r="U246" s="76">
        <f>STOCK[[#This Row],[Costo total]]*1.5</f>
        <v>24.7666666666666</v>
      </c>
      <c r="V246" s="76">
        <v>18</v>
      </c>
      <c r="W246" s="76">
        <f>STOCK[[#This Row],[Precio Final]]-STOCK[[#This Row],[Costo total]]</f>
        <v>1.4888888888889</v>
      </c>
      <c r="X246" s="76">
        <f>STOCK[[#This Row],[Ganancia Unitaria]]*STOCK[[#This Row],[Salidas]]</f>
        <v>1.4888888888889</v>
      </c>
      <c r="AA246" s="76">
        <f>STOCK[[#This Row],[Costo total]]*STOCK[[#This Row],[Entradas]]</f>
        <v>16.5111111111111</v>
      </c>
      <c r="AB246" s="76">
        <f>STOCK[[#This Row],[Stock Actual]]*STOCK[[#This Row],[Costo total]]</f>
        <v>0</v>
      </c>
    </row>
    <row r="247" s="77" customFormat="1" ht="50" hidden="1" customHeight="1" spans="1:28">
      <c r="A247" s="77" t="s">
        <v>535</v>
      </c>
      <c r="B247" s="6"/>
      <c r="C247" s="77" t="s">
        <v>30</v>
      </c>
      <c r="D247" s="77" t="s">
        <v>350</v>
      </c>
      <c r="E247" s="77" t="s">
        <v>536</v>
      </c>
      <c r="F247" s="77" t="s">
        <v>33</v>
      </c>
      <c r="G247" s="77" t="s">
        <v>34</v>
      </c>
      <c r="H247" s="77">
        <f>STOCK[[#This Row],[Precio Final]]</f>
        <v>12</v>
      </c>
      <c r="I247" s="77">
        <f>STOCK[[#This Row],[Precio Venta Ideal (x1.5)]]</f>
        <v>10.5458333333333</v>
      </c>
      <c r="J247" s="92">
        <v>2</v>
      </c>
      <c r="K247" s="92">
        <f>SUMIFS(VENTAS[Cantidad],VENTAS[Código del producto Vendido],STOCK[[#This Row],[Code]])</f>
        <v>2</v>
      </c>
      <c r="L247" s="92">
        <f>STOCK[[#This Row],[Entradas]]-STOCK[[#This Row],[Salidas]]</f>
        <v>0</v>
      </c>
      <c r="M247" s="77">
        <f>STOCK[[#This Row],[Precio Final]]*10%</f>
        <v>1.2</v>
      </c>
      <c r="N247" s="77">
        <v>97.75</v>
      </c>
      <c r="O247" s="77">
        <v>18</v>
      </c>
      <c r="P247" s="77">
        <v>5.43055555555556</v>
      </c>
      <c r="Q247" s="92">
        <v>50</v>
      </c>
      <c r="R247" s="77">
        <v>8</v>
      </c>
      <c r="S247" s="77">
        <f>STOCK[[#This Row],[Peso (g)]]*STOCK[[#This Row],[Precio Envío Kilogramo (USD)]]/1000</f>
        <v>0.4</v>
      </c>
      <c r="T247" s="76">
        <f>STOCK[[#This Row],[Costo Unitario (USD)]]+STOCK[[#This Row],[Costo Envío (USD)]]+STOCK[[#This Row],[Comisión 10%]]</f>
        <v>7.03055555555556</v>
      </c>
      <c r="U247" s="77">
        <f>STOCK[[#This Row],[Costo total]]*1.5</f>
        <v>10.5458333333333</v>
      </c>
      <c r="V247" s="77">
        <v>12</v>
      </c>
      <c r="W247" s="77">
        <f>STOCK[[#This Row],[Precio Final]]-STOCK[[#This Row],[Costo total]]</f>
        <v>4.96944444444444</v>
      </c>
      <c r="X247" s="77">
        <f>STOCK[[#This Row],[Ganancia Unitaria]]*STOCK[[#This Row],[Salidas]]</f>
        <v>9.93888888888888</v>
      </c>
      <c r="AA247" s="77">
        <f>STOCK[[#This Row],[Costo total]]*STOCK[[#This Row],[Entradas]]</f>
        <v>14.0611111111111</v>
      </c>
      <c r="AB247" s="77">
        <f>STOCK[[#This Row],[Stock Actual]]*STOCK[[#This Row],[Costo total]]</f>
        <v>0</v>
      </c>
    </row>
    <row r="248" s="76" customFormat="1" ht="50" hidden="1" customHeight="1" spans="1:28">
      <c r="A248" s="76" t="s">
        <v>537</v>
      </c>
      <c r="B248" s="6"/>
      <c r="C248" s="76" t="s">
        <v>30</v>
      </c>
      <c r="D248" s="76" t="s">
        <v>514</v>
      </c>
      <c r="E248" s="76" t="s">
        <v>538</v>
      </c>
      <c r="F248" s="76" t="s">
        <v>539</v>
      </c>
      <c r="G248" s="76" t="s">
        <v>34</v>
      </c>
      <c r="H248" s="76">
        <f>STOCK[[#This Row],[Precio Final]]</f>
        <v>38</v>
      </c>
      <c r="I248" s="76">
        <f>STOCK[[#This Row],[Precio Venta Ideal (x1.5)]]</f>
        <v>47.5833333333333</v>
      </c>
      <c r="J248" s="91">
        <v>1</v>
      </c>
      <c r="K248" s="91">
        <f>SUMIFS(VENTAS[Cantidad],VENTAS[Código del producto Vendido],STOCK[[#This Row],[Code]])</f>
        <v>1</v>
      </c>
      <c r="L248" s="91">
        <f>STOCK[[#This Row],[Entradas]]-STOCK[[#This Row],[Salidas]]</f>
        <v>0</v>
      </c>
      <c r="M248" s="76">
        <f>STOCK[[#This Row],[Precio Final]]*10%</f>
        <v>3.8</v>
      </c>
      <c r="N248" s="76">
        <v>452.2</v>
      </c>
      <c r="O248" s="76">
        <v>18</v>
      </c>
      <c r="P248" s="76">
        <v>25.1222222222222</v>
      </c>
      <c r="Q248" s="91">
        <v>350</v>
      </c>
      <c r="R248" s="76">
        <v>8</v>
      </c>
      <c r="S248" s="76">
        <f>STOCK[[#This Row],[Peso (g)]]*STOCK[[#This Row],[Precio Envío Kilogramo (USD)]]/1000</f>
        <v>2.8</v>
      </c>
      <c r="T248" s="76">
        <f>STOCK[[#This Row],[Costo Unitario (USD)]]+STOCK[[#This Row],[Costo Envío (USD)]]+STOCK[[#This Row],[Comisión 10%]]</f>
        <v>31.7222222222222</v>
      </c>
      <c r="U248" s="76">
        <f>STOCK[[#This Row],[Costo total]]*1.5</f>
        <v>47.5833333333333</v>
      </c>
      <c r="V248" s="76">
        <v>38</v>
      </c>
      <c r="W248" s="76">
        <f>STOCK[[#This Row],[Precio Final]]-STOCK[[#This Row],[Costo total]]</f>
        <v>6.2777777777778</v>
      </c>
      <c r="X248" s="76">
        <f>STOCK[[#This Row],[Ganancia Unitaria]]*STOCK[[#This Row],[Salidas]]</f>
        <v>6.2777777777778</v>
      </c>
      <c r="AA248" s="76">
        <f>STOCK[[#This Row],[Costo total]]*STOCK[[#This Row],[Entradas]]</f>
        <v>31.7222222222222</v>
      </c>
      <c r="AB248" s="76">
        <f>STOCK[[#This Row],[Stock Actual]]*STOCK[[#This Row],[Costo total]]</f>
        <v>0</v>
      </c>
    </row>
    <row r="249" s="77" customFormat="1" ht="50" hidden="1" customHeight="1" spans="1:28">
      <c r="A249" s="77" t="s">
        <v>540</v>
      </c>
      <c r="B249" s="6"/>
      <c r="C249" s="77" t="s">
        <v>30</v>
      </c>
      <c r="D249" s="77" t="s">
        <v>151</v>
      </c>
      <c r="E249" s="77" t="s">
        <v>541</v>
      </c>
      <c r="F249" s="77" t="s">
        <v>60</v>
      </c>
      <c r="G249" s="77" t="s">
        <v>34</v>
      </c>
      <c r="H249" s="77">
        <f>STOCK[[#This Row],[Precio Final]]</f>
        <v>20</v>
      </c>
      <c r="I249" s="77">
        <f>STOCK[[#This Row],[Precio Venta Ideal (x1.5)]]</f>
        <v>21.7833333333333</v>
      </c>
      <c r="J249" s="92">
        <v>1</v>
      </c>
      <c r="K249" s="92">
        <f>SUMIFS(VENTAS[Cantidad],VENTAS[Código del producto Vendido],STOCK[[#This Row],[Code]])</f>
        <v>1</v>
      </c>
      <c r="L249" s="92">
        <f>STOCK[[#This Row],[Entradas]]-STOCK[[#This Row],[Salidas]]</f>
        <v>0</v>
      </c>
      <c r="M249" s="77">
        <f>STOCK[[#This Row],[Precio Final]]*10%</f>
        <v>2</v>
      </c>
      <c r="N249" s="77">
        <v>211</v>
      </c>
      <c r="O249" s="77">
        <v>18</v>
      </c>
      <c r="P249" s="77">
        <v>11.7222222222222</v>
      </c>
      <c r="Q249" s="92">
        <v>100</v>
      </c>
      <c r="R249" s="77">
        <v>8</v>
      </c>
      <c r="S249" s="77">
        <f>STOCK[[#This Row],[Peso (g)]]*STOCK[[#This Row],[Precio Envío Kilogramo (USD)]]/1000</f>
        <v>0.8</v>
      </c>
      <c r="T249" s="76">
        <f>STOCK[[#This Row],[Costo Unitario (USD)]]+STOCK[[#This Row],[Costo Envío (USD)]]+STOCK[[#This Row],[Comisión 10%]]</f>
        <v>14.5222222222222</v>
      </c>
      <c r="U249" s="77">
        <f>STOCK[[#This Row],[Costo total]]*1.5</f>
        <v>21.7833333333333</v>
      </c>
      <c r="V249" s="77">
        <v>20</v>
      </c>
      <c r="W249" s="77">
        <f>STOCK[[#This Row],[Precio Final]]-STOCK[[#This Row],[Costo total]]</f>
        <v>5.4777777777778</v>
      </c>
      <c r="X249" s="77">
        <f>STOCK[[#This Row],[Ganancia Unitaria]]*STOCK[[#This Row],[Salidas]]</f>
        <v>5.4777777777778</v>
      </c>
      <c r="AA249" s="77">
        <f>STOCK[[#This Row],[Costo total]]*STOCK[[#This Row],[Entradas]]</f>
        <v>14.5222222222222</v>
      </c>
      <c r="AB249" s="77">
        <f>STOCK[[#This Row],[Stock Actual]]*STOCK[[#This Row],[Costo total]]</f>
        <v>0</v>
      </c>
    </row>
    <row r="250" s="76" customFormat="1" ht="50" hidden="1" customHeight="1" spans="1:28">
      <c r="A250" s="76" t="s">
        <v>542</v>
      </c>
      <c r="B250" s="6"/>
      <c r="C250" s="76" t="s">
        <v>30</v>
      </c>
      <c r="D250" s="76" t="s">
        <v>173</v>
      </c>
      <c r="E250" s="76" t="s">
        <v>543</v>
      </c>
      <c r="F250" s="76" t="s">
        <v>60</v>
      </c>
      <c r="G250" s="76" t="s">
        <v>34</v>
      </c>
      <c r="H250" s="76">
        <f>STOCK[[#This Row],[Precio Final]]</f>
        <v>15</v>
      </c>
      <c r="I250" s="76">
        <f>STOCK[[#This Row],[Precio Venta Ideal (x1.5)]]</f>
        <v>17.8566666666667</v>
      </c>
      <c r="J250" s="91">
        <v>1</v>
      </c>
      <c r="K250" s="91">
        <f>SUMIFS(VENTAS[Cantidad],VENTAS[Código del producto Vendido],STOCK[[#This Row],[Code]])</f>
        <v>1</v>
      </c>
      <c r="L250" s="91">
        <f>STOCK[[#This Row],[Entradas]]-STOCK[[#This Row],[Salidas]]</f>
        <v>0</v>
      </c>
      <c r="M250" s="76">
        <f>STOCK[[#This Row],[Precio Final]]*10%</f>
        <v>1.5</v>
      </c>
      <c r="N250" s="76">
        <v>170</v>
      </c>
      <c r="O250" s="76">
        <v>18</v>
      </c>
      <c r="P250" s="76">
        <v>9.44444444444444</v>
      </c>
      <c r="Q250" s="91">
        <v>120</v>
      </c>
      <c r="R250" s="76">
        <v>8</v>
      </c>
      <c r="S250" s="76">
        <f>STOCK[[#This Row],[Peso (g)]]*STOCK[[#This Row],[Precio Envío Kilogramo (USD)]]/1000</f>
        <v>0.96</v>
      </c>
      <c r="T250" s="76">
        <f>STOCK[[#This Row],[Costo Unitario (USD)]]+STOCK[[#This Row],[Costo Envío (USD)]]+STOCK[[#This Row],[Comisión 10%]]</f>
        <v>11.9044444444444</v>
      </c>
      <c r="U250" s="76">
        <f>STOCK[[#This Row],[Costo total]]*1.5</f>
        <v>17.8566666666667</v>
      </c>
      <c r="V250" s="76">
        <v>15</v>
      </c>
      <c r="W250" s="76">
        <f>STOCK[[#This Row],[Precio Final]]-STOCK[[#This Row],[Costo total]]</f>
        <v>3.09555555555556</v>
      </c>
      <c r="X250" s="76">
        <f>STOCK[[#This Row],[Ganancia Unitaria]]*STOCK[[#This Row],[Salidas]]</f>
        <v>3.09555555555556</v>
      </c>
      <c r="AA250" s="76">
        <f>STOCK[[#This Row],[Costo total]]*STOCK[[#This Row],[Entradas]]</f>
        <v>11.9044444444444</v>
      </c>
      <c r="AB250" s="76">
        <f>STOCK[[#This Row],[Stock Actual]]*STOCK[[#This Row],[Costo total]]</f>
        <v>0</v>
      </c>
    </row>
    <row r="251" s="77" customFormat="1" ht="50" hidden="1" customHeight="1" spans="1:28">
      <c r="A251" s="77" t="s">
        <v>544</v>
      </c>
      <c r="B251" s="6"/>
      <c r="C251" s="77" t="s">
        <v>30</v>
      </c>
      <c r="D251" s="77" t="s">
        <v>545</v>
      </c>
      <c r="E251" s="77" t="s">
        <v>546</v>
      </c>
      <c r="F251" s="77" t="s">
        <v>547</v>
      </c>
      <c r="G251" s="77" t="s">
        <v>34</v>
      </c>
      <c r="H251" s="77">
        <f>STOCK[[#This Row],[Precio Final]]</f>
        <v>8</v>
      </c>
      <c r="I251" s="77">
        <f>STOCK[[#This Row],[Precio Venta Ideal (x1.5)]]</f>
        <v>6.99666666666666</v>
      </c>
      <c r="J251" s="92">
        <v>1</v>
      </c>
      <c r="K251" s="92">
        <f>SUMIFS(VENTAS[Cantidad],VENTAS[Código del producto Vendido],STOCK[[#This Row],[Code]])</f>
        <v>1</v>
      </c>
      <c r="L251" s="92">
        <f>STOCK[[#This Row],[Entradas]]-STOCK[[#This Row],[Salidas]]</f>
        <v>0</v>
      </c>
      <c r="M251" s="77">
        <f>STOCK[[#This Row],[Precio Final]]*10%</f>
        <v>0.8</v>
      </c>
      <c r="N251" s="77">
        <v>62.36</v>
      </c>
      <c r="O251" s="77">
        <v>18</v>
      </c>
      <c r="P251" s="77">
        <v>3.46444444444444</v>
      </c>
      <c r="Q251" s="92">
        <v>50</v>
      </c>
      <c r="R251" s="77">
        <v>8</v>
      </c>
      <c r="S251" s="77">
        <f>STOCK[[#This Row],[Peso (g)]]*STOCK[[#This Row],[Precio Envío Kilogramo (USD)]]/1000</f>
        <v>0.4</v>
      </c>
      <c r="T251" s="76">
        <f>STOCK[[#This Row],[Costo Unitario (USD)]]+STOCK[[#This Row],[Costo Envío (USD)]]+STOCK[[#This Row],[Comisión 10%]]</f>
        <v>4.66444444444444</v>
      </c>
      <c r="U251" s="77">
        <f>STOCK[[#This Row],[Costo total]]*1.5</f>
        <v>6.99666666666666</v>
      </c>
      <c r="V251" s="77">
        <v>8</v>
      </c>
      <c r="W251" s="77">
        <f>STOCK[[#This Row],[Precio Final]]-STOCK[[#This Row],[Costo total]]</f>
        <v>3.33555555555556</v>
      </c>
      <c r="X251" s="77">
        <f>STOCK[[#This Row],[Ganancia Unitaria]]*STOCK[[#This Row],[Salidas]]</f>
        <v>3.33555555555556</v>
      </c>
      <c r="AA251" s="77">
        <f>STOCK[[#This Row],[Costo total]]*STOCK[[#This Row],[Entradas]]</f>
        <v>4.66444444444444</v>
      </c>
      <c r="AB251" s="77">
        <f>STOCK[[#This Row],[Stock Actual]]*STOCK[[#This Row],[Costo total]]</f>
        <v>0</v>
      </c>
    </row>
    <row r="252" s="76" customFormat="1" ht="50" hidden="1" customHeight="1" spans="1:28">
      <c r="A252" s="76" t="s">
        <v>548</v>
      </c>
      <c r="B252" s="6"/>
      <c r="C252" s="76" t="s">
        <v>30</v>
      </c>
      <c r="D252" s="76" t="s">
        <v>151</v>
      </c>
      <c r="E252" s="76" t="s">
        <v>549</v>
      </c>
      <c r="F252" s="76" t="s">
        <v>38</v>
      </c>
      <c r="G252" s="76" t="s">
        <v>34</v>
      </c>
      <c r="H252" s="76">
        <f>STOCK[[#This Row],[Precio Final]]</f>
        <v>13</v>
      </c>
      <c r="I252" s="76">
        <f>STOCK[[#This Row],[Precio Venta Ideal (x1.5)]]</f>
        <v>14.2141666666667</v>
      </c>
      <c r="J252" s="91">
        <v>1</v>
      </c>
      <c r="K252" s="91">
        <f>SUMIFS(VENTAS[Cantidad],VENTAS[Código del producto Vendido],STOCK[[#This Row],[Code]])</f>
        <v>1</v>
      </c>
      <c r="L252" s="91">
        <f>STOCK[[#This Row],[Entradas]]-STOCK[[#This Row],[Salidas]]</f>
        <v>0</v>
      </c>
      <c r="M252" s="76">
        <f>STOCK[[#This Row],[Precio Final]]*10%</f>
        <v>1.3</v>
      </c>
      <c r="N252" s="76">
        <v>132.77</v>
      </c>
      <c r="O252" s="76">
        <v>18</v>
      </c>
      <c r="P252" s="76">
        <v>7.37611111111111</v>
      </c>
      <c r="Q252" s="91">
        <v>100</v>
      </c>
      <c r="R252" s="76">
        <v>8</v>
      </c>
      <c r="S252" s="76">
        <f>STOCK[[#This Row],[Peso (g)]]*STOCK[[#This Row],[Precio Envío Kilogramo (USD)]]/1000</f>
        <v>0.8</v>
      </c>
      <c r="T252" s="76">
        <f>STOCK[[#This Row],[Costo Unitario (USD)]]+STOCK[[#This Row],[Costo Envío (USD)]]+STOCK[[#This Row],[Comisión 10%]]</f>
        <v>9.47611111111111</v>
      </c>
      <c r="U252" s="76">
        <f>STOCK[[#This Row],[Costo total]]*1.5</f>
        <v>14.2141666666667</v>
      </c>
      <c r="V252" s="76">
        <v>13</v>
      </c>
      <c r="W252" s="76">
        <f>STOCK[[#This Row],[Precio Final]]-STOCK[[#This Row],[Costo total]]</f>
        <v>3.52388888888889</v>
      </c>
      <c r="X252" s="76">
        <f>STOCK[[#This Row],[Ganancia Unitaria]]*STOCK[[#This Row],[Salidas]]</f>
        <v>3.52388888888889</v>
      </c>
      <c r="AA252" s="76">
        <f>STOCK[[#This Row],[Costo total]]*STOCK[[#This Row],[Entradas]]</f>
        <v>9.47611111111111</v>
      </c>
      <c r="AB252" s="76">
        <f>STOCK[[#This Row],[Stock Actual]]*STOCK[[#This Row],[Costo total]]</f>
        <v>0</v>
      </c>
    </row>
    <row r="253" s="77" customFormat="1" ht="50" hidden="1" customHeight="1" spans="1:28">
      <c r="A253" s="77" t="s">
        <v>550</v>
      </c>
      <c r="B253" s="6"/>
      <c r="C253" s="77" t="s">
        <v>30</v>
      </c>
      <c r="D253" s="77" t="s">
        <v>514</v>
      </c>
      <c r="E253" s="77" t="s">
        <v>551</v>
      </c>
      <c r="F253" s="77" t="s">
        <v>539</v>
      </c>
      <c r="G253" s="77" t="s">
        <v>34</v>
      </c>
      <c r="H253" s="77">
        <f>STOCK[[#This Row],[Precio Final]]</f>
        <v>45</v>
      </c>
      <c r="I253" s="77">
        <f>STOCK[[#This Row],[Precio Venta Ideal (x1.5)]]</f>
        <v>48.4291666666666</v>
      </c>
      <c r="J253" s="92">
        <v>1</v>
      </c>
      <c r="K253" s="92">
        <f>SUMIFS(VENTAS[Cantidad],VENTAS[Código del producto Vendido],STOCK[[#This Row],[Code]])</f>
        <v>1</v>
      </c>
      <c r="L253" s="92">
        <f>STOCK[[#This Row],[Entradas]]-STOCK[[#This Row],[Salidas]]</f>
        <v>0</v>
      </c>
      <c r="M253" s="77">
        <f>STOCK[[#This Row],[Precio Final]]*10%</f>
        <v>4.5</v>
      </c>
      <c r="N253" s="77">
        <v>442.55</v>
      </c>
      <c r="O253" s="77">
        <v>18</v>
      </c>
      <c r="P253" s="77">
        <v>24.5861111111111</v>
      </c>
      <c r="Q253" s="92">
        <v>400</v>
      </c>
      <c r="R253" s="77">
        <v>8</v>
      </c>
      <c r="S253" s="77">
        <f>STOCK[[#This Row],[Peso (g)]]*STOCK[[#This Row],[Precio Envío Kilogramo (USD)]]/1000</f>
        <v>3.2</v>
      </c>
      <c r="T253" s="76">
        <f>STOCK[[#This Row],[Costo Unitario (USD)]]+STOCK[[#This Row],[Costo Envío (USD)]]+STOCK[[#This Row],[Comisión 10%]]</f>
        <v>32.2861111111111</v>
      </c>
      <c r="U253" s="77">
        <f>STOCK[[#This Row],[Costo total]]*1.5</f>
        <v>48.4291666666666</v>
      </c>
      <c r="V253" s="77">
        <v>45</v>
      </c>
      <c r="W253" s="77">
        <f>STOCK[[#This Row],[Precio Final]]-STOCK[[#This Row],[Costo total]]</f>
        <v>12.7138888888889</v>
      </c>
      <c r="X253" s="77">
        <f>STOCK[[#This Row],[Ganancia Unitaria]]*STOCK[[#This Row],[Salidas]]</f>
        <v>12.7138888888889</v>
      </c>
      <c r="AA253" s="77">
        <f>STOCK[[#This Row],[Costo total]]*STOCK[[#This Row],[Entradas]]</f>
        <v>32.2861111111111</v>
      </c>
      <c r="AB253" s="77">
        <f>STOCK[[#This Row],[Stock Actual]]*STOCK[[#This Row],[Costo total]]</f>
        <v>0</v>
      </c>
    </row>
    <row r="254" s="76" customFormat="1" ht="50" hidden="1" customHeight="1" spans="1:28">
      <c r="A254" s="76" t="s">
        <v>552</v>
      </c>
      <c r="B254" s="6"/>
      <c r="C254" s="76" t="s">
        <v>30</v>
      </c>
      <c r="D254" s="76" t="s">
        <v>151</v>
      </c>
      <c r="E254" s="76" t="s">
        <v>553</v>
      </c>
      <c r="F254" s="76" t="s">
        <v>38</v>
      </c>
      <c r="G254" s="76" t="s">
        <v>34</v>
      </c>
      <c r="H254" s="76">
        <f>STOCK[[#This Row],[Precio Final]]</f>
        <v>15</v>
      </c>
      <c r="I254" s="76">
        <f>STOCK[[#This Row],[Precio Venta Ideal (x1.5)]]</f>
        <v>17.0841666666667</v>
      </c>
      <c r="J254" s="91">
        <v>1</v>
      </c>
      <c r="K254" s="91">
        <f>SUMIFS(VENTAS[Cantidad],VENTAS[Código del producto Vendido],STOCK[[#This Row],[Code]])</f>
        <v>1</v>
      </c>
      <c r="L254" s="91">
        <f>STOCK[[#This Row],[Entradas]]-STOCK[[#This Row],[Salidas]]</f>
        <v>0</v>
      </c>
      <c r="M254" s="76">
        <f>STOCK[[#This Row],[Precio Final]]*10%</f>
        <v>1.5</v>
      </c>
      <c r="N254" s="76">
        <v>163.61</v>
      </c>
      <c r="O254" s="76">
        <v>18</v>
      </c>
      <c r="P254" s="76">
        <v>9.08944444444445</v>
      </c>
      <c r="Q254" s="91">
        <v>100</v>
      </c>
      <c r="R254" s="76">
        <v>8</v>
      </c>
      <c r="S254" s="76">
        <f>STOCK[[#This Row],[Peso (g)]]*STOCK[[#This Row],[Precio Envío Kilogramo (USD)]]/1000</f>
        <v>0.8</v>
      </c>
      <c r="T254" s="76">
        <f>STOCK[[#This Row],[Costo Unitario (USD)]]+STOCK[[#This Row],[Costo Envío (USD)]]+STOCK[[#This Row],[Comisión 10%]]</f>
        <v>11.3894444444445</v>
      </c>
      <c r="U254" s="76">
        <f>STOCK[[#This Row],[Costo total]]*1.5</f>
        <v>17.0841666666667</v>
      </c>
      <c r="V254" s="76">
        <v>15</v>
      </c>
      <c r="W254" s="76">
        <f>STOCK[[#This Row],[Precio Final]]-STOCK[[#This Row],[Costo total]]</f>
        <v>3.61055555555555</v>
      </c>
      <c r="X254" s="76">
        <f>STOCK[[#This Row],[Ganancia Unitaria]]*STOCK[[#This Row],[Salidas]]</f>
        <v>3.61055555555555</v>
      </c>
      <c r="AA254" s="76">
        <f>STOCK[[#This Row],[Costo total]]*STOCK[[#This Row],[Entradas]]</f>
        <v>11.3894444444445</v>
      </c>
      <c r="AB254" s="76">
        <f>STOCK[[#This Row],[Stock Actual]]*STOCK[[#This Row],[Costo total]]</f>
        <v>0</v>
      </c>
    </row>
    <row r="255" s="77" customFormat="1" ht="50" hidden="1" customHeight="1" spans="1:29">
      <c r="A255" s="77" t="s">
        <v>554</v>
      </c>
      <c r="B255" s="6"/>
      <c r="C255" s="77" t="s">
        <v>30</v>
      </c>
      <c r="D255" s="76" t="s">
        <v>555</v>
      </c>
      <c r="E255" s="77" t="s">
        <v>556</v>
      </c>
      <c r="F255" s="77" t="s">
        <v>539</v>
      </c>
      <c r="G255" s="77" t="s">
        <v>34</v>
      </c>
      <c r="H255" s="77">
        <f>STOCK[[#This Row],[Precio Final]]</f>
        <v>45</v>
      </c>
      <c r="I255" s="77">
        <f>STOCK[[#This Row],[Precio Venta Ideal (x1.5)]]</f>
        <v>45.8025</v>
      </c>
      <c r="J255" s="92">
        <v>1</v>
      </c>
      <c r="K255" s="92">
        <f>SUMIFS(VENTAS[Cantidad],VENTAS[Código del producto Vendido],STOCK[[#This Row],[Code]])</f>
        <v>1</v>
      </c>
      <c r="L255" s="92">
        <f>STOCK[[#This Row],[Entradas]]-STOCK[[#This Row],[Salidas]]</f>
        <v>0</v>
      </c>
      <c r="M255" s="77">
        <f>STOCK[[#This Row],[Precio Final]]*10%</f>
        <v>4.5</v>
      </c>
      <c r="N255" s="77">
        <v>411.03</v>
      </c>
      <c r="O255" s="77">
        <v>18</v>
      </c>
      <c r="P255" s="77">
        <v>22.835</v>
      </c>
      <c r="Q255" s="92">
        <v>400</v>
      </c>
      <c r="R255" s="77">
        <v>8</v>
      </c>
      <c r="S255" s="77">
        <f>STOCK[[#This Row],[Peso (g)]]*STOCK[[#This Row],[Precio Envío Kilogramo (USD)]]/1000</f>
        <v>3.2</v>
      </c>
      <c r="T255" s="76">
        <f>STOCK[[#This Row],[Costo Unitario (USD)]]+STOCK[[#This Row],[Costo Envío (USD)]]+STOCK[[#This Row],[Comisión 10%]]</f>
        <v>30.535</v>
      </c>
      <c r="U255" s="77">
        <f>STOCK[[#This Row],[Costo total]]*1.5</f>
        <v>45.8025</v>
      </c>
      <c r="V255" s="77">
        <v>45</v>
      </c>
      <c r="W255" s="77">
        <f>STOCK[[#This Row],[Precio Final]]-STOCK[[#This Row],[Costo total]]</f>
        <v>14.465</v>
      </c>
      <c r="X255" s="77">
        <f>STOCK[[#This Row],[Ganancia Unitaria]]*STOCK[[#This Row],[Salidas]]</f>
        <v>14.465</v>
      </c>
      <c r="AA255" s="77">
        <f>STOCK[[#This Row],[Costo total]]*STOCK[[#This Row],[Entradas]]</f>
        <v>30.535</v>
      </c>
      <c r="AB255" s="77">
        <f>STOCK[[#This Row],[Stock Actual]]*STOCK[[#This Row],[Costo total]]</f>
        <v>0</v>
      </c>
      <c r="AC255" s="77">
        <v>25</v>
      </c>
    </row>
    <row r="256" s="76" customFormat="1" ht="50" hidden="1" customHeight="1" spans="1:28">
      <c r="A256" s="76" t="s">
        <v>557</v>
      </c>
      <c r="B256" s="6"/>
      <c r="C256" s="76" t="s">
        <v>30</v>
      </c>
      <c r="D256" s="76" t="s">
        <v>42</v>
      </c>
      <c r="E256" s="76" t="s">
        <v>558</v>
      </c>
      <c r="F256" s="76" t="s">
        <v>38</v>
      </c>
      <c r="G256" s="76" t="s">
        <v>34</v>
      </c>
      <c r="H256" s="76">
        <f>STOCK[[#This Row],[Precio Final]]</f>
        <v>55</v>
      </c>
      <c r="I256" s="76">
        <f>STOCK[[#This Row],[Precio Venta Ideal (x1.5)]]</f>
        <v>62.3291666666667</v>
      </c>
      <c r="J256" s="91">
        <v>1</v>
      </c>
      <c r="K256" s="91">
        <f>SUMIFS(VENTAS[Cantidad],VENTAS[Código del producto Vendido],STOCK[[#This Row],[Code]])</f>
        <v>0</v>
      </c>
      <c r="L256" s="91">
        <f>STOCK[[#This Row],[Entradas]]-STOCK[[#This Row],[Salidas]]</f>
        <v>1</v>
      </c>
      <c r="M256" s="76">
        <f>STOCK[[#This Row],[Precio Final]]*10%</f>
        <v>5.5</v>
      </c>
      <c r="N256" s="76">
        <v>572.63</v>
      </c>
      <c r="O256" s="76">
        <v>18</v>
      </c>
      <c r="P256" s="76">
        <v>31.8127777777778</v>
      </c>
      <c r="Q256" s="91">
        <v>530</v>
      </c>
      <c r="R256" s="76">
        <v>8</v>
      </c>
      <c r="S256" s="76">
        <f>STOCK[[#This Row],[Peso (g)]]*STOCK[[#This Row],[Precio Envío Kilogramo (USD)]]/1000</f>
        <v>4.24</v>
      </c>
      <c r="T256" s="76">
        <f>STOCK[[#This Row],[Costo Unitario (USD)]]+STOCK[[#This Row],[Costo Envío (USD)]]+STOCK[[#This Row],[Comisión 10%]]</f>
        <v>41.5527777777778</v>
      </c>
      <c r="U256" s="76">
        <f>STOCK[[#This Row],[Costo total]]*1.5</f>
        <v>62.3291666666667</v>
      </c>
      <c r="V256" s="76">
        <v>55</v>
      </c>
      <c r="W256" s="76">
        <f>STOCK[[#This Row],[Precio Final]]-STOCK[[#This Row],[Costo total]]</f>
        <v>13.4472222222222</v>
      </c>
      <c r="X256" s="76">
        <f>STOCK[[#This Row],[Ganancia Unitaria]]*STOCK[[#This Row],[Salidas]]</f>
        <v>0</v>
      </c>
      <c r="AA256" s="76">
        <f>STOCK[[#This Row],[Costo total]]*STOCK[[#This Row],[Entradas]]</f>
        <v>41.5527777777778</v>
      </c>
      <c r="AB256" s="76">
        <f>STOCK[[#This Row],[Stock Actual]]*STOCK[[#This Row],[Costo total]]</f>
        <v>41.5527777777778</v>
      </c>
    </row>
    <row r="257" s="77" customFormat="1" ht="50" hidden="1" customHeight="1" spans="1:28">
      <c r="A257" s="77" t="s">
        <v>559</v>
      </c>
      <c r="B257" s="6"/>
      <c r="C257" s="77" t="s">
        <v>30</v>
      </c>
      <c r="D257" s="77" t="s">
        <v>151</v>
      </c>
      <c r="E257" s="77" t="s">
        <v>560</v>
      </c>
      <c r="F257" s="77" t="s">
        <v>38</v>
      </c>
      <c r="G257" s="77" t="s">
        <v>34</v>
      </c>
      <c r="H257" s="77">
        <f>STOCK[[#This Row],[Precio Final]]</f>
        <v>15</v>
      </c>
      <c r="I257" s="77">
        <f>STOCK[[#This Row],[Precio Venta Ideal (x1.5)]]</f>
        <v>12.2483333333333</v>
      </c>
      <c r="J257" s="92">
        <v>1</v>
      </c>
      <c r="K257" s="92">
        <f>SUMIFS(VENTAS[Cantidad],VENTAS[Código del producto Vendido],STOCK[[#This Row],[Code]])</f>
        <v>1</v>
      </c>
      <c r="L257" s="92">
        <f>STOCK[[#This Row],[Entradas]]-STOCK[[#This Row],[Salidas]]</f>
        <v>0</v>
      </c>
      <c r="M257" s="77">
        <f>STOCK[[#This Row],[Precio Final]]*10%</f>
        <v>1.5</v>
      </c>
      <c r="N257" s="77">
        <v>109.9</v>
      </c>
      <c r="O257" s="77">
        <v>18</v>
      </c>
      <c r="P257" s="77">
        <v>6.10555555555556</v>
      </c>
      <c r="Q257" s="92">
        <v>70</v>
      </c>
      <c r="R257" s="77">
        <v>8</v>
      </c>
      <c r="S257" s="77">
        <f>STOCK[[#This Row],[Peso (g)]]*STOCK[[#This Row],[Precio Envío Kilogramo (USD)]]/1000</f>
        <v>0.56</v>
      </c>
      <c r="T257" s="76">
        <f>STOCK[[#This Row],[Costo Unitario (USD)]]+STOCK[[#This Row],[Costo Envío (USD)]]+STOCK[[#This Row],[Comisión 10%]]</f>
        <v>8.16555555555556</v>
      </c>
      <c r="U257" s="77">
        <f>STOCK[[#This Row],[Costo total]]*1.5</f>
        <v>12.2483333333333</v>
      </c>
      <c r="V257" s="77">
        <v>15</v>
      </c>
      <c r="W257" s="77">
        <f>STOCK[[#This Row],[Precio Final]]-STOCK[[#This Row],[Costo total]]</f>
        <v>6.83444444444444</v>
      </c>
      <c r="X257" s="77">
        <f>STOCK[[#This Row],[Ganancia Unitaria]]*STOCK[[#This Row],[Salidas]]</f>
        <v>6.83444444444444</v>
      </c>
      <c r="AA257" s="77">
        <f>STOCK[[#This Row],[Costo total]]*STOCK[[#This Row],[Entradas]]</f>
        <v>8.16555555555556</v>
      </c>
      <c r="AB257" s="77">
        <f>STOCK[[#This Row],[Stock Actual]]*STOCK[[#This Row],[Costo total]]</f>
        <v>0</v>
      </c>
    </row>
    <row r="258" s="76" customFormat="1" ht="50" hidden="1" customHeight="1" spans="1:28">
      <c r="A258" s="76" t="s">
        <v>561</v>
      </c>
      <c r="B258" s="6"/>
      <c r="C258" s="76" t="s">
        <v>30</v>
      </c>
      <c r="D258" s="76" t="s">
        <v>42</v>
      </c>
      <c r="E258" s="76" t="s">
        <v>562</v>
      </c>
      <c r="F258" s="76" t="s">
        <v>38</v>
      </c>
      <c r="G258" s="76" t="s">
        <v>34</v>
      </c>
      <c r="H258" s="76">
        <f>STOCK[[#This Row],[Precio Final]]</f>
        <v>45</v>
      </c>
      <c r="I258" s="76">
        <f>STOCK[[#This Row],[Precio Venta Ideal (x1.5)]]</f>
        <v>64.6075</v>
      </c>
      <c r="J258" s="91">
        <v>1</v>
      </c>
      <c r="K258" s="91">
        <f>SUMIFS(VENTAS[Cantidad],VENTAS[Código del producto Vendido],STOCK[[#This Row],[Code]])</f>
        <v>1</v>
      </c>
      <c r="L258" s="91">
        <f>STOCK[[#This Row],[Entradas]]-STOCK[[#This Row],[Salidas]]</f>
        <v>0</v>
      </c>
      <c r="M258" s="76">
        <f>STOCK[[#This Row],[Precio Final]]*10%</f>
        <v>4.5</v>
      </c>
      <c r="N258" s="76">
        <v>629.49</v>
      </c>
      <c r="O258" s="76">
        <v>18</v>
      </c>
      <c r="P258" s="76">
        <v>34.9716666666667</v>
      </c>
      <c r="Q258" s="91">
        <v>450</v>
      </c>
      <c r="R258" s="76">
        <v>8</v>
      </c>
      <c r="S258" s="76">
        <f>STOCK[[#This Row],[Peso (g)]]*STOCK[[#This Row],[Precio Envío Kilogramo (USD)]]/1000</f>
        <v>3.6</v>
      </c>
      <c r="T258" s="76">
        <f>STOCK[[#This Row],[Costo Unitario (USD)]]+STOCK[[#This Row],[Costo Envío (USD)]]+STOCK[[#This Row],[Comisión 10%]]</f>
        <v>43.0716666666667</v>
      </c>
      <c r="U258" s="76">
        <f>STOCK[[#This Row],[Costo total]]*1.5</f>
        <v>64.6075</v>
      </c>
      <c r="V258" s="76">
        <v>45</v>
      </c>
      <c r="W258" s="76">
        <f>STOCK[[#This Row],[Precio Final]]-STOCK[[#This Row],[Costo total]]</f>
        <v>1.9283333333333</v>
      </c>
      <c r="X258" s="76">
        <f>STOCK[[#This Row],[Ganancia Unitaria]]*STOCK[[#This Row],[Salidas]]</f>
        <v>1.9283333333333</v>
      </c>
      <c r="AA258" s="76">
        <f>STOCK[[#This Row],[Costo total]]*STOCK[[#This Row],[Entradas]]</f>
        <v>43.0716666666667</v>
      </c>
      <c r="AB258" s="76">
        <f>STOCK[[#This Row],[Stock Actual]]*STOCK[[#This Row],[Costo total]]</f>
        <v>0</v>
      </c>
    </row>
    <row r="259" s="77" customFormat="1" ht="50" hidden="1" customHeight="1" spans="1:28">
      <c r="A259" s="77" t="s">
        <v>563</v>
      </c>
      <c r="B259" s="6"/>
      <c r="C259" s="77" t="s">
        <v>30</v>
      </c>
      <c r="D259" s="77" t="s">
        <v>42</v>
      </c>
      <c r="E259" s="77" t="s">
        <v>564</v>
      </c>
      <c r="F259" s="77" t="s">
        <v>60</v>
      </c>
      <c r="G259" s="77" t="s">
        <v>34</v>
      </c>
      <c r="H259" s="77">
        <f>STOCK[[#This Row],[Precio Final]]</f>
        <v>20</v>
      </c>
      <c r="I259" s="77">
        <f>STOCK[[#This Row],[Precio Venta Ideal (x1.5)]]</f>
        <v>19.0833333333333</v>
      </c>
      <c r="J259" s="92">
        <v>3</v>
      </c>
      <c r="K259" s="92">
        <f>SUMIFS(VENTAS[Cantidad],VENTAS[Código del producto Vendido],STOCK[[#This Row],[Code]])</f>
        <v>3</v>
      </c>
      <c r="L259" s="92">
        <f>STOCK[[#This Row],[Entradas]]-STOCK[[#This Row],[Salidas]]</f>
        <v>0</v>
      </c>
      <c r="M259" s="77">
        <f>STOCK[[#This Row],[Precio Final]]*10%</f>
        <v>2</v>
      </c>
      <c r="N259" s="77">
        <v>166</v>
      </c>
      <c r="O259" s="77">
        <v>18</v>
      </c>
      <c r="P259" s="77">
        <v>9.22222222222222</v>
      </c>
      <c r="Q259" s="92">
        <v>150</v>
      </c>
      <c r="R259" s="77">
        <v>10</v>
      </c>
      <c r="S259" s="77">
        <f>STOCK[[#This Row],[Peso (g)]]*STOCK[[#This Row],[Precio Envío Kilogramo (USD)]]/1000</f>
        <v>1.5</v>
      </c>
      <c r="T259" s="76">
        <f>STOCK[[#This Row],[Costo Unitario (USD)]]+STOCK[[#This Row],[Costo Envío (USD)]]+STOCK[[#This Row],[Comisión 10%]]</f>
        <v>12.7222222222222</v>
      </c>
      <c r="U259" s="77">
        <f>STOCK[[#This Row],[Costo total]]*1.5</f>
        <v>19.0833333333333</v>
      </c>
      <c r="V259" s="77">
        <v>20</v>
      </c>
      <c r="W259" s="77">
        <f>STOCK[[#This Row],[Precio Final]]-STOCK[[#This Row],[Costo total]]</f>
        <v>7.27777777777778</v>
      </c>
      <c r="X259" s="77">
        <f>STOCK[[#This Row],[Ganancia Unitaria]]*STOCK[[#This Row],[Salidas]]</f>
        <v>21.8333333333333</v>
      </c>
      <c r="AA259" s="77">
        <f>STOCK[[#This Row],[Costo total]]*STOCK[[#This Row],[Entradas]]</f>
        <v>38.1666666666667</v>
      </c>
      <c r="AB259" s="77">
        <f>STOCK[[#This Row],[Stock Actual]]*STOCK[[#This Row],[Costo total]]</f>
        <v>0</v>
      </c>
    </row>
    <row r="260" s="76" customFormat="1" ht="50" hidden="1" customHeight="1" spans="1:28">
      <c r="A260" s="76" t="s">
        <v>565</v>
      </c>
      <c r="B260" s="6"/>
      <c r="C260" s="76" t="s">
        <v>30</v>
      </c>
      <c r="D260" s="76" t="s">
        <v>42</v>
      </c>
      <c r="E260" s="76" t="s">
        <v>566</v>
      </c>
      <c r="F260" s="76" t="s">
        <v>38</v>
      </c>
      <c r="G260" s="76" t="s">
        <v>34</v>
      </c>
      <c r="H260" s="76">
        <f>STOCK[[#This Row],[Precio Final]]</f>
        <v>20</v>
      </c>
      <c r="I260" s="76">
        <f>STOCK[[#This Row],[Precio Venta Ideal (x1.5)]]</f>
        <v>19.0833333333333</v>
      </c>
      <c r="J260" s="91">
        <v>3</v>
      </c>
      <c r="K260" s="91">
        <f>SUMIFS(VENTAS[Cantidad],VENTAS[Código del producto Vendido],STOCK[[#This Row],[Code]])</f>
        <v>3</v>
      </c>
      <c r="L260" s="91">
        <f>STOCK[[#This Row],[Entradas]]-STOCK[[#This Row],[Salidas]]</f>
        <v>0</v>
      </c>
      <c r="M260" s="76">
        <f>STOCK[[#This Row],[Precio Final]]*10%</f>
        <v>2</v>
      </c>
      <c r="N260" s="76">
        <v>166</v>
      </c>
      <c r="O260" s="76">
        <v>18</v>
      </c>
      <c r="P260" s="76">
        <v>9.22222222222222</v>
      </c>
      <c r="Q260" s="91">
        <v>150</v>
      </c>
      <c r="R260" s="76">
        <v>10</v>
      </c>
      <c r="S260" s="76">
        <f>STOCK[[#This Row],[Peso (g)]]*STOCK[[#This Row],[Precio Envío Kilogramo (USD)]]/1000</f>
        <v>1.5</v>
      </c>
      <c r="T260" s="76">
        <f>STOCK[[#This Row],[Costo Unitario (USD)]]+STOCK[[#This Row],[Costo Envío (USD)]]+STOCK[[#This Row],[Comisión 10%]]</f>
        <v>12.7222222222222</v>
      </c>
      <c r="U260" s="76">
        <f>STOCK[[#This Row],[Costo total]]*1.5</f>
        <v>19.0833333333333</v>
      </c>
      <c r="V260" s="76">
        <v>20</v>
      </c>
      <c r="W260" s="76">
        <f>STOCK[[#This Row],[Precio Final]]-STOCK[[#This Row],[Costo total]]</f>
        <v>7.27777777777778</v>
      </c>
      <c r="X260" s="76">
        <f>STOCK[[#This Row],[Ganancia Unitaria]]*STOCK[[#This Row],[Salidas]]</f>
        <v>21.8333333333333</v>
      </c>
      <c r="AA260" s="76">
        <f>STOCK[[#This Row],[Costo total]]*STOCK[[#This Row],[Entradas]]</f>
        <v>38.1666666666667</v>
      </c>
      <c r="AB260" s="76">
        <f>STOCK[[#This Row],[Stock Actual]]*STOCK[[#This Row],[Costo total]]</f>
        <v>0</v>
      </c>
    </row>
    <row r="261" s="77" customFormat="1" ht="50" hidden="1" customHeight="1" spans="1:28">
      <c r="A261" s="77" t="s">
        <v>567</v>
      </c>
      <c r="B261" s="6"/>
      <c r="C261" s="77" t="s">
        <v>30</v>
      </c>
      <c r="D261" s="77" t="s">
        <v>42</v>
      </c>
      <c r="E261" s="77" t="s">
        <v>568</v>
      </c>
      <c r="F261" s="77" t="s">
        <v>44</v>
      </c>
      <c r="G261" s="77" t="s">
        <v>34</v>
      </c>
      <c r="H261" s="77">
        <f>STOCK[[#This Row],[Precio Final]]</f>
        <v>20</v>
      </c>
      <c r="I261" s="77">
        <f>STOCK[[#This Row],[Precio Venta Ideal (x1.5)]]</f>
        <v>19.0833333333333</v>
      </c>
      <c r="J261" s="92">
        <v>3</v>
      </c>
      <c r="K261" s="92">
        <f>SUMIFS(VENTAS[Cantidad],VENTAS[Código del producto Vendido],STOCK[[#This Row],[Code]])</f>
        <v>3</v>
      </c>
      <c r="L261" s="92">
        <f>STOCK[[#This Row],[Entradas]]-STOCK[[#This Row],[Salidas]]</f>
        <v>0</v>
      </c>
      <c r="M261" s="77">
        <f>STOCK[[#This Row],[Precio Final]]*10%</f>
        <v>2</v>
      </c>
      <c r="N261" s="77">
        <v>166</v>
      </c>
      <c r="O261" s="77">
        <v>18</v>
      </c>
      <c r="P261" s="77">
        <v>9.22222222222222</v>
      </c>
      <c r="Q261" s="92">
        <v>150</v>
      </c>
      <c r="R261" s="77">
        <v>10</v>
      </c>
      <c r="S261" s="77">
        <f>STOCK[[#This Row],[Peso (g)]]*STOCK[[#This Row],[Precio Envío Kilogramo (USD)]]/1000</f>
        <v>1.5</v>
      </c>
      <c r="T261" s="76">
        <f>STOCK[[#This Row],[Costo Unitario (USD)]]+STOCK[[#This Row],[Costo Envío (USD)]]+STOCK[[#This Row],[Comisión 10%]]</f>
        <v>12.7222222222222</v>
      </c>
      <c r="U261" s="77">
        <f>STOCK[[#This Row],[Costo total]]*1.5</f>
        <v>19.0833333333333</v>
      </c>
      <c r="V261" s="77">
        <v>20</v>
      </c>
      <c r="W261" s="77">
        <f>STOCK[[#This Row],[Precio Final]]-STOCK[[#This Row],[Costo total]]</f>
        <v>7.27777777777778</v>
      </c>
      <c r="X261" s="77">
        <f>STOCK[[#This Row],[Ganancia Unitaria]]*STOCK[[#This Row],[Salidas]]</f>
        <v>21.8333333333333</v>
      </c>
      <c r="AA261" s="77">
        <f>STOCK[[#This Row],[Costo total]]*STOCK[[#This Row],[Entradas]]</f>
        <v>38.1666666666667</v>
      </c>
      <c r="AB261" s="77">
        <f>STOCK[[#This Row],[Stock Actual]]*STOCK[[#This Row],[Costo total]]</f>
        <v>0</v>
      </c>
    </row>
    <row r="262" s="76" customFormat="1" ht="50" hidden="1" customHeight="1" spans="1:28">
      <c r="A262" s="76" t="s">
        <v>569</v>
      </c>
      <c r="B262" s="6"/>
      <c r="C262" s="76" t="s">
        <v>30</v>
      </c>
      <c r="D262" s="76" t="s">
        <v>42</v>
      </c>
      <c r="E262" s="76" t="s">
        <v>570</v>
      </c>
      <c r="F262" s="76" t="s">
        <v>47</v>
      </c>
      <c r="G262" s="76" t="s">
        <v>34</v>
      </c>
      <c r="H262" s="76">
        <f>STOCK[[#This Row],[Precio Final]]</f>
        <v>20</v>
      </c>
      <c r="I262" s="76">
        <f>STOCK[[#This Row],[Precio Venta Ideal (x1.5)]]</f>
        <v>19.0833333333333</v>
      </c>
      <c r="J262" s="91">
        <v>3</v>
      </c>
      <c r="K262" s="91">
        <f>SUMIFS(VENTAS[Cantidad],VENTAS[Código del producto Vendido],STOCK[[#This Row],[Code]])</f>
        <v>3</v>
      </c>
      <c r="L262" s="91">
        <f>STOCK[[#This Row],[Entradas]]-STOCK[[#This Row],[Salidas]]</f>
        <v>0</v>
      </c>
      <c r="M262" s="76">
        <f>STOCK[[#This Row],[Precio Final]]*10%</f>
        <v>2</v>
      </c>
      <c r="N262" s="76">
        <v>166</v>
      </c>
      <c r="O262" s="76">
        <v>18</v>
      </c>
      <c r="P262" s="76">
        <v>9.22222222222222</v>
      </c>
      <c r="Q262" s="91">
        <v>150</v>
      </c>
      <c r="R262" s="76">
        <v>10</v>
      </c>
      <c r="S262" s="76">
        <f>STOCK[[#This Row],[Peso (g)]]*STOCK[[#This Row],[Precio Envío Kilogramo (USD)]]/1000</f>
        <v>1.5</v>
      </c>
      <c r="T262" s="76">
        <f>STOCK[[#This Row],[Costo Unitario (USD)]]+STOCK[[#This Row],[Costo Envío (USD)]]+STOCK[[#This Row],[Comisión 10%]]</f>
        <v>12.7222222222222</v>
      </c>
      <c r="U262" s="76">
        <f>STOCK[[#This Row],[Costo total]]*1.5</f>
        <v>19.0833333333333</v>
      </c>
      <c r="V262" s="76">
        <v>20</v>
      </c>
      <c r="W262" s="76">
        <f>STOCK[[#This Row],[Precio Final]]-STOCK[[#This Row],[Costo total]]</f>
        <v>7.27777777777778</v>
      </c>
      <c r="X262" s="76">
        <f>STOCK[[#This Row],[Ganancia Unitaria]]*STOCK[[#This Row],[Salidas]]</f>
        <v>21.8333333333333</v>
      </c>
      <c r="AA262" s="76">
        <f>STOCK[[#This Row],[Costo total]]*STOCK[[#This Row],[Entradas]]</f>
        <v>38.1666666666667</v>
      </c>
      <c r="AB262" s="76">
        <f>STOCK[[#This Row],[Stock Actual]]*STOCK[[#This Row],[Costo total]]</f>
        <v>0</v>
      </c>
    </row>
    <row r="263" s="77" customFormat="1" ht="50" hidden="1" customHeight="1" spans="1:28">
      <c r="A263" s="77" t="s">
        <v>571</v>
      </c>
      <c r="B263" s="6"/>
      <c r="C263" s="77" t="s">
        <v>30</v>
      </c>
      <c r="D263" s="77" t="s">
        <v>42</v>
      </c>
      <c r="E263" s="77" t="s">
        <v>572</v>
      </c>
      <c r="F263" s="77" t="s">
        <v>60</v>
      </c>
      <c r="G263" s="77" t="s">
        <v>34</v>
      </c>
      <c r="H263" s="77">
        <f>STOCK[[#This Row],[Precio Final]]</f>
        <v>20</v>
      </c>
      <c r="I263" s="77">
        <f>STOCK[[#This Row],[Precio Venta Ideal (x1.5)]]</f>
        <v>19.0833333333333</v>
      </c>
      <c r="J263" s="92">
        <v>3</v>
      </c>
      <c r="K263" s="92">
        <f>SUMIFS(VENTAS[Cantidad],VENTAS[Código del producto Vendido],STOCK[[#This Row],[Code]])</f>
        <v>3</v>
      </c>
      <c r="L263" s="92">
        <f>STOCK[[#This Row],[Entradas]]-STOCK[[#This Row],[Salidas]]</f>
        <v>0</v>
      </c>
      <c r="M263" s="77">
        <f>STOCK[[#This Row],[Precio Final]]*10%</f>
        <v>2</v>
      </c>
      <c r="N263" s="77">
        <v>166</v>
      </c>
      <c r="O263" s="77">
        <v>18</v>
      </c>
      <c r="P263" s="77">
        <v>9.22222222222222</v>
      </c>
      <c r="Q263" s="92">
        <v>150</v>
      </c>
      <c r="R263" s="77">
        <v>10</v>
      </c>
      <c r="S263" s="77">
        <f>STOCK[[#This Row],[Peso (g)]]*STOCK[[#This Row],[Precio Envío Kilogramo (USD)]]/1000</f>
        <v>1.5</v>
      </c>
      <c r="T263" s="76">
        <f>STOCK[[#This Row],[Costo Unitario (USD)]]+STOCK[[#This Row],[Costo Envío (USD)]]+STOCK[[#This Row],[Comisión 10%]]</f>
        <v>12.7222222222222</v>
      </c>
      <c r="U263" s="77">
        <f>STOCK[[#This Row],[Costo total]]*1.5</f>
        <v>19.0833333333333</v>
      </c>
      <c r="V263" s="77">
        <v>20</v>
      </c>
      <c r="W263" s="77">
        <f>STOCK[[#This Row],[Precio Final]]-STOCK[[#This Row],[Costo total]]</f>
        <v>7.27777777777778</v>
      </c>
      <c r="X263" s="77">
        <f>STOCK[[#This Row],[Ganancia Unitaria]]*STOCK[[#This Row],[Salidas]]</f>
        <v>21.8333333333333</v>
      </c>
      <c r="AA263" s="77">
        <f>STOCK[[#This Row],[Costo total]]*STOCK[[#This Row],[Entradas]]</f>
        <v>38.1666666666667</v>
      </c>
      <c r="AB263" s="77">
        <f>STOCK[[#This Row],[Stock Actual]]*STOCK[[#This Row],[Costo total]]</f>
        <v>0</v>
      </c>
    </row>
    <row r="264" s="76" customFormat="1" ht="50" hidden="1" customHeight="1" spans="1:28">
      <c r="A264" s="76" t="s">
        <v>573</v>
      </c>
      <c r="B264" s="6"/>
      <c r="C264" s="76" t="s">
        <v>30</v>
      </c>
      <c r="D264" s="76" t="s">
        <v>42</v>
      </c>
      <c r="E264" s="76" t="s">
        <v>574</v>
      </c>
      <c r="F264" s="76" t="s">
        <v>38</v>
      </c>
      <c r="G264" s="76" t="s">
        <v>34</v>
      </c>
      <c r="H264" s="76">
        <f>STOCK[[#This Row],[Precio Final]]</f>
        <v>20</v>
      </c>
      <c r="I264" s="76">
        <f>STOCK[[#This Row],[Precio Venta Ideal (x1.5)]]</f>
        <v>19.0833333333333</v>
      </c>
      <c r="J264" s="91">
        <v>3</v>
      </c>
      <c r="K264" s="91">
        <f>SUMIFS(VENTAS[Cantidad],VENTAS[Código del producto Vendido],STOCK[[#This Row],[Code]])</f>
        <v>3</v>
      </c>
      <c r="L264" s="91">
        <f>STOCK[[#This Row],[Entradas]]-STOCK[[#This Row],[Salidas]]</f>
        <v>0</v>
      </c>
      <c r="M264" s="76">
        <f>STOCK[[#This Row],[Precio Final]]*10%</f>
        <v>2</v>
      </c>
      <c r="N264" s="76">
        <v>166</v>
      </c>
      <c r="O264" s="76">
        <v>18</v>
      </c>
      <c r="P264" s="76">
        <v>9.22222222222222</v>
      </c>
      <c r="Q264" s="91">
        <v>150</v>
      </c>
      <c r="R264" s="76">
        <v>10</v>
      </c>
      <c r="S264" s="76">
        <f>STOCK[[#This Row],[Peso (g)]]*STOCK[[#This Row],[Precio Envío Kilogramo (USD)]]/1000</f>
        <v>1.5</v>
      </c>
      <c r="T264" s="76">
        <f>STOCK[[#This Row],[Costo Unitario (USD)]]+STOCK[[#This Row],[Costo Envío (USD)]]+STOCK[[#This Row],[Comisión 10%]]</f>
        <v>12.7222222222222</v>
      </c>
      <c r="U264" s="76">
        <f>STOCK[[#This Row],[Costo total]]*1.5</f>
        <v>19.0833333333333</v>
      </c>
      <c r="V264" s="76">
        <v>20</v>
      </c>
      <c r="W264" s="76">
        <f>STOCK[[#This Row],[Precio Final]]-STOCK[[#This Row],[Costo total]]</f>
        <v>7.27777777777778</v>
      </c>
      <c r="X264" s="76">
        <f>STOCK[[#This Row],[Ganancia Unitaria]]*STOCK[[#This Row],[Salidas]]</f>
        <v>21.8333333333333</v>
      </c>
      <c r="AA264" s="76">
        <f>STOCK[[#This Row],[Costo total]]*STOCK[[#This Row],[Entradas]]</f>
        <v>38.1666666666667</v>
      </c>
      <c r="AB264" s="76">
        <f>STOCK[[#This Row],[Stock Actual]]*STOCK[[#This Row],[Costo total]]</f>
        <v>0</v>
      </c>
    </row>
    <row r="265" s="77" customFormat="1" ht="50" hidden="1" customHeight="1" spans="1:28">
      <c r="A265" s="77" t="s">
        <v>575</v>
      </c>
      <c r="B265" s="6"/>
      <c r="C265" s="77" t="s">
        <v>30</v>
      </c>
      <c r="D265" s="77" t="s">
        <v>173</v>
      </c>
      <c r="E265" s="77" t="s">
        <v>576</v>
      </c>
      <c r="F265" s="77" t="s">
        <v>60</v>
      </c>
      <c r="G265" s="77" t="s">
        <v>34</v>
      </c>
      <c r="H265" s="77">
        <f>STOCK[[#This Row],[Precio Final]]</f>
        <v>10</v>
      </c>
      <c r="I265" s="77">
        <f>STOCK[[#This Row],[Precio Venta Ideal (x1.5)]]</f>
        <v>9.1375</v>
      </c>
      <c r="J265" s="92">
        <v>3</v>
      </c>
      <c r="K265" s="92">
        <f>SUMIFS(VENTAS[Cantidad],VENTAS[Código del producto Vendido],STOCK[[#This Row],[Code]])</f>
        <v>3</v>
      </c>
      <c r="L265" s="92">
        <f>STOCK[[#This Row],[Entradas]]-STOCK[[#This Row],[Salidas]]</f>
        <v>0</v>
      </c>
      <c r="M265" s="77">
        <f>STOCK[[#This Row],[Precio Final]]*10%</f>
        <v>1</v>
      </c>
      <c r="N265" s="77">
        <v>77.25</v>
      </c>
      <c r="O265" s="77">
        <v>18</v>
      </c>
      <c r="P265" s="77">
        <v>4.29166666666667</v>
      </c>
      <c r="Q265" s="92">
        <v>100</v>
      </c>
      <c r="R265" s="77">
        <v>8</v>
      </c>
      <c r="S265" s="77">
        <f>STOCK[[#This Row],[Peso (g)]]*STOCK[[#This Row],[Precio Envío Kilogramo (USD)]]/1000</f>
        <v>0.8</v>
      </c>
      <c r="T265" s="76">
        <f>STOCK[[#This Row],[Costo Unitario (USD)]]+STOCK[[#This Row],[Costo Envío (USD)]]+STOCK[[#This Row],[Comisión 10%]]</f>
        <v>6.09166666666667</v>
      </c>
      <c r="U265" s="77">
        <f>STOCK[[#This Row],[Costo total]]*1.5</f>
        <v>9.1375</v>
      </c>
      <c r="V265" s="77">
        <v>10</v>
      </c>
      <c r="W265" s="77">
        <f>STOCK[[#This Row],[Precio Final]]-STOCK[[#This Row],[Costo total]]</f>
        <v>3.90833333333333</v>
      </c>
      <c r="X265" s="77">
        <f>STOCK[[#This Row],[Ganancia Unitaria]]*STOCK[[#This Row],[Salidas]]</f>
        <v>11.725</v>
      </c>
      <c r="AA265" s="77">
        <f>STOCK[[#This Row],[Costo total]]*STOCK[[#This Row],[Entradas]]</f>
        <v>18.275</v>
      </c>
      <c r="AB265" s="77">
        <f>STOCK[[#This Row],[Stock Actual]]*STOCK[[#This Row],[Costo total]]</f>
        <v>0</v>
      </c>
    </row>
    <row r="266" s="76" customFormat="1" ht="50" hidden="1" customHeight="1" spans="1:28">
      <c r="A266" s="76" t="s">
        <v>577</v>
      </c>
      <c r="B266" s="6"/>
      <c r="C266" s="76" t="s">
        <v>30</v>
      </c>
      <c r="D266" s="76" t="s">
        <v>173</v>
      </c>
      <c r="E266" s="76" t="s">
        <v>578</v>
      </c>
      <c r="F266" s="76" t="s">
        <v>38</v>
      </c>
      <c r="G266" s="76" t="s">
        <v>34</v>
      </c>
      <c r="H266" s="76">
        <f>STOCK[[#This Row],[Precio Final]]</f>
        <v>10</v>
      </c>
      <c r="I266" s="76">
        <f>STOCK[[#This Row],[Precio Venta Ideal (x1.5)]]</f>
        <v>9.7</v>
      </c>
      <c r="J266" s="91">
        <v>3</v>
      </c>
      <c r="K266" s="91">
        <f>SUMIFS(VENTAS[Cantidad],VENTAS[Código del producto Vendido],STOCK[[#This Row],[Code]])</f>
        <v>3</v>
      </c>
      <c r="L266" s="91">
        <f>STOCK[[#This Row],[Entradas]]-STOCK[[#This Row],[Salidas]]</f>
        <v>0</v>
      </c>
      <c r="M266" s="76">
        <f>STOCK[[#This Row],[Precio Final]]*10%</f>
        <v>1</v>
      </c>
      <c r="N266" s="76">
        <v>84</v>
      </c>
      <c r="O266" s="76">
        <v>18</v>
      </c>
      <c r="P266" s="76">
        <v>4.66666666666667</v>
      </c>
      <c r="Q266" s="91">
        <v>100</v>
      </c>
      <c r="R266" s="76">
        <v>8</v>
      </c>
      <c r="S266" s="76">
        <f>STOCK[[#This Row],[Peso (g)]]*STOCK[[#This Row],[Precio Envío Kilogramo (USD)]]/1000</f>
        <v>0.8</v>
      </c>
      <c r="T266" s="76">
        <f>STOCK[[#This Row],[Costo Unitario (USD)]]+STOCK[[#This Row],[Costo Envío (USD)]]+STOCK[[#This Row],[Comisión 10%]]</f>
        <v>6.46666666666667</v>
      </c>
      <c r="U266" s="76">
        <f>STOCK[[#This Row],[Costo total]]*1.5</f>
        <v>9.7</v>
      </c>
      <c r="V266" s="76">
        <v>10</v>
      </c>
      <c r="W266" s="76">
        <f>STOCK[[#This Row],[Precio Final]]-STOCK[[#This Row],[Costo total]]</f>
        <v>3.53333333333333</v>
      </c>
      <c r="X266" s="76">
        <f>STOCK[[#This Row],[Ganancia Unitaria]]*STOCK[[#This Row],[Salidas]]</f>
        <v>10.6</v>
      </c>
      <c r="AA266" s="76">
        <f>STOCK[[#This Row],[Costo total]]*STOCK[[#This Row],[Entradas]]</f>
        <v>19.4</v>
      </c>
      <c r="AB266" s="76">
        <f>STOCK[[#This Row],[Stock Actual]]*STOCK[[#This Row],[Costo total]]</f>
        <v>0</v>
      </c>
    </row>
    <row r="267" s="77" customFormat="1" ht="50" hidden="1" customHeight="1" spans="1:28">
      <c r="A267" s="77" t="s">
        <v>579</v>
      </c>
      <c r="B267" s="6"/>
      <c r="C267" s="77" t="s">
        <v>30</v>
      </c>
      <c r="D267" s="77" t="s">
        <v>173</v>
      </c>
      <c r="E267" s="77" t="s">
        <v>580</v>
      </c>
      <c r="F267" s="77" t="s">
        <v>60</v>
      </c>
      <c r="G267" s="77" t="s">
        <v>34</v>
      </c>
      <c r="H267" s="77">
        <f>STOCK[[#This Row],[Precio Final]]</f>
        <v>10</v>
      </c>
      <c r="I267" s="77">
        <f>STOCK[[#This Row],[Precio Venta Ideal (x1.5)]]</f>
        <v>9.04</v>
      </c>
      <c r="J267" s="92">
        <v>3</v>
      </c>
      <c r="K267" s="92">
        <f>SUMIFS(VENTAS[Cantidad],VENTAS[Código del producto Vendido],STOCK[[#This Row],[Code]])</f>
        <v>3</v>
      </c>
      <c r="L267" s="92">
        <f>STOCK[[#This Row],[Entradas]]-STOCK[[#This Row],[Salidas]]</f>
        <v>0</v>
      </c>
      <c r="M267" s="77">
        <f>STOCK[[#This Row],[Precio Final]]*10%</f>
        <v>1</v>
      </c>
      <c r="N267" s="77">
        <v>84</v>
      </c>
      <c r="O267" s="77">
        <v>18</v>
      </c>
      <c r="P267" s="77">
        <v>4.66666666666667</v>
      </c>
      <c r="Q267" s="92">
        <v>45</v>
      </c>
      <c r="R267" s="77">
        <v>8</v>
      </c>
      <c r="S267" s="77">
        <f>STOCK[[#This Row],[Peso (g)]]*STOCK[[#This Row],[Precio Envío Kilogramo (USD)]]/1000</f>
        <v>0.36</v>
      </c>
      <c r="T267" s="76">
        <f>STOCK[[#This Row],[Costo Unitario (USD)]]+STOCK[[#This Row],[Costo Envío (USD)]]+STOCK[[#This Row],[Comisión 10%]]</f>
        <v>6.02666666666667</v>
      </c>
      <c r="U267" s="77">
        <f>STOCK[[#This Row],[Costo total]]*1.5</f>
        <v>9.04</v>
      </c>
      <c r="V267" s="77">
        <v>10</v>
      </c>
      <c r="W267" s="77">
        <f>STOCK[[#This Row],[Precio Final]]-STOCK[[#This Row],[Costo total]]</f>
        <v>3.97333333333333</v>
      </c>
      <c r="X267" s="77">
        <f>STOCK[[#This Row],[Ganancia Unitaria]]*STOCK[[#This Row],[Salidas]]</f>
        <v>11.92</v>
      </c>
      <c r="AA267" s="77">
        <f>STOCK[[#This Row],[Costo total]]*STOCK[[#This Row],[Entradas]]</f>
        <v>18.08</v>
      </c>
      <c r="AB267" s="77">
        <f>STOCK[[#This Row],[Stock Actual]]*STOCK[[#This Row],[Costo total]]</f>
        <v>0</v>
      </c>
    </row>
    <row r="268" s="76" customFormat="1" ht="50" hidden="1" customHeight="1" spans="1:28">
      <c r="A268" s="76" t="s">
        <v>581</v>
      </c>
      <c r="B268" s="6"/>
      <c r="C268" s="76" t="s">
        <v>30</v>
      </c>
      <c r="D268" s="76" t="s">
        <v>173</v>
      </c>
      <c r="E268" s="76" t="s">
        <v>582</v>
      </c>
      <c r="F268" s="76" t="s">
        <v>47</v>
      </c>
      <c r="G268" s="76" t="s">
        <v>34</v>
      </c>
      <c r="H268" s="76">
        <f>STOCK[[#This Row],[Precio Final]]</f>
        <v>10</v>
      </c>
      <c r="I268" s="76">
        <f>STOCK[[#This Row],[Precio Venta Ideal (x1.5)]]</f>
        <v>9.04</v>
      </c>
      <c r="J268" s="91">
        <v>3</v>
      </c>
      <c r="K268" s="91">
        <f>SUMIFS(VENTAS[Cantidad],VENTAS[Código del producto Vendido],STOCK[[#This Row],[Code]])</f>
        <v>3</v>
      </c>
      <c r="L268" s="91">
        <f>STOCK[[#This Row],[Entradas]]-STOCK[[#This Row],[Salidas]]</f>
        <v>0</v>
      </c>
      <c r="M268" s="76">
        <f>STOCK[[#This Row],[Precio Final]]*10%</f>
        <v>1</v>
      </c>
      <c r="N268" s="76">
        <v>84</v>
      </c>
      <c r="O268" s="76">
        <v>18</v>
      </c>
      <c r="P268" s="76">
        <v>4.66666666666667</v>
      </c>
      <c r="Q268" s="91">
        <v>45</v>
      </c>
      <c r="R268" s="76">
        <v>8</v>
      </c>
      <c r="S268" s="76">
        <f>STOCK[[#This Row],[Peso (g)]]*STOCK[[#This Row],[Precio Envío Kilogramo (USD)]]/1000</f>
        <v>0.36</v>
      </c>
      <c r="T268" s="76">
        <f>STOCK[[#This Row],[Costo Unitario (USD)]]+STOCK[[#This Row],[Costo Envío (USD)]]+STOCK[[#This Row],[Comisión 10%]]</f>
        <v>6.02666666666667</v>
      </c>
      <c r="U268" s="76">
        <f>STOCK[[#This Row],[Costo total]]*1.5</f>
        <v>9.04</v>
      </c>
      <c r="V268" s="76">
        <v>10</v>
      </c>
      <c r="W268" s="76">
        <f>STOCK[[#This Row],[Precio Final]]-STOCK[[#This Row],[Costo total]]</f>
        <v>3.97333333333333</v>
      </c>
      <c r="X268" s="76">
        <f>STOCK[[#This Row],[Ganancia Unitaria]]*STOCK[[#This Row],[Salidas]]</f>
        <v>11.92</v>
      </c>
      <c r="AA268" s="76">
        <f>STOCK[[#This Row],[Costo total]]*STOCK[[#This Row],[Entradas]]</f>
        <v>18.08</v>
      </c>
      <c r="AB268" s="76">
        <f>STOCK[[#This Row],[Stock Actual]]*STOCK[[#This Row],[Costo total]]</f>
        <v>0</v>
      </c>
    </row>
    <row r="269" s="77" customFormat="1" ht="50" hidden="1" customHeight="1" spans="1:28">
      <c r="A269" s="77" t="s">
        <v>583</v>
      </c>
      <c r="B269" s="6"/>
      <c r="C269" s="77" t="s">
        <v>30</v>
      </c>
      <c r="D269" s="77" t="s">
        <v>173</v>
      </c>
      <c r="E269" s="77" t="s">
        <v>584</v>
      </c>
      <c r="F269" s="77" t="s">
        <v>585</v>
      </c>
      <c r="G269" s="77" t="s">
        <v>34</v>
      </c>
      <c r="H269" s="77">
        <f>STOCK[[#This Row],[Precio Final]]</f>
        <v>9</v>
      </c>
      <c r="I269" s="77">
        <f>STOCK[[#This Row],[Precio Venta Ideal (x1.5)]]</f>
        <v>9.14</v>
      </c>
      <c r="J269" s="92">
        <v>4</v>
      </c>
      <c r="K269" s="92">
        <f>SUMIFS(VENTAS[Cantidad],VENTAS[Código del producto Vendido],STOCK[[#This Row],[Code]])</f>
        <v>4</v>
      </c>
      <c r="L269" s="92">
        <f>STOCK[[#This Row],[Entradas]]-STOCK[[#This Row],[Salidas]]</f>
        <v>0</v>
      </c>
      <c r="M269" s="77">
        <f>STOCK[[#This Row],[Precio Final]]*10%</f>
        <v>0.9</v>
      </c>
      <c r="N269" s="77">
        <v>87</v>
      </c>
      <c r="O269" s="77">
        <v>18</v>
      </c>
      <c r="P269" s="77">
        <v>4.83333333333333</v>
      </c>
      <c r="Q269" s="92">
        <v>45</v>
      </c>
      <c r="R269" s="77">
        <v>8</v>
      </c>
      <c r="S269" s="77">
        <f>STOCK[[#This Row],[Peso (g)]]*STOCK[[#This Row],[Precio Envío Kilogramo (USD)]]/1000</f>
        <v>0.36</v>
      </c>
      <c r="T269" s="76">
        <f>STOCK[[#This Row],[Costo Unitario (USD)]]+STOCK[[#This Row],[Costo Envío (USD)]]+STOCK[[#This Row],[Comisión 10%]]</f>
        <v>6.09333333333333</v>
      </c>
      <c r="U269" s="77">
        <f>STOCK[[#This Row],[Costo total]]*1.5</f>
        <v>9.14</v>
      </c>
      <c r="V269" s="77">
        <v>9</v>
      </c>
      <c r="W269" s="77">
        <f>STOCK[[#This Row],[Precio Final]]-STOCK[[#This Row],[Costo total]]</f>
        <v>2.90666666666667</v>
      </c>
      <c r="X269" s="77">
        <f>STOCK[[#This Row],[Ganancia Unitaria]]*STOCK[[#This Row],[Salidas]]</f>
        <v>11.6266666666667</v>
      </c>
      <c r="AA269" s="77">
        <f>STOCK[[#This Row],[Costo total]]*STOCK[[#This Row],[Entradas]]</f>
        <v>24.3733333333333</v>
      </c>
      <c r="AB269" s="77">
        <f>STOCK[[#This Row],[Stock Actual]]*STOCK[[#This Row],[Costo total]]</f>
        <v>0</v>
      </c>
    </row>
    <row r="270" s="76" customFormat="1" ht="50" hidden="1" customHeight="1" spans="1:29">
      <c r="A270" s="76" t="s">
        <v>586</v>
      </c>
      <c r="B270" s="6"/>
      <c r="C270" s="76" t="s">
        <v>30</v>
      </c>
      <c r="D270" s="76" t="s">
        <v>293</v>
      </c>
      <c r="E270" s="76" t="s">
        <v>584</v>
      </c>
      <c r="F270" s="76" t="s">
        <v>60</v>
      </c>
      <c r="G270" s="76" t="s">
        <v>34</v>
      </c>
      <c r="H270" s="76">
        <f>STOCK[[#This Row],[Precio Final]]</f>
        <v>12</v>
      </c>
      <c r="I270" s="76">
        <f>STOCK[[#This Row],[Precio Venta Ideal (x1.5)]]</f>
        <v>9.59</v>
      </c>
      <c r="J270" s="91">
        <v>4</v>
      </c>
      <c r="K270" s="91">
        <f>SUMIFS(VENTAS[Cantidad],VENTAS[Código del producto Vendido],STOCK[[#This Row],[Code]])</f>
        <v>4</v>
      </c>
      <c r="L270" s="91">
        <f>STOCK[[#This Row],[Entradas]]-STOCK[[#This Row],[Salidas]]</f>
        <v>0</v>
      </c>
      <c r="M270" s="76">
        <f>STOCK[[#This Row],[Precio Final]]*10%</f>
        <v>1.2</v>
      </c>
      <c r="N270" s="76">
        <v>87</v>
      </c>
      <c r="O270" s="76">
        <v>18</v>
      </c>
      <c r="P270" s="76">
        <v>4.83333333333333</v>
      </c>
      <c r="Q270" s="91">
        <v>45</v>
      </c>
      <c r="R270" s="76">
        <v>8</v>
      </c>
      <c r="S270" s="76">
        <f>STOCK[[#This Row],[Peso (g)]]*STOCK[[#This Row],[Precio Envío Kilogramo (USD)]]/1000</f>
        <v>0.36</v>
      </c>
      <c r="T270" s="76">
        <f>STOCK[[#This Row],[Costo Unitario (USD)]]+STOCK[[#This Row],[Costo Envío (USD)]]+STOCK[[#This Row],[Comisión 10%]]</f>
        <v>6.39333333333333</v>
      </c>
      <c r="U270" s="76">
        <f>STOCK[[#This Row],[Costo total]]*1.5</f>
        <v>9.59</v>
      </c>
      <c r="V270" s="76">
        <v>12</v>
      </c>
      <c r="W270" s="76">
        <f>STOCK[[#This Row],[Precio Final]]-STOCK[[#This Row],[Costo total]]</f>
        <v>5.60666666666667</v>
      </c>
      <c r="X270" s="76">
        <f>STOCK[[#This Row],[Ganancia Unitaria]]*STOCK[[#This Row],[Salidas]]</f>
        <v>22.4266666666667</v>
      </c>
      <c r="AA270" s="76">
        <f>STOCK[[#This Row],[Costo total]]*STOCK[[#This Row],[Entradas]]</f>
        <v>25.5733333333333</v>
      </c>
      <c r="AB270" s="76">
        <f>STOCK[[#This Row],[Stock Actual]]*STOCK[[#This Row],[Costo total]]</f>
        <v>0</v>
      </c>
      <c r="AC270" s="76">
        <v>9</v>
      </c>
    </row>
    <row r="271" s="77" customFormat="1" ht="50" hidden="1" customHeight="1" spans="1:29">
      <c r="A271" s="77" t="s">
        <v>587</v>
      </c>
      <c r="B271" s="6"/>
      <c r="C271" s="77" t="s">
        <v>30</v>
      </c>
      <c r="D271" s="76" t="s">
        <v>293</v>
      </c>
      <c r="E271" s="77" t="s">
        <v>588</v>
      </c>
      <c r="F271" s="77" t="s">
        <v>38</v>
      </c>
      <c r="G271" s="77" t="s">
        <v>34</v>
      </c>
      <c r="H271" s="77">
        <f>STOCK[[#This Row],[Precio Final]]</f>
        <v>12</v>
      </c>
      <c r="I271" s="77">
        <f>STOCK[[#This Row],[Precio Venta Ideal (x1.5)]]</f>
        <v>10.4025</v>
      </c>
      <c r="J271" s="92">
        <v>3</v>
      </c>
      <c r="K271" s="92">
        <f>SUMIFS(VENTAS[Cantidad],VENTAS[Código del producto Vendido],STOCK[[#This Row],[Code]])</f>
        <v>2</v>
      </c>
      <c r="L271" s="92">
        <f>STOCK[[#This Row],[Entradas]]-STOCK[[#This Row],[Salidas]]</f>
        <v>1</v>
      </c>
      <c r="M271" s="77">
        <f>STOCK[[#This Row],[Precio Final]]*10%</f>
        <v>1.2</v>
      </c>
      <c r="N271" s="77">
        <v>96.75</v>
      </c>
      <c r="O271" s="77">
        <v>18</v>
      </c>
      <c r="P271" s="77">
        <v>5.375</v>
      </c>
      <c r="Q271" s="92">
        <v>45</v>
      </c>
      <c r="R271" s="77">
        <v>8</v>
      </c>
      <c r="S271" s="77">
        <f>STOCK[[#This Row],[Peso (g)]]*STOCK[[#This Row],[Precio Envío Kilogramo (USD)]]/1000</f>
        <v>0.36</v>
      </c>
      <c r="T271" s="76">
        <f>STOCK[[#This Row],[Costo Unitario (USD)]]+STOCK[[#This Row],[Costo Envío (USD)]]+STOCK[[#This Row],[Comisión 10%]]</f>
        <v>6.935</v>
      </c>
      <c r="U271" s="77">
        <f>STOCK[[#This Row],[Costo total]]*1.5</f>
        <v>10.4025</v>
      </c>
      <c r="V271" s="77">
        <v>12</v>
      </c>
      <c r="W271" s="77">
        <f>STOCK[[#This Row],[Precio Final]]-STOCK[[#This Row],[Costo total]]</f>
        <v>5.065</v>
      </c>
      <c r="X271" s="77">
        <f>STOCK[[#This Row],[Ganancia Unitaria]]*STOCK[[#This Row],[Salidas]]</f>
        <v>10.13</v>
      </c>
      <c r="AA271" s="77">
        <f>STOCK[[#This Row],[Costo total]]*STOCK[[#This Row],[Entradas]]</f>
        <v>20.805</v>
      </c>
      <c r="AB271" s="77">
        <f>STOCK[[#This Row],[Stock Actual]]*STOCK[[#This Row],[Costo total]]</f>
        <v>6.935</v>
      </c>
      <c r="AC271" s="77">
        <v>9</v>
      </c>
    </row>
    <row r="272" s="76" customFormat="1" ht="50" hidden="1" customHeight="1" spans="1:28">
      <c r="A272" s="76" t="s">
        <v>589</v>
      </c>
      <c r="B272" s="6"/>
      <c r="C272" s="76" t="s">
        <v>30</v>
      </c>
      <c r="D272" s="76" t="s">
        <v>293</v>
      </c>
      <c r="E272" s="76" t="s">
        <v>590</v>
      </c>
      <c r="F272" s="76" t="s">
        <v>60</v>
      </c>
      <c r="G272" s="76" t="s">
        <v>34</v>
      </c>
      <c r="H272" s="76">
        <f>STOCK[[#This Row],[Precio Final]]</f>
        <v>15</v>
      </c>
      <c r="I272" s="76">
        <f>STOCK[[#This Row],[Precio Venta Ideal (x1.5)]]</f>
        <v>10.8525</v>
      </c>
      <c r="J272" s="91">
        <v>1</v>
      </c>
      <c r="K272" s="91">
        <f>SUMIFS(VENTAS[Cantidad],VENTAS[Código del producto Vendido],STOCK[[#This Row],[Code]])</f>
        <v>1</v>
      </c>
      <c r="L272" s="91">
        <f>STOCK[[#This Row],[Entradas]]-STOCK[[#This Row],[Salidas]]</f>
        <v>0</v>
      </c>
      <c r="M272" s="76">
        <f>STOCK[[#This Row],[Precio Final]]*10%</f>
        <v>1.5</v>
      </c>
      <c r="N272" s="76">
        <v>96.75</v>
      </c>
      <c r="O272" s="76">
        <v>18</v>
      </c>
      <c r="P272" s="76">
        <v>5.375</v>
      </c>
      <c r="Q272" s="91">
        <v>45</v>
      </c>
      <c r="R272" s="76">
        <v>8</v>
      </c>
      <c r="S272" s="76">
        <f>STOCK[[#This Row],[Peso (g)]]*STOCK[[#This Row],[Precio Envío Kilogramo (USD)]]/1000</f>
        <v>0.36</v>
      </c>
      <c r="T272" s="76">
        <f>STOCK[[#This Row],[Costo Unitario (USD)]]+STOCK[[#This Row],[Costo Envío (USD)]]+STOCK[[#This Row],[Comisión 10%]]</f>
        <v>7.235</v>
      </c>
      <c r="U272" s="76">
        <f>STOCK[[#This Row],[Costo total]]*1.5</f>
        <v>10.8525</v>
      </c>
      <c r="V272" s="76">
        <v>15</v>
      </c>
      <c r="W272" s="76">
        <f>STOCK[[#This Row],[Precio Final]]-STOCK[[#This Row],[Costo total]]</f>
        <v>7.765</v>
      </c>
      <c r="X272" s="76">
        <f>STOCK[[#This Row],[Ganancia Unitaria]]*STOCK[[#This Row],[Salidas]]</f>
        <v>7.765</v>
      </c>
      <c r="AA272" s="76">
        <f>STOCK[[#This Row],[Costo total]]*STOCK[[#This Row],[Entradas]]</f>
        <v>7.235</v>
      </c>
      <c r="AB272" s="76">
        <f>STOCK[[#This Row],[Stock Actual]]*STOCK[[#This Row],[Costo total]]</f>
        <v>0</v>
      </c>
    </row>
    <row r="273" s="77" customFormat="1" ht="50" hidden="1" customHeight="1" spans="1:28">
      <c r="A273" s="77" t="s">
        <v>591</v>
      </c>
      <c r="B273" s="6"/>
      <c r="C273" s="77" t="s">
        <v>30</v>
      </c>
      <c r="D273" s="76" t="s">
        <v>293</v>
      </c>
      <c r="E273" s="77" t="s">
        <v>592</v>
      </c>
      <c r="F273" s="77" t="s">
        <v>47</v>
      </c>
      <c r="G273" s="77" t="s">
        <v>34</v>
      </c>
      <c r="H273" s="77">
        <f>STOCK[[#This Row],[Precio Final]]</f>
        <v>15</v>
      </c>
      <c r="I273" s="77">
        <f>STOCK[[#This Row],[Precio Venta Ideal (x1.5)]]</f>
        <v>10.8525</v>
      </c>
      <c r="J273" s="92">
        <v>3</v>
      </c>
      <c r="K273" s="92">
        <f>SUMIFS(VENTAS[Cantidad],VENTAS[Código del producto Vendido],STOCK[[#This Row],[Code]])</f>
        <v>3</v>
      </c>
      <c r="L273" s="92">
        <f>STOCK[[#This Row],[Entradas]]-STOCK[[#This Row],[Salidas]]</f>
        <v>0</v>
      </c>
      <c r="M273" s="77">
        <f>STOCK[[#This Row],[Precio Final]]*10%</f>
        <v>1.5</v>
      </c>
      <c r="N273" s="77">
        <v>96.75</v>
      </c>
      <c r="O273" s="77">
        <v>18</v>
      </c>
      <c r="P273" s="77">
        <v>5.375</v>
      </c>
      <c r="Q273" s="92">
        <v>45</v>
      </c>
      <c r="R273" s="77">
        <v>8</v>
      </c>
      <c r="S273" s="77">
        <f>STOCK[[#This Row],[Peso (g)]]*STOCK[[#This Row],[Precio Envío Kilogramo (USD)]]/1000</f>
        <v>0.36</v>
      </c>
      <c r="T273" s="76">
        <f>STOCK[[#This Row],[Costo Unitario (USD)]]+STOCK[[#This Row],[Costo Envío (USD)]]+STOCK[[#This Row],[Comisión 10%]]</f>
        <v>7.235</v>
      </c>
      <c r="U273" s="77">
        <f>STOCK[[#This Row],[Costo total]]*1.5</f>
        <v>10.8525</v>
      </c>
      <c r="V273" s="77">
        <v>15</v>
      </c>
      <c r="W273" s="77">
        <f>STOCK[[#This Row],[Precio Final]]-STOCK[[#This Row],[Costo total]]</f>
        <v>7.765</v>
      </c>
      <c r="X273" s="77">
        <f>STOCK[[#This Row],[Ganancia Unitaria]]*STOCK[[#This Row],[Salidas]]</f>
        <v>23.295</v>
      </c>
      <c r="AA273" s="77">
        <f>STOCK[[#This Row],[Costo total]]*STOCK[[#This Row],[Entradas]]</f>
        <v>21.705</v>
      </c>
      <c r="AB273" s="77">
        <f>STOCK[[#This Row],[Stock Actual]]*STOCK[[#This Row],[Costo total]]</f>
        <v>0</v>
      </c>
    </row>
    <row r="274" s="76" customFormat="1" ht="50" hidden="1" customHeight="1" spans="1:29">
      <c r="A274" s="76" t="s">
        <v>593</v>
      </c>
      <c r="B274" s="6"/>
      <c r="C274" s="76" t="s">
        <v>30</v>
      </c>
      <c r="D274" s="76" t="s">
        <v>293</v>
      </c>
      <c r="E274" s="76" t="s">
        <v>594</v>
      </c>
      <c r="F274" s="76" t="s">
        <v>38</v>
      </c>
      <c r="G274" s="76" t="s">
        <v>34</v>
      </c>
      <c r="H274" s="76">
        <f>STOCK[[#This Row],[Precio Final]]</f>
        <v>12</v>
      </c>
      <c r="I274" s="76">
        <f>STOCK[[#This Row],[Precio Venta Ideal (x1.5)]]</f>
        <v>9.4025</v>
      </c>
      <c r="J274" s="91">
        <v>3</v>
      </c>
      <c r="K274" s="91">
        <f>SUMIFS(VENTAS[Cantidad],VENTAS[Código del producto Vendido],STOCK[[#This Row],[Code]])</f>
        <v>0</v>
      </c>
      <c r="L274" s="91">
        <f>STOCK[[#This Row],[Entradas]]-STOCK[[#This Row],[Salidas]]</f>
        <v>3</v>
      </c>
      <c r="M274" s="76">
        <f>STOCK[[#This Row],[Precio Final]]*10%</f>
        <v>1.2</v>
      </c>
      <c r="N274" s="76">
        <v>84.75</v>
      </c>
      <c r="O274" s="76">
        <v>18</v>
      </c>
      <c r="P274" s="76">
        <v>4.70833333333333</v>
      </c>
      <c r="Q274" s="91">
        <v>45</v>
      </c>
      <c r="R274" s="76">
        <v>8</v>
      </c>
      <c r="S274" s="76">
        <f>STOCK[[#This Row],[Peso (g)]]*STOCK[[#This Row],[Precio Envío Kilogramo (USD)]]/1000</f>
        <v>0.36</v>
      </c>
      <c r="T274" s="76">
        <f>STOCK[[#This Row],[Costo Unitario (USD)]]+STOCK[[#This Row],[Costo Envío (USD)]]+STOCK[[#This Row],[Comisión 10%]]</f>
        <v>6.26833333333333</v>
      </c>
      <c r="U274" s="76">
        <f>STOCK[[#This Row],[Costo total]]*1.5</f>
        <v>9.4025</v>
      </c>
      <c r="V274" s="76">
        <v>12</v>
      </c>
      <c r="W274" s="76">
        <f>STOCK[[#This Row],[Precio Final]]-STOCK[[#This Row],[Costo total]]</f>
        <v>5.73166666666667</v>
      </c>
      <c r="X274" s="76">
        <f>STOCK[[#This Row],[Ganancia Unitaria]]*STOCK[[#This Row],[Salidas]]</f>
        <v>0</v>
      </c>
      <c r="AA274" s="76">
        <f>STOCK[[#This Row],[Costo total]]*STOCK[[#This Row],[Entradas]]</f>
        <v>18.805</v>
      </c>
      <c r="AB274" s="76">
        <f>STOCK[[#This Row],[Stock Actual]]*STOCK[[#This Row],[Costo total]]</f>
        <v>18.805</v>
      </c>
      <c r="AC274" s="76">
        <v>9</v>
      </c>
    </row>
    <row r="275" s="77" customFormat="1" ht="50" hidden="1" customHeight="1" spans="1:28">
      <c r="A275" s="77" t="s">
        <v>595</v>
      </c>
      <c r="B275" s="6"/>
      <c r="C275" s="77" t="s">
        <v>30</v>
      </c>
      <c r="D275" s="77" t="s">
        <v>173</v>
      </c>
      <c r="E275" s="77" t="s">
        <v>594</v>
      </c>
      <c r="F275" s="77" t="s">
        <v>60</v>
      </c>
      <c r="G275" s="77" t="s">
        <v>34</v>
      </c>
      <c r="H275" s="77">
        <f>STOCK[[#This Row],[Precio Final]]</f>
        <v>9</v>
      </c>
      <c r="I275" s="77">
        <f>STOCK[[#This Row],[Precio Venta Ideal (x1.5)]]</f>
        <v>8.9525</v>
      </c>
      <c r="J275" s="92">
        <v>4</v>
      </c>
      <c r="K275" s="92">
        <f>SUMIFS(VENTAS[Cantidad],VENTAS[Código del producto Vendido],STOCK[[#This Row],[Code]])</f>
        <v>4</v>
      </c>
      <c r="L275" s="92">
        <f>STOCK[[#This Row],[Entradas]]-STOCK[[#This Row],[Salidas]]</f>
        <v>0</v>
      </c>
      <c r="M275" s="77">
        <f>STOCK[[#This Row],[Precio Final]]*10%</f>
        <v>0.9</v>
      </c>
      <c r="N275" s="77">
        <v>84.75</v>
      </c>
      <c r="O275" s="77">
        <v>18</v>
      </c>
      <c r="P275" s="77">
        <v>4.70833333333333</v>
      </c>
      <c r="Q275" s="92">
        <v>45</v>
      </c>
      <c r="R275" s="77">
        <v>8</v>
      </c>
      <c r="S275" s="77">
        <f>STOCK[[#This Row],[Peso (g)]]*STOCK[[#This Row],[Precio Envío Kilogramo (USD)]]/1000</f>
        <v>0.36</v>
      </c>
      <c r="T275" s="76">
        <f>STOCK[[#This Row],[Costo Unitario (USD)]]+STOCK[[#This Row],[Costo Envío (USD)]]+STOCK[[#This Row],[Comisión 10%]]</f>
        <v>5.96833333333333</v>
      </c>
      <c r="U275" s="77">
        <f>STOCK[[#This Row],[Costo total]]*1.5</f>
        <v>8.9525</v>
      </c>
      <c r="V275" s="77">
        <v>9</v>
      </c>
      <c r="W275" s="77">
        <f>STOCK[[#This Row],[Precio Final]]-STOCK[[#This Row],[Costo total]]</f>
        <v>3.03166666666667</v>
      </c>
      <c r="X275" s="77">
        <f>STOCK[[#This Row],[Ganancia Unitaria]]*STOCK[[#This Row],[Salidas]]</f>
        <v>12.1266666666667</v>
      </c>
      <c r="AA275" s="77">
        <f>STOCK[[#This Row],[Costo total]]*STOCK[[#This Row],[Entradas]]</f>
        <v>23.8733333333333</v>
      </c>
      <c r="AB275" s="77">
        <f>STOCK[[#This Row],[Stock Actual]]*STOCK[[#This Row],[Costo total]]</f>
        <v>0</v>
      </c>
    </row>
    <row r="276" s="76" customFormat="1" ht="50" hidden="1" customHeight="1" spans="1:29">
      <c r="A276" s="76" t="s">
        <v>596</v>
      </c>
      <c r="B276" s="6"/>
      <c r="C276" s="76" t="s">
        <v>30</v>
      </c>
      <c r="D276" s="76" t="s">
        <v>293</v>
      </c>
      <c r="E276" s="76" t="s">
        <v>594</v>
      </c>
      <c r="F276" s="76" t="s">
        <v>47</v>
      </c>
      <c r="G276" s="76" t="s">
        <v>34</v>
      </c>
      <c r="H276" s="76">
        <f>STOCK[[#This Row],[Precio Final]]</f>
        <v>12</v>
      </c>
      <c r="I276" s="76">
        <f>STOCK[[#This Row],[Precio Venta Ideal (x1.5)]]</f>
        <v>9.4025</v>
      </c>
      <c r="J276" s="91">
        <v>3</v>
      </c>
      <c r="K276" s="91">
        <f>SUMIFS(VENTAS[Cantidad],VENTAS[Código del producto Vendido],STOCK[[#This Row],[Code]])</f>
        <v>2</v>
      </c>
      <c r="L276" s="91">
        <f>STOCK[[#This Row],[Entradas]]-STOCK[[#This Row],[Salidas]]</f>
        <v>1</v>
      </c>
      <c r="M276" s="76">
        <f>STOCK[[#This Row],[Precio Final]]*10%</f>
        <v>1.2</v>
      </c>
      <c r="N276" s="76">
        <v>84.75</v>
      </c>
      <c r="O276" s="76">
        <v>18</v>
      </c>
      <c r="P276" s="76">
        <v>4.70833333333333</v>
      </c>
      <c r="Q276" s="91">
        <v>45</v>
      </c>
      <c r="R276" s="76">
        <v>8</v>
      </c>
      <c r="S276" s="76">
        <f>STOCK[[#This Row],[Peso (g)]]*STOCK[[#This Row],[Precio Envío Kilogramo (USD)]]/1000</f>
        <v>0.36</v>
      </c>
      <c r="T276" s="76">
        <f>STOCK[[#This Row],[Costo Unitario (USD)]]+STOCK[[#This Row],[Costo Envío (USD)]]+STOCK[[#This Row],[Comisión 10%]]</f>
        <v>6.26833333333333</v>
      </c>
      <c r="U276" s="76">
        <f>STOCK[[#This Row],[Costo total]]*1.5</f>
        <v>9.4025</v>
      </c>
      <c r="V276" s="76">
        <v>12</v>
      </c>
      <c r="W276" s="76">
        <f>STOCK[[#This Row],[Precio Final]]-STOCK[[#This Row],[Costo total]]</f>
        <v>5.73166666666667</v>
      </c>
      <c r="X276" s="76">
        <f>STOCK[[#This Row],[Ganancia Unitaria]]*STOCK[[#This Row],[Salidas]]</f>
        <v>11.4633333333333</v>
      </c>
      <c r="AA276" s="76">
        <f>STOCK[[#This Row],[Costo total]]*STOCK[[#This Row],[Entradas]]</f>
        <v>18.805</v>
      </c>
      <c r="AB276" s="76">
        <f>STOCK[[#This Row],[Stock Actual]]*STOCK[[#This Row],[Costo total]]</f>
        <v>6.26833333333333</v>
      </c>
      <c r="AC276" s="76">
        <v>9</v>
      </c>
    </row>
    <row r="277" s="77" customFormat="1" ht="50" hidden="1" customHeight="1" spans="1:29">
      <c r="A277" s="77" t="s">
        <v>597</v>
      </c>
      <c r="B277" s="6"/>
      <c r="C277" s="77" t="s">
        <v>30</v>
      </c>
      <c r="D277" s="76" t="s">
        <v>293</v>
      </c>
      <c r="E277" s="77" t="s">
        <v>598</v>
      </c>
      <c r="F277" s="77" t="s">
        <v>38</v>
      </c>
      <c r="G277" s="77" t="s">
        <v>34</v>
      </c>
      <c r="H277" s="77">
        <f>STOCK[[#This Row],[Precio Final]]</f>
        <v>12</v>
      </c>
      <c r="I277" s="77">
        <f>STOCK[[#This Row],[Precio Venta Ideal (x1.5)]]</f>
        <v>10.1525</v>
      </c>
      <c r="J277" s="92">
        <v>3</v>
      </c>
      <c r="K277" s="92">
        <f>SUMIFS(VENTAS[Cantidad],VENTAS[Código del producto Vendido],STOCK[[#This Row],[Code]])</f>
        <v>2</v>
      </c>
      <c r="L277" s="92">
        <f>STOCK[[#This Row],[Entradas]]-STOCK[[#This Row],[Salidas]]</f>
        <v>1</v>
      </c>
      <c r="M277" s="77">
        <f>STOCK[[#This Row],[Precio Final]]*10%</f>
        <v>1.2</v>
      </c>
      <c r="N277" s="77">
        <v>93.75</v>
      </c>
      <c r="O277" s="77">
        <v>18</v>
      </c>
      <c r="P277" s="77">
        <v>5.20833333333333</v>
      </c>
      <c r="Q277" s="92">
        <v>45</v>
      </c>
      <c r="R277" s="77">
        <v>8</v>
      </c>
      <c r="S277" s="77">
        <f>STOCK[[#This Row],[Peso (g)]]*STOCK[[#This Row],[Precio Envío Kilogramo (USD)]]/1000</f>
        <v>0.36</v>
      </c>
      <c r="T277" s="76">
        <f>STOCK[[#This Row],[Costo Unitario (USD)]]+STOCK[[#This Row],[Costo Envío (USD)]]+STOCK[[#This Row],[Comisión 10%]]</f>
        <v>6.76833333333333</v>
      </c>
      <c r="U277" s="77">
        <f>STOCK[[#This Row],[Costo total]]*1.5</f>
        <v>10.1525</v>
      </c>
      <c r="V277" s="77">
        <v>12</v>
      </c>
      <c r="W277" s="77">
        <f>STOCK[[#This Row],[Precio Final]]-STOCK[[#This Row],[Costo total]]</f>
        <v>5.23166666666667</v>
      </c>
      <c r="X277" s="77">
        <f>STOCK[[#This Row],[Ganancia Unitaria]]*STOCK[[#This Row],[Salidas]]</f>
        <v>10.4633333333333</v>
      </c>
      <c r="AA277" s="77">
        <f>STOCK[[#This Row],[Costo total]]*STOCK[[#This Row],[Entradas]]</f>
        <v>20.305</v>
      </c>
      <c r="AB277" s="77">
        <f>STOCK[[#This Row],[Stock Actual]]*STOCK[[#This Row],[Costo total]]</f>
        <v>6.76833333333333</v>
      </c>
      <c r="AC277" s="77">
        <v>9</v>
      </c>
    </row>
    <row r="278" s="76" customFormat="1" ht="50" hidden="1" customHeight="1" spans="1:29">
      <c r="A278" s="76" t="s">
        <v>599</v>
      </c>
      <c r="B278" s="6"/>
      <c r="C278" s="76" t="s">
        <v>30</v>
      </c>
      <c r="D278" s="76" t="s">
        <v>293</v>
      </c>
      <c r="E278" s="76" t="s">
        <v>598</v>
      </c>
      <c r="F278" s="76" t="s">
        <v>60</v>
      </c>
      <c r="G278" s="76" t="s">
        <v>34</v>
      </c>
      <c r="H278" s="76">
        <f>STOCK[[#This Row],[Precio Final]]</f>
        <v>12</v>
      </c>
      <c r="I278" s="76">
        <f>STOCK[[#This Row],[Precio Venta Ideal (x1.5)]]</f>
        <v>10.1525</v>
      </c>
      <c r="J278" s="91">
        <v>3</v>
      </c>
      <c r="K278" s="91">
        <f>SUMIFS(VENTAS[Cantidad],VENTAS[Código del producto Vendido],STOCK[[#This Row],[Code]])</f>
        <v>2</v>
      </c>
      <c r="L278" s="91">
        <f>STOCK[[#This Row],[Entradas]]-STOCK[[#This Row],[Salidas]]</f>
        <v>1</v>
      </c>
      <c r="M278" s="76">
        <f>STOCK[[#This Row],[Precio Final]]*10%</f>
        <v>1.2</v>
      </c>
      <c r="N278" s="76">
        <v>93.75</v>
      </c>
      <c r="O278" s="76">
        <v>18</v>
      </c>
      <c r="P278" s="76">
        <v>5.20833333333333</v>
      </c>
      <c r="Q278" s="91">
        <v>45</v>
      </c>
      <c r="R278" s="76">
        <v>8</v>
      </c>
      <c r="S278" s="76">
        <f>STOCK[[#This Row],[Peso (g)]]*STOCK[[#This Row],[Precio Envío Kilogramo (USD)]]/1000</f>
        <v>0.36</v>
      </c>
      <c r="T278" s="76">
        <f>STOCK[[#This Row],[Costo Unitario (USD)]]+STOCK[[#This Row],[Costo Envío (USD)]]+STOCK[[#This Row],[Comisión 10%]]</f>
        <v>6.76833333333333</v>
      </c>
      <c r="U278" s="76">
        <f>STOCK[[#This Row],[Costo total]]*1.5</f>
        <v>10.1525</v>
      </c>
      <c r="V278" s="76">
        <v>12</v>
      </c>
      <c r="W278" s="76">
        <f>STOCK[[#This Row],[Precio Final]]-STOCK[[#This Row],[Costo total]]</f>
        <v>5.23166666666667</v>
      </c>
      <c r="X278" s="76">
        <f>STOCK[[#This Row],[Ganancia Unitaria]]*STOCK[[#This Row],[Salidas]]</f>
        <v>10.4633333333333</v>
      </c>
      <c r="AA278" s="76">
        <f>STOCK[[#This Row],[Costo total]]*STOCK[[#This Row],[Entradas]]</f>
        <v>20.305</v>
      </c>
      <c r="AB278" s="76">
        <f>STOCK[[#This Row],[Stock Actual]]*STOCK[[#This Row],[Costo total]]</f>
        <v>6.76833333333333</v>
      </c>
      <c r="AC278" s="76">
        <v>9</v>
      </c>
    </row>
    <row r="279" s="77" customFormat="1" ht="50" hidden="1" customHeight="1" spans="1:29">
      <c r="A279" s="77" t="s">
        <v>600</v>
      </c>
      <c r="B279" s="6"/>
      <c r="C279" s="77" t="s">
        <v>30</v>
      </c>
      <c r="D279" s="77" t="s">
        <v>293</v>
      </c>
      <c r="E279" s="77" t="s">
        <v>598</v>
      </c>
      <c r="F279" s="77" t="s">
        <v>47</v>
      </c>
      <c r="G279" s="77" t="s">
        <v>34</v>
      </c>
      <c r="H279" s="77">
        <f>STOCK[[#This Row],[Precio Final]]</f>
        <v>12</v>
      </c>
      <c r="I279" s="77">
        <f>STOCK[[#This Row],[Precio Venta Ideal (x1.5)]]</f>
        <v>10.1525</v>
      </c>
      <c r="J279" s="92">
        <v>3</v>
      </c>
      <c r="K279" s="92">
        <f>SUMIFS(VENTAS[Cantidad],VENTAS[Código del producto Vendido],STOCK[[#This Row],[Code]])</f>
        <v>2</v>
      </c>
      <c r="L279" s="92">
        <f>STOCK[[#This Row],[Entradas]]-STOCK[[#This Row],[Salidas]]</f>
        <v>1</v>
      </c>
      <c r="M279" s="77">
        <f>STOCK[[#This Row],[Precio Final]]*10%</f>
        <v>1.2</v>
      </c>
      <c r="N279" s="77">
        <v>93.75</v>
      </c>
      <c r="O279" s="77">
        <v>18</v>
      </c>
      <c r="P279" s="77">
        <v>5.20833333333333</v>
      </c>
      <c r="Q279" s="92">
        <v>45</v>
      </c>
      <c r="R279" s="77">
        <v>8</v>
      </c>
      <c r="S279" s="77">
        <f>STOCK[[#This Row],[Peso (g)]]*STOCK[[#This Row],[Precio Envío Kilogramo (USD)]]/1000</f>
        <v>0.36</v>
      </c>
      <c r="T279" s="76">
        <f>STOCK[[#This Row],[Costo Unitario (USD)]]+STOCK[[#This Row],[Costo Envío (USD)]]+STOCK[[#This Row],[Comisión 10%]]</f>
        <v>6.76833333333333</v>
      </c>
      <c r="U279" s="77">
        <f>STOCK[[#This Row],[Costo total]]*1.5</f>
        <v>10.1525</v>
      </c>
      <c r="V279" s="77">
        <v>12</v>
      </c>
      <c r="W279" s="77">
        <f>STOCK[[#This Row],[Precio Final]]-STOCK[[#This Row],[Costo total]]</f>
        <v>5.23166666666667</v>
      </c>
      <c r="X279" s="77">
        <f>STOCK[[#This Row],[Ganancia Unitaria]]*STOCK[[#This Row],[Salidas]]</f>
        <v>10.4633333333333</v>
      </c>
      <c r="AA279" s="77">
        <f>STOCK[[#This Row],[Costo total]]*STOCK[[#This Row],[Entradas]]</f>
        <v>20.305</v>
      </c>
      <c r="AB279" s="77">
        <f>STOCK[[#This Row],[Stock Actual]]*STOCK[[#This Row],[Costo total]]</f>
        <v>6.76833333333333</v>
      </c>
      <c r="AC279" s="77">
        <v>9</v>
      </c>
    </row>
    <row r="280" s="76" customFormat="1" ht="50" hidden="1" customHeight="1" spans="1:29">
      <c r="A280" s="76" t="s">
        <v>601</v>
      </c>
      <c r="B280" s="6"/>
      <c r="C280" s="76" t="s">
        <v>30</v>
      </c>
      <c r="D280" s="76" t="s">
        <v>42</v>
      </c>
      <c r="E280" s="76" t="s">
        <v>602</v>
      </c>
      <c r="F280" s="76" t="s">
        <v>38</v>
      </c>
      <c r="G280" s="76" t="s">
        <v>34</v>
      </c>
      <c r="H280" s="76">
        <f>STOCK[[#This Row],[Precio Final]]</f>
        <v>20</v>
      </c>
      <c r="I280" s="76">
        <f>STOCK[[#This Row],[Precio Venta Ideal (x1.5)]]</f>
        <v>19.0833333333333</v>
      </c>
      <c r="J280" s="91">
        <v>4</v>
      </c>
      <c r="K280" s="91">
        <f>SUMIFS(VENTAS[Cantidad],VENTAS[Código del producto Vendido],STOCK[[#This Row],[Code]])</f>
        <v>2</v>
      </c>
      <c r="L280" s="91">
        <f>STOCK[[#This Row],[Entradas]]-STOCK[[#This Row],[Salidas]]</f>
        <v>2</v>
      </c>
      <c r="M280" s="76">
        <f>STOCK[[#This Row],[Precio Final]]*10%</f>
        <v>2</v>
      </c>
      <c r="N280" s="76">
        <v>166</v>
      </c>
      <c r="O280" s="76">
        <v>18</v>
      </c>
      <c r="P280" s="76">
        <v>9.22222222222222</v>
      </c>
      <c r="Q280" s="91">
        <v>150</v>
      </c>
      <c r="R280" s="76">
        <v>10</v>
      </c>
      <c r="S280" s="76">
        <f>STOCK[[#This Row],[Peso (g)]]*STOCK[[#This Row],[Precio Envío Kilogramo (USD)]]/1000</f>
        <v>1.5</v>
      </c>
      <c r="T280" s="76">
        <f>STOCK[[#This Row],[Costo Unitario (USD)]]+STOCK[[#This Row],[Costo Envío (USD)]]+STOCK[[#This Row],[Comisión 10%]]</f>
        <v>12.7222222222222</v>
      </c>
      <c r="U280" s="76">
        <f>STOCK[[#This Row],[Costo total]]*1.5</f>
        <v>19.0833333333333</v>
      </c>
      <c r="V280" s="76">
        <v>20</v>
      </c>
      <c r="W280" s="76">
        <f>STOCK[[#This Row],[Precio Final]]-STOCK[[#This Row],[Costo total]]</f>
        <v>7.27777777777778</v>
      </c>
      <c r="X280" s="76">
        <f>STOCK[[#This Row],[Ganancia Unitaria]]*STOCK[[#This Row],[Salidas]]</f>
        <v>14.5555555555556</v>
      </c>
      <c r="AA280" s="76">
        <f>STOCK[[#This Row],[Costo total]]*STOCK[[#This Row],[Entradas]]</f>
        <v>50.8888888888889</v>
      </c>
      <c r="AB280" s="76">
        <f>STOCK[[#This Row],[Stock Actual]]*STOCK[[#This Row],[Costo total]]</f>
        <v>25.4444444444444</v>
      </c>
      <c r="AC280" s="76">
        <v>18</v>
      </c>
    </row>
    <row r="281" s="77" customFormat="1" ht="50" hidden="1" customHeight="1" spans="1:29">
      <c r="A281" s="77" t="s">
        <v>603</v>
      </c>
      <c r="B281" s="6"/>
      <c r="C281" s="77" t="s">
        <v>30</v>
      </c>
      <c r="D281" s="77" t="s">
        <v>42</v>
      </c>
      <c r="E281" s="77" t="s">
        <v>602</v>
      </c>
      <c r="F281" s="77" t="s">
        <v>60</v>
      </c>
      <c r="G281" s="77" t="s">
        <v>34</v>
      </c>
      <c r="H281" s="77">
        <f>STOCK[[#This Row],[Precio Final]]</f>
        <v>20</v>
      </c>
      <c r="I281" s="77">
        <f>STOCK[[#This Row],[Precio Venta Ideal (x1.5)]]</f>
        <v>19.0833333333333</v>
      </c>
      <c r="J281" s="92">
        <v>3</v>
      </c>
      <c r="K281" s="92">
        <f>SUMIFS(VENTAS[Cantidad],VENTAS[Código del producto Vendido],STOCK[[#This Row],[Code]])</f>
        <v>1</v>
      </c>
      <c r="L281" s="92">
        <f>STOCK[[#This Row],[Entradas]]-STOCK[[#This Row],[Salidas]]</f>
        <v>2</v>
      </c>
      <c r="M281" s="77">
        <f>STOCK[[#This Row],[Precio Final]]*10%</f>
        <v>2</v>
      </c>
      <c r="N281" s="77">
        <v>166</v>
      </c>
      <c r="O281" s="77">
        <v>18</v>
      </c>
      <c r="P281" s="77">
        <v>9.22222222222222</v>
      </c>
      <c r="Q281" s="92">
        <v>150</v>
      </c>
      <c r="R281" s="77">
        <v>10</v>
      </c>
      <c r="S281" s="77">
        <f>STOCK[[#This Row],[Peso (g)]]*STOCK[[#This Row],[Precio Envío Kilogramo (USD)]]/1000</f>
        <v>1.5</v>
      </c>
      <c r="T281" s="76">
        <f>STOCK[[#This Row],[Costo Unitario (USD)]]+STOCK[[#This Row],[Costo Envío (USD)]]+STOCK[[#This Row],[Comisión 10%]]</f>
        <v>12.7222222222222</v>
      </c>
      <c r="U281" s="77">
        <f>STOCK[[#This Row],[Costo total]]*1.5</f>
        <v>19.0833333333333</v>
      </c>
      <c r="V281" s="77">
        <v>20</v>
      </c>
      <c r="W281" s="77">
        <f>STOCK[[#This Row],[Precio Final]]-STOCK[[#This Row],[Costo total]]</f>
        <v>7.27777777777778</v>
      </c>
      <c r="X281" s="77">
        <f>STOCK[[#This Row],[Ganancia Unitaria]]*STOCK[[#This Row],[Salidas]]</f>
        <v>7.27777777777778</v>
      </c>
      <c r="AA281" s="77">
        <f>STOCK[[#This Row],[Costo total]]*STOCK[[#This Row],[Entradas]]</f>
        <v>38.1666666666667</v>
      </c>
      <c r="AB281" s="77">
        <f>STOCK[[#This Row],[Stock Actual]]*STOCK[[#This Row],[Costo total]]</f>
        <v>25.4444444444444</v>
      </c>
      <c r="AC281" s="77">
        <v>18</v>
      </c>
    </row>
    <row r="282" s="76" customFormat="1" ht="50" hidden="1" customHeight="1" spans="1:29">
      <c r="A282" s="76" t="s">
        <v>604</v>
      </c>
      <c r="B282" s="6"/>
      <c r="C282" s="76" t="s">
        <v>30</v>
      </c>
      <c r="D282" s="76" t="s">
        <v>42</v>
      </c>
      <c r="E282" s="76" t="s">
        <v>602</v>
      </c>
      <c r="F282" s="76" t="s">
        <v>47</v>
      </c>
      <c r="G282" s="76" t="s">
        <v>34</v>
      </c>
      <c r="H282" s="76">
        <f>STOCK[[#This Row],[Precio Final]]</f>
        <v>20</v>
      </c>
      <c r="I282" s="76">
        <f>STOCK[[#This Row],[Precio Venta Ideal (x1.5)]]</f>
        <v>19.0833333333333</v>
      </c>
      <c r="J282" s="91">
        <v>4</v>
      </c>
      <c r="K282" s="91">
        <f>SUMIFS(VENTAS[Cantidad],VENTAS[Código del producto Vendido],STOCK[[#This Row],[Code]])</f>
        <v>2</v>
      </c>
      <c r="L282" s="91">
        <f>STOCK[[#This Row],[Entradas]]-STOCK[[#This Row],[Salidas]]</f>
        <v>2</v>
      </c>
      <c r="M282" s="76">
        <f>STOCK[[#This Row],[Precio Final]]*10%</f>
        <v>2</v>
      </c>
      <c r="N282" s="76">
        <v>166</v>
      </c>
      <c r="O282" s="76">
        <v>18</v>
      </c>
      <c r="P282" s="76">
        <v>9.22222222222222</v>
      </c>
      <c r="Q282" s="91">
        <v>150</v>
      </c>
      <c r="R282" s="76">
        <v>10</v>
      </c>
      <c r="S282" s="76">
        <f>STOCK[[#This Row],[Peso (g)]]*STOCK[[#This Row],[Precio Envío Kilogramo (USD)]]/1000</f>
        <v>1.5</v>
      </c>
      <c r="T282" s="76">
        <f>STOCK[[#This Row],[Costo Unitario (USD)]]+STOCK[[#This Row],[Costo Envío (USD)]]+STOCK[[#This Row],[Comisión 10%]]</f>
        <v>12.7222222222222</v>
      </c>
      <c r="U282" s="76">
        <f>STOCK[[#This Row],[Costo total]]*1.5</f>
        <v>19.0833333333333</v>
      </c>
      <c r="V282" s="76">
        <v>20</v>
      </c>
      <c r="W282" s="76">
        <f>STOCK[[#This Row],[Precio Final]]-STOCK[[#This Row],[Costo total]]</f>
        <v>7.27777777777778</v>
      </c>
      <c r="X282" s="76">
        <f>STOCK[[#This Row],[Ganancia Unitaria]]*STOCK[[#This Row],[Salidas]]</f>
        <v>14.5555555555556</v>
      </c>
      <c r="AA282" s="76">
        <f>STOCK[[#This Row],[Costo total]]*STOCK[[#This Row],[Entradas]]</f>
        <v>50.8888888888889</v>
      </c>
      <c r="AB282" s="76">
        <f>STOCK[[#This Row],[Stock Actual]]*STOCK[[#This Row],[Costo total]]</f>
        <v>25.4444444444444</v>
      </c>
      <c r="AC282" s="76">
        <v>18</v>
      </c>
    </row>
    <row r="283" s="77" customFormat="1" ht="50" hidden="1" customHeight="1" spans="1:28">
      <c r="A283" s="77" t="s">
        <v>605</v>
      </c>
      <c r="B283" s="6"/>
      <c r="C283" s="77" t="s">
        <v>30</v>
      </c>
      <c r="D283" s="77" t="s">
        <v>42</v>
      </c>
      <c r="E283" s="77" t="s">
        <v>606</v>
      </c>
      <c r="F283" s="77" t="s">
        <v>44</v>
      </c>
      <c r="G283" s="77" t="s">
        <v>34</v>
      </c>
      <c r="H283" s="77">
        <f>STOCK[[#This Row],[Precio Final]]</f>
        <v>20</v>
      </c>
      <c r="I283" s="77">
        <f>STOCK[[#This Row],[Precio Venta Ideal (x1.5)]]</f>
        <v>19.0833333333333</v>
      </c>
      <c r="J283" s="92">
        <v>1</v>
      </c>
      <c r="K283" s="92">
        <f>SUMIFS(VENTAS[Cantidad],VENTAS[Código del producto Vendido],STOCK[[#This Row],[Code]])</f>
        <v>1</v>
      </c>
      <c r="L283" s="92">
        <f>STOCK[[#This Row],[Entradas]]-STOCK[[#This Row],[Salidas]]</f>
        <v>0</v>
      </c>
      <c r="M283" s="77">
        <f>STOCK[[#This Row],[Precio Final]]*10%</f>
        <v>2</v>
      </c>
      <c r="N283" s="77">
        <v>166</v>
      </c>
      <c r="O283" s="77">
        <v>18</v>
      </c>
      <c r="P283" s="77">
        <v>9.22222222222222</v>
      </c>
      <c r="Q283" s="92">
        <v>150</v>
      </c>
      <c r="R283" s="77">
        <v>10</v>
      </c>
      <c r="S283" s="77">
        <f>STOCK[[#This Row],[Peso (g)]]*STOCK[[#This Row],[Precio Envío Kilogramo (USD)]]/1000</f>
        <v>1.5</v>
      </c>
      <c r="T283" s="76">
        <f>STOCK[[#This Row],[Costo Unitario (USD)]]+STOCK[[#This Row],[Costo Envío (USD)]]+STOCK[[#This Row],[Comisión 10%]]</f>
        <v>12.7222222222222</v>
      </c>
      <c r="U283" s="77">
        <f>STOCK[[#This Row],[Costo total]]*1.5</f>
        <v>19.0833333333333</v>
      </c>
      <c r="V283" s="77">
        <v>20</v>
      </c>
      <c r="W283" s="77">
        <f>STOCK[[#This Row],[Precio Final]]-STOCK[[#This Row],[Costo total]]</f>
        <v>7.27777777777778</v>
      </c>
      <c r="X283" s="77">
        <f>STOCK[[#This Row],[Ganancia Unitaria]]*STOCK[[#This Row],[Salidas]]</f>
        <v>7.27777777777778</v>
      </c>
      <c r="AA283" s="77">
        <f>STOCK[[#This Row],[Costo total]]*STOCK[[#This Row],[Entradas]]</f>
        <v>12.7222222222222</v>
      </c>
      <c r="AB283" s="77">
        <f>STOCK[[#This Row],[Stock Actual]]*STOCK[[#This Row],[Costo total]]</f>
        <v>0</v>
      </c>
    </row>
    <row r="284" s="76" customFormat="1" ht="50" hidden="1" customHeight="1" spans="1:29">
      <c r="A284" s="76" t="s">
        <v>607</v>
      </c>
      <c r="B284" s="6"/>
      <c r="C284" s="76" t="s">
        <v>30</v>
      </c>
      <c r="D284" s="76" t="s">
        <v>173</v>
      </c>
      <c r="E284" s="76" t="s">
        <v>608</v>
      </c>
      <c r="F284" s="76" t="s">
        <v>60</v>
      </c>
      <c r="G284" s="76" t="s">
        <v>34</v>
      </c>
      <c r="H284" s="76">
        <f>STOCK[[#This Row],[Precio Final]]</f>
        <v>10</v>
      </c>
      <c r="I284" s="76">
        <f>STOCK[[#This Row],[Precio Venta Ideal (x1.5)]]</f>
        <v>10.1025</v>
      </c>
      <c r="J284" s="91">
        <v>5</v>
      </c>
      <c r="K284" s="91">
        <f>SUMIFS(VENTAS[Cantidad],VENTAS[Código del producto Vendido],STOCK[[#This Row],[Code]])</f>
        <v>0</v>
      </c>
      <c r="L284" s="91">
        <f>STOCK[[#This Row],[Entradas]]-STOCK[[#This Row],[Salidas]]</f>
        <v>5</v>
      </c>
      <c r="M284" s="76">
        <f>STOCK[[#This Row],[Precio Final]]*10%</f>
        <v>1</v>
      </c>
      <c r="N284" s="76">
        <v>96.75</v>
      </c>
      <c r="O284" s="76">
        <v>18</v>
      </c>
      <c r="P284" s="76">
        <v>5.375</v>
      </c>
      <c r="Q284" s="91">
        <v>45</v>
      </c>
      <c r="R284" s="76">
        <v>8</v>
      </c>
      <c r="S284" s="76">
        <f>STOCK[[#This Row],[Peso (g)]]*STOCK[[#This Row],[Precio Envío Kilogramo (USD)]]/1000</f>
        <v>0.36</v>
      </c>
      <c r="T284" s="76">
        <f>STOCK[[#This Row],[Costo Unitario (USD)]]+STOCK[[#This Row],[Costo Envío (USD)]]+STOCK[[#This Row],[Comisión 10%]]</f>
        <v>6.735</v>
      </c>
      <c r="U284" s="76">
        <f>STOCK[[#This Row],[Costo total]]*1.5</f>
        <v>10.1025</v>
      </c>
      <c r="V284" s="76">
        <v>10</v>
      </c>
      <c r="W284" s="76">
        <f>STOCK[[#This Row],[Precio Final]]-STOCK[[#This Row],[Costo total]]</f>
        <v>3.265</v>
      </c>
      <c r="X284" s="76">
        <f>STOCK[[#This Row],[Ganancia Unitaria]]*STOCK[[#This Row],[Salidas]]</f>
        <v>0</v>
      </c>
      <c r="AA284" s="76">
        <f>STOCK[[#This Row],[Costo total]]*STOCK[[#This Row],[Entradas]]</f>
        <v>33.675</v>
      </c>
      <c r="AB284" s="76">
        <f>STOCK[[#This Row],[Stock Actual]]*STOCK[[#This Row],[Costo total]]</f>
        <v>33.675</v>
      </c>
      <c r="AC284" s="76">
        <v>9</v>
      </c>
    </row>
    <row r="285" s="77" customFormat="1" ht="50" hidden="1" customHeight="1" spans="1:28">
      <c r="A285" s="77" t="s">
        <v>609</v>
      </c>
      <c r="B285" s="6"/>
      <c r="C285" s="77" t="s">
        <v>30</v>
      </c>
      <c r="D285" s="77" t="s">
        <v>42</v>
      </c>
      <c r="E285" s="77" t="s">
        <v>610</v>
      </c>
      <c r="F285" s="77" t="s">
        <v>44</v>
      </c>
      <c r="G285" s="77" t="s">
        <v>34</v>
      </c>
      <c r="H285" s="77">
        <f>STOCK[[#This Row],[Precio Final]]</f>
        <v>25</v>
      </c>
      <c r="I285" s="77">
        <f>STOCK[[#This Row],[Precio Venta Ideal (x1.5)]]</f>
        <v>19.8333333333333</v>
      </c>
      <c r="J285" s="92">
        <v>3</v>
      </c>
      <c r="K285" s="92">
        <f>SUMIFS(VENTAS[Cantidad],VENTAS[Código del producto Vendido],STOCK[[#This Row],[Code]])</f>
        <v>3</v>
      </c>
      <c r="L285" s="92">
        <f>STOCK[[#This Row],[Entradas]]-STOCK[[#This Row],[Salidas]]</f>
        <v>0</v>
      </c>
      <c r="M285" s="77">
        <f>STOCK[[#This Row],[Precio Final]]*10%</f>
        <v>2.5</v>
      </c>
      <c r="N285" s="77">
        <v>166</v>
      </c>
      <c r="O285" s="77">
        <v>18</v>
      </c>
      <c r="P285" s="77">
        <v>9.22222222222222</v>
      </c>
      <c r="Q285" s="92">
        <v>150</v>
      </c>
      <c r="R285" s="77">
        <v>10</v>
      </c>
      <c r="S285" s="77">
        <f>STOCK[[#This Row],[Peso (g)]]*STOCK[[#This Row],[Precio Envío Kilogramo (USD)]]/1000</f>
        <v>1.5</v>
      </c>
      <c r="T285" s="76">
        <f>STOCK[[#This Row],[Costo Unitario (USD)]]+STOCK[[#This Row],[Costo Envío (USD)]]+STOCK[[#This Row],[Comisión 10%]]</f>
        <v>13.2222222222222</v>
      </c>
      <c r="U285" s="77">
        <f>STOCK[[#This Row],[Costo total]]*1.5</f>
        <v>19.8333333333333</v>
      </c>
      <c r="V285" s="77">
        <v>25</v>
      </c>
      <c r="W285" s="77">
        <f>STOCK[[#This Row],[Precio Final]]-STOCK[[#This Row],[Costo total]]</f>
        <v>11.7777777777778</v>
      </c>
      <c r="X285" s="77">
        <f>STOCK[[#This Row],[Ganancia Unitaria]]*STOCK[[#This Row],[Salidas]]</f>
        <v>35.3333333333333</v>
      </c>
      <c r="AA285" s="77">
        <f>STOCK[[#This Row],[Costo total]]*STOCK[[#This Row],[Entradas]]</f>
        <v>39.6666666666667</v>
      </c>
      <c r="AB285" s="77">
        <f>STOCK[[#This Row],[Stock Actual]]*STOCK[[#This Row],[Costo total]]</f>
        <v>0</v>
      </c>
    </row>
    <row r="286" s="76" customFormat="1" ht="50" hidden="1" customHeight="1" spans="1:28">
      <c r="A286" s="76" t="s">
        <v>611</v>
      </c>
      <c r="B286" s="6"/>
      <c r="C286" s="76" t="s">
        <v>30</v>
      </c>
      <c r="D286" s="76" t="s">
        <v>42</v>
      </c>
      <c r="E286" s="76" t="s">
        <v>612</v>
      </c>
      <c r="F286" s="76" t="s">
        <v>44</v>
      </c>
      <c r="G286" s="76" t="s">
        <v>34</v>
      </c>
      <c r="H286" s="76">
        <f>STOCK[[#This Row],[Precio Final]]</f>
        <v>25</v>
      </c>
      <c r="I286" s="76">
        <f>STOCK[[#This Row],[Precio Venta Ideal (x1.5)]]</f>
        <v>19.8333333333333</v>
      </c>
      <c r="J286" s="91">
        <v>3</v>
      </c>
      <c r="K286" s="91">
        <f>SUMIFS(VENTAS[Cantidad],VENTAS[Código del producto Vendido],STOCK[[#This Row],[Code]])</f>
        <v>3</v>
      </c>
      <c r="L286" s="91">
        <f>STOCK[[#This Row],[Entradas]]-STOCK[[#This Row],[Salidas]]</f>
        <v>0</v>
      </c>
      <c r="M286" s="76">
        <f>STOCK[[#This Row],[Precio Final]]*10%</f>
        <v>2.5</v>
      </c>
      <c r="N286" s="76">
        <v>166</v>
      </c>
      <c r="O286" s="76">
        <v>18</v>
      </c>
      <c r="P286" s="76">
        <v>9.22222222222222</v>
      </c>
      <c r="Q286" s="91">
        <v>150</v>
      </c>
      <c r="R286" s="76">
        <v>10</v>
      </c>
      <c r="S286" s="76">
        <f>STOCK[[#This Row],[Peso (g)]]*STOCK[[#This Row],[Precio Envío Kilogramo (USD)]]/1000</f>
        <v>1.5</v>
      </c>
      <c r="T286" s="76">
        <f>STOCK[[#This Row],[Costo Unitario (USD)]]+STOCK[[#This Row],[Costo Envío (USD)]]+STOCK[[#This Row],[Comisión 10%]]</f>
        <v>13.2222222222222</v>
      </c>
      <c r="U286" s="76">
        <f>STOCK[[#This Row],[Costo total]]*1.5</f>
        <v>19.8333333333333</v>
      </c>
      <c r="V286" s="76">
        <v>25</v>
      </c>
      <c r="W286" s="76">
        <f>STOCK[[#This Row],[Precio Final]]-STOCK[[#This Row],[Costo total]]</f>
        <v>11.7777777777778</v>
      </c>
      <c r="X286" s="76">
        <f>STOCK[[#This Row],[Ganancia Unitaria]]*STOCK[[#This Row],[Salidas]]</f>
        <v>35.3333333333333</v>
      </c>
      <c r="AA286" s="76">
        <f>STOCK[[#This Row],[Costo total]]*STOCK[[#This Row],[Entradas]]</f>
        <v>39.6666666666667</v>
      </c>
      <c r="AB286" s="76">
        <f>STOCK[[#This Row],[Stock Actual]]*STOCK[[#This Row],[Costo total]]</f>
        <v>0</v>
      </c>
    </row>
    <row r="287" s="77" customFormat="1" ht="50" hidden="1" customHeight="1" spans="1:28">
      <c r="A287" s="77" t="s">
        <v>613</v>
      </c>
      <c r="B287" s="6"/>
      <c r="C287" s="77" t="s">
        <v>30</v>
      </c>
      <c r="D287" s="77" t="s">
        <v>173</v>
      </c>
      <c r="E287" s="77" t="s">
        <v>614</v>
      </c>
      <c r="F287" s="77" t="s">
        <v>60</v>
      </c>
      <c r="G287" s="77" t="s">
        <v>34</v>
      </c>
      <c r="H287" s="77">
        <f>STOCK[[#This Row],[Precio Final]]</f>
        <v>15</v>
      </c>
      <c r="I287" s="77">
        <f>STOCK[[#This Row],[Precio Venta Ideal (x1.5)]]</f>
        <v>10.8525</v>
      </c>
      <c r="J287" s="92">
        <v>3</v>
      </c>
      <c r="K287" s="92">
        <f>SUMIFS(VENTAS[Cantidad],VENTAS[Código del producto Vendido],STOCK[[#This Row],[Code]])</f>
        <v>3</v>
      </c>
      <c r="L287" s="92">
        <f>STOCK[[#This Row],[Entradas]]-STOCK[[#This Row],[Salidas]]</f>
        <v>0</v>
      </c>
      <c r="M287" s="77">
        <f>STOCK[[#This Row],[Precio Final]]*10%</f>
        <v>1.5</v>
      </c>
      <c r="N287" s="77">
        <v>96.75</v>
      </c>
      <c r="O287" s="77">
        <v>18</v>
      </c>
      <c r="P287" s="77">
        <v>5.375</v>
      </c>
      <c r="Q287" s="92">
        <v>45</v>
      </c>
      <c r="R287" s="77">
        <v>8</v>
      </c>
      <c r="S287" s="77">
        <f>STOCK[[#This Row],[Peso (g)]]*STOCK[[#This Row],[Precio Envío Kilogramo (USD)]]/1000</f>
        <v>0.36</v>
      </c>
      <c r="T287" s="76">
        <f>STOCK[[#This Row],[Costo Unitario (USD)]]+STOCK[[#This Row],[Costo Envío (USD)]]+STOCK[[#This Row],[Comisión 10%]]</f>
        <v>7.235</v>
      </c>
      <c r="U287" s="77">
        <f>STOCK[[#This Row],[Costo total]]*1.5</f>
        <v>10.8525</v>
      </c>
      <c r="V287" s="77">
        <v>15</v>
      </c>
      <c r="W287" s="77">
        <f>STOCK[[#This Row],[Precio Final]]-STOCK[[#This Row],[Costo total]]</f>
        <v>7.765</v>
      </c>
      <c r="X287" s="77">
        <f>STOCK[[#This Row],[Ganancia Unitaria]]*STOCK[[#This Row],[Salidas]]</f>
        <v>23.295</v>
      </c>
      <c r="AA287" s="77">
        <f>STOCK[[#This Row],[Costo total]]*STOCK[[#This Row],[Entradas]]</f>
        <v>21.705</v>
      </c>
      <c r="AB287" s="77">
        <f>STOCK[[#This Row],[Stock Actual]]*STOCK[[#This Row],[Costo total]]</f>
        <v>0</v>
      </c>
    </row>
    <row r="288" s="76" customFormat="1" ht="50" hidden="1" customHeight="1" spans="1:28">
      <c r="A288" s="76" t="s">
        <v>615</v>
      </c>
      <c r="B288" s="6"/>
      <c r="C288" s="76" t="s">
        <v>30</v>
      </c>
      <c r="D288" s="76" t="s">
        <v>173</v>
      </c>
      <c r="E288" s="76" t="s">
        <v>614</v>
      </c>
      <c r="F288" s="76" t="s">
        <v>38</v>
      </c>
      <c r="G288" s="76" t="s">
        <v>34</v>
      </c>
      <c r="H288" s="76">
        <f>STOCK[[#This Row],[Precio Final]]</f>
        <v>15</v>
      </c>
      <c r="I288" s="76">
        <f>STOCK[[#This Row],[Precio Venta Ideal (x1.5)]]</f>
        <v>10.8525</v>
      </c>
      <c r="J288" s="91">
        <v>3</v>
      </c>
      <c r="K288" s="91">
        <f>SUMIFS(VENTAS[Cantidad],VENTAS[Código del producto Vendido],STOCK[[#This Row],[Code]])</f>
        <v>3</v>
      </c>
      <c r="L288" s="91">
        <f>STOCK[[#This Row],[Entradas]]-STOCK[[#This Row],[Salidas]]</f>
        <v>0</v>
      </c>
      <c r="M288" s="76">
        <f>STOCK[[#This Row],[Precio Final]]*10%</f>
        <v>1.5</v>
      </c>
      <c r="N288" s="76">
        <v>96.75</v>
      </c>
      <c r="O288" s="76">
        <v>18</v>
      </c>
      <c r="P288" s="76">
        <v>5.375</v>
      </c>
      <c r="Q288" s="91">
        <v>45</v>
      </c>
      <c r="R288" s="76">
        <v>8</v>
      </c>
      <c r="S288" s="76">
        <f>STOCK[[#This Row],[Peso (g)]]*STOCK[[#This Row],[Precio Envío Kilogramo (USD)]]/1000</f>
        <v>0.36</v>
      </c>
      <c r="T288" s="76">
        <f>STOCK[[#This Row],[Costo Unitario (USD)]]+STOCK[[#This Row],[Costo Envío (USD)]]+STOCK[[#This Row],[Comisión 10%]]</f>
        <v>7.235</v>
      </c>
      <c r="U288" s="76">
        <f>STOCK[[#This Row],[Costo total]]*1.5</f>
        <v>10.8525</v>
      </c>
      <c r="V288" s="76">
        <v>15</v>
      </c>
      <c r="W288" s="76">
        <f>STOCK[[#This Row],[Precio Final]]-STOCK[[#This Row],[Costo total]]</f>
        <v>7.765</v>
      </c>
      <c r="X288" s="76">
        <f>STOCK[[#This Row],[Ganancia Unitaria]]*STOCK[[#This Row],[Salidas]]</f>
        <v>23.295</v>
      </c>
      <c r="AA288" s="76">
        <f>STOCK[[#This Row],[Costo total]]*STOCK[[#This Row],[Entradas]]</f>
        <v>21.705</v>
      </c>
      <c r="AB288" s="76">
        <f>STOCK[[#This Row],[Stock Actual]]*STOCK[[#This Row],[Costo total]]</f>
        <v>0</v>
      </c>
    </row>
    <row r="289" s="77" customFormat="1" ht="50" hidden="1" customHeight="1" spans="1:29">
      <c r="A289" s="77" t="s">
        <v>616</v>
      </c>
      <c r="B289" s="6"/>
      <c r="C289" s="77" t="s">
        <v>30</v>
      </c>
      <c r="D289" s="77" t="s">
        <v>350</v>
      </c>
      <c r="E289" s="77" t="s">
        <v>617</v>
      </c>
      <c r="F289" s="77" t="s">
        <v>524</v>
      </c>
      <c r="G289" s="77" t="s">
        <v>34</v>
      </c>
      <c r="H289" s="77">
        <f>STOCK[[#This Row],[Precio Final]]</f>
        <v>12</v>
      </c>
      <c r="I289" s="77">
        <f>STOCK[[#This Row],[Precio Venta Ideal (x1.5)]]</f>
        <v>8.025</v>
      </c>
      <c r="J289" s="92">
        <v>6</v>
      </c>
      <c r="K289" s="92">
        <f>SUMIFS(VENTAS[Cantidad],VENTAS[Código del producto Vendido],STOCK[[#This Row],[Code]])</f>
        <v>4</v>
      </c>
      <c r="L289" s="92">
        <f>STOCK[[#This Row],[Entradas]]-STOCK[[#This Row],[Salidas]]</f>
        <v>2</v>
      </c>
      <c r="M289" s="77">
        <f>STOCK[[#This Row],[Precio Final]]*10%</f>
        <v>1.2</v>
      </c>
      <c r="N289" s="77">
        <v>67.5</v>
      </c>
      <c r="O289" s="77">
        <v>18</v>
      </c>
      <c r="P289" s="77">
        <v>3.75</v>
      </c>
      <c r="Q289" s="92">
        <v>50</v>
      </c>
      <c r="R289" s="77">
        <v>8</v>
      </c>
      <c r="S289" s="77">
        <f>STOCK[[#This Row],[Peso (g)]]*STOCK[[#This Row],[Precio Envío Kilogramo (USD)]]/1000</f>
        <v>0.4</v>
      </c>
      <c r="T289" s="76">
        <f>STOCK[[#This Row],[Costo Unitario (USD)]]+STOCK[[#This Row],[Costo Envío (USD)]]+STOCK[[#This Row],[Comisión 10%]]</f>
        <v>5.35</v>
      </c>
      <c r="U289" s="77">
        <f>STOCK[[#This Row],[Costo total]]*1.5</f>
        <v>8.025</v>
      </c>
      <c r="V289" s="77">
        <v>12</v>
      </c>
      <c r="W289" s="77">
        <f>STOCK[[#This Row],[Precio Final]]-STOCK[[#This Row],[Costo total]]</f>
        <v>6.65</v>
      </c>
      <c r="X289" s="77">
        <f>STOCK[[#This Row],[Ganancia Unitaria]]*STOCK[[#This Row],[Salidas]]</f>
        <v>26.6</v>
      </c>
      <c r="AA289" s="77">
        <f>STOCK[[#This Row],[Costo total]]*STOCK[[#This Row],[Entradas]]</f>
        <v>32.1</v>
      </c>
      <c r="AB289" s="77">
        <f>STOCK[[#This Row],[Stock Actual]]*STOCK[[#This Row],[Costo total]]</f>
        <v>10.7</v>
      </c>
      <c r="AC289" s="77">
        <v>7</v>
      </c>
    </row>
    <row r="290" s="76" customFormat="1" ht="50" hidden="1" customHeight="1" spans="1:28">
      <c r="A290" s="76" t="s">
        <v>618</v>
      </c>
      <c r="B290" s="6"/>
      <c r="C290" s="76" t="s">
        <v>30</v>
      </c>
      <c r="D290" s="76" t="s">
        <v>42</v>
      </c>
      <c r="E290" s="76" t="s">
        <v>619</v>
      </c>
      <c r="F290" s="76" t="s">
        <v>38</v>
      </c>
      <c r="G290" s="76" t="s">
        <v>34</v>
      </c>
      <c r="H290" s="76">
        <f>STOCK[[#This Row],[Precio Final]]</f>
        <v>15</v>
      </c>
      <c r="I290" s="76">
        <f>STOCK[[#This Row],[Precio Venta Ideal (x1.5)]]</f>
        <v>18.3333333333333</v>
      </c>
      <c r="J290" s="91">
        <v>3</v>
      </c>
      <c r="K290" s="91">
        <f>SUMIFS(VENTAS[Cantidad],VENTAS[Código del producto Vendido],STOCK[[#This Row],[Code]])</f>
        <v>3</v>
      </c>
      <c r="L290" s="91">
        <f>STOCK[[#This Row],[Entradas]]-STOCK[[#This Row],[Salidas]]</f>
        <v>0</v>
      </c>
      <c r="M290" s="76">
        <f>STOCK[[#This Row],[Precio Final]]*10%</f>
        <v>1.5</v>
      </c>
      <c r="N290" s="76">
        <v>166</v>
      </c>
      <c r="O290" s="76">
        <v>18</v>
      </c>
      <c r="P290" s="76">
        <v>9.22222222222222</v>
      </c>
      <c r="Q290" s="91">
        <v>150</v>
      </c>
      <c r="R290" s="76">
        <v>10</v>
      </c>
      <c r="S290" s="76">
        <f>STOCK[[#This Row],[Peso (g)]]*STOCK[[#This Row],[Precio Envío Kilogramo (USD)]]/1000</f>
        <v>1.5</v>
      </c>
      <c r="T290" s="76">
        <f>STOCK[[#This Row],[Costo Unitario (USD)]]+STOCK[[#This Row],[Costo Envío (USD)]]+STOCK[[#This Row],[Comisión 10%]]</f>
        <v>12.2222222222222</v>
      </c>
      <c r="U290" s="76">
        <f>STOCK[[#This Row],[Costo total]]*1.5</f>
        <v>18.3333333333333</v>
      </c>
      <c r="V290" s="76">
        <v>15</v>
      </c>
      <c r="W290" s="76">
        <f>STOCK[[#This Row],[Precio Final]]-STOCK[[#This Row],[Costo total]]</f>
        <v>2.77777777777778</v>
      </c>
      <c r="X290" s="76">
        <f>STOCK[[#This Row],[Ganancia Unitaria]]*STOCK[[#This Row],[Salidas]]</f>
        <v>8.33333333333334</v>
      </c>
      <c r="AA290" s="76">
        <f>STOCK[[#This Row],[Costo total]]*STOCK[[#This Row],[Entradas]]</f>
        <v>36.6666666666667</v>
      </c>
      <c r="AB290" s="76">
        <f>STOCK[[#This Row],[Stock Actual]]*STOCK[[#This Row],[Costo total]]</f>
        <v>0</v>
      </c>
    </row>
    <row r="291" s="77" customFormat="1" ht="50" hidden="1" customHeight="1" spans="1:28">
      <c r="A291" s="77" t="s">
        <v>620</v>
      </c>
      <c r="B291" s="6"/>
      <c r="C291" s="77" t="s">
        <v>30</v>
      </c>
      <c r="D291" s="77" t="s">
        <v>42</v>
      </c>
      <c r="E291" s="77" t="s">
        <v>621</v>
      </c>
      <c r="F291" s="77" t="s">
        <v>44</v>
      </c>
      <c r="G291" s="77" t="s">
        <v>34</v>
      </c>
      <c r="H291" s="77">
        <f>STOCK[[#This Row],[Precio Final]]</f>
        <v>16</v>
      </c>
      <c r="I291" s="77">
        <f>STOCK[[#This Row],[Precio Venta Ideal (x1.5)]]</f>
        <v>18.4833333333333</v>
      </c>
      <c r="J291" s="92">
        <v>3</v>
      </c>
      <c r="K291" s="92">
        <f>SUMIFS(VENTAS[Cantidad],VENTAS[Código del producto Vendido],STOCK[[#This Row],[Code]])</f>
        <v>3</v>
      </c>
      <c r="L291" s="92">
        <f>STOCK[[#This Row],[Entradas]]-STOCK[[#This Row],[Salidas]]</f>
        <v>0</v>
      </c>
      <c r="M291" s="77">
        <f>STOCK[[#This Row],[Precio Final]]*10%</f>
        <v>1.6</v>
      </c>
      <c r="N291" s="77">
        <v>166</v>
      </c>
      <c r="O291" s="77">
        <v>18</v>
      </c>
      <c r="P291" s="77">
        <v>9.22222222222222</v>
      </c>
      <c r="Q291" s="92">
        <v>150</v>
      </c>
      <c r="R291" s="77">
        <v>10</v>
      </c>
      <c r="S291" s="77">
        <f>STOCK[[#This Row],[Peso (g)]]*STOCK[[#This Row],[Precio Envío Kilogramo (USD)]]/1000</f>
        <v>1.5</v>
      </c>
      <c r="T291" s="76">
        <f>STOCK[[#This Row],[Costo Unitario (USD)]]+STOCK[[#This Row],[Costo Envío (USD)]]+STOCK[[#This Row],[Comisión 10%]]</f>
        <v>12.3222222222222</v>
      </c>
      <c r="U291" s="77">
        <f>STOCK[[#This Row],[Costo total]]*1.5</f>
        <v>18.4833333333333</v>
      </c>
      <c r="V291" s="77">
        <v>16</v>
      </c>
      <c r="W291" s="77">
        <f>STOCK[[#This Row],[Precio Final]]-STOCK[[#This Row],[Costo total]]</f>
        <v>3.67777777777778</v>
      </c>
      <c r="X291" s="77">
        <f>STOCK[[#This Row],[Ganancia Unitaria]]*STOCK[[#This Row],[Salidas]]</f>
        <v>11.0333333333333</v>
      </c>
      <c r="AA291" s="77">
        <f>STOCK[[#This Row],[Costo total]]*STOCK[[#This Row],[Entradas]]</f>
        <v>36.9666666666667</v>
      </c>
      <c r="AB291" s="77">
        <f>STOCK[[#This Row],[Stock Actual]]*STOCK[[#This Row],[Costo total]]</f>
        <v>0</v>
      </c>
    </row>
    <row r="292" s="76" customFormat="1" ht="50" hidden="1" customHeight="1" spans="1:28">
      <c r="A292" s="76" t="s">
        <v>622</v>
      </c>
      <c r="B292" s="6"/>
      <c r="C292" s="76" t="s">
        <v>30</v>
      </c>
      <c r="D292" s="76" t="s">
        <v>42</v>
      </c>
      <c r="E292" s="76" t="s">
        <v>623</v>
      </c>
      <c r="F292" s="76" t="s">
        <v>44</v>
      </c>
      <c r="G292" s="76" t="s">
        <v>34</v>
      </c>
      <c r="H292" s="76">
        <f>STOCK[[#This Row],[Precio Final]]</f>
        <v>216</v>
      </c>
      <c r="I292" s="76">
        <f>STOCK[[#This Row],[Precio Venta Ideal (x1.5)]]</f>
        <v>48.4833333333333</v>
      </c>
      <c r="J292" s="91">
        <v>3</v>
      </c>
      <c r="K292" s="91">
        <f>SUMIFS(VENTAS[Cantidad],VENTAS[Código del producto Vendido],STOCK[[#This Row],[Code]])</f>
        <v>3</v>
      </c>
      <c r="L292" s="91">
        <f>STOCK[[#This Row],[Entradas]]-STOCK[[#This Row],[Salidas]]</f>
        <v>0</v>
      </c>
      <c r="M292" s="76">
        <f>STOCK[[#This Row],[Precio Final]]*10%</f>
        <v>21.6</v>
      </c>
      <c r="N292" s="76">
        <v>166</v>
      </c>
      <c r="O292" s="76">
        <v>18</v>
      </c>
      <c r="P292" s="76">
        <v>9.22222222222222</v>
      </c>
      <c r="Q292" s="91">
        <v>150</v>
      </c>
      <c r="R292" s="76">
        <v>10</v>
      </c>
      <c r="S292" s="76">
        <f>STOCK[[#This Row],[Peso (g)]]*STOCK[[#This Row],[Precio Envío Kilogramo (USD)]]/1000</f>
        <v>1.5</v>
      </c>
      <c r="T292" s="76">
        <f>STOCK[[#This Row],[Costo Unitario (USD)]]+STOCK[[#This Row],[Costo Envío (USD)]]+STOCK[[#This Row],[Comisión 10%]]</f>
        <v>32.3222222222222</v>
      </c>
      <c r="U292" s="76">
        <f>STOCK[[#This Row],[Costo total]]*1.5</f>
        <v>48.4833333333333</v>
      </c>
      <c r="V292" s="76">
        <v>216</v>
      </c>
      <c r="W292" s="76">
        <f>STOCK[[#This Row],[Precio Final]]-STOCK[[#This Row],[Costo total]]</f>
        <v>183.677777777778</v>
      </c>
      <c r="X292" s="76">
        <f>STOCK[[#This Row],[Ganancia Unitaria]]*STOCK[[#This Row],[Salidas]]</f>
        <v>551.033333333333</v>
      </c>
      <c r="AA292" s="76">
        <f>STOCK[[#This Row],[Costo total]]*STOCK[[#This Row],[Entradas]]</f>
        <v>96.9666666666667</v>
      </c>
      <c r="AB292" s="76">
        <f>STOCK[[#This Row],[Stock Actual]]*STOCK[[#This Row],[Costo total]]</f>
        <v>0</v>
      </c>
    </row>
    <row r="293" s="77" customFormat="1" ht="50" hidden="1" customHeight="1" spans="1:28">
      <c r="A293" s="77" t="s">
        <v>624</v>
      </c>
      <c r="B293" s="6"/>
      <c r="C293" s="77" t="s">
        <v>30</v>
      </c>
      <c r="D293" s="77" t="s">
        <v>42</v>
      </c>
      <c r="E293" s="77" t="s">
        <v>625</v>
      </c>
      <c r="F293" s="77" t="s">
        <v>44</v>
      </c>
      <c r="G293" s="77" t="s">
        <v>34</v>
      </c>
      <c r="H293" s="77">
        <f>STOCK[[#This Row],[Precio Final]]</f>
        <v>16</v>
      </c>
      <c r="I293" s="77">
        <f>STOCK[[#This Row],[Precio Venta Ideal (x1.5)]]</f>
        <v>18.4833333333333</v>
      </c>
      <c r="J293" s="92">
        <v>3</v>
      </c>
      <c r="K293" s="92">
        <f>SUMIFS(VENTAS[Cantidad],VENTAS[Código del producto Vendido],STOCK[[#This Row],[Code]])</f>
        <v>3</v>
      </c>
      <c r="L293" s="92">
        <f>STOCK[[#This Row],[Entradas]]-STOCK[[#This Row],[Salidas]]</f>
        <v>0</v>
      </c>
      <c r="M293" s="77">
        <f>STOCK[[#This Row],[Precio Final]]*10%</f>
        <v>1.6</v>
      </c>
      <c r="N293" s="77">
        <v>166</v>
      </c>
      <c r="O293" s="77">
        <v>18</v>
      </c>
      <c r="P293" s="77">
        <v>9.22222222222222</v>
      </c>
      <c r="Q293" s="92">
        <v>150</v>
      </c>
      <c r="R293" s="77">
        <v>10</v>
      </c>
      <c r="S293" s="77">
        <f>STOCK[[#This Row],[Peso (g)]]*STOCK[[#This Row],[Precio Envío Kilogramo (USD)]]/1000</f>
        <v>1.5</v>
      </c>
      <c r="T293" s="76">
        <f>STOCK[[#This Row],[Costo Unitario (USD)]]+STOCK[[#This Row],[Costo Envío (USD)]]+STOCK[[#This Row],[Comisión 10%]]</f>
        <v>12.3222222222222</v>
      </c>
      <c r="U293" s="77">
        <f>STOCK[[#This Row],[Costo total]]*1.5</f>
        <v>18.4833333333333</v>
      </c>
      <c r="V293" s="77">
        <v>16</v>
      </c>
      <c r="W293" s="77">
        <f>STOCK[[#This Row],[Precio Final]]-STOCK[[#This Row],[Costo total]]</f>
        <v>3.67777777777778</v>
      </c>
      <c r="X293" s="77">
        <f>STOCK[[#This Row],[Ganancia Unitaria]]*STOCK[[#This Row],[Salidas]]</f>
        <v>11.0333333333333</v>
      </c>
      <c r="AA293" s="77">
        <f>STOCK[[#This Row],[Costo total]]*STOCK[[#This Row],[Entradas]]</f>
        <v>36.9666666666667</v>
      </c>
      <c r="AB293" s="77">
        <f>STOCK[[#This Row],[Stock Actual]]*STOCK[[#This Row],[Costo total]]</f>
        <v>0</v>
      </c>
    </row>
    <row r="294" s="76" customFormat="1" ht="50" hidden="1" customHeight="1" spans="1:28">
      <c r="A294" s="76" t="s">
        <v>626</v>
      </c>
      <c r="B294" s="6"/>
      <c r="C294" s="76" t="s">
        <v>30</v>
      </c>
      <c r="D294" s="76" t="s">
        <v>42</v>
      </c>
      <c r="E294" s="76" t="s">
        <v>627</v>
      </c>
      <c r="F294" s="76" t="s">
        <v>186</v>
      </c>
      <c r="G294" s="76" t="s">
        <v>34</v>
      </c>
      <c r="H294" s="76">
        <f>STOCK[[#This Row],[Precio Final]]</f>
        <v>20</v>
      </c>
      <c r="I294" s="76">
        <f>STOCK[[#This Row],[Precio Venta Ideal (x1.5)]]</f>
        <v>19.0833333333333</v>
      </c>
      <c r="J294" s="91">
        <v>3</v>
      </c>
      <c r="K294" s="91">
        <f>SUMIFS(VENTAS[Cantidad],VENTAS[Código del producto Vendido],STOCK[[#This Row],[Code]])</f>
        <v>3</v>
      </c>
      <c r="L294" s="91">
        <f>STOCK[[#This Row],[Entradas]]-STOCK[[#This Row],[Salidas]]</f>
        <v>0</v>
      </c>
      <c r="M294" s="76">
        <f>STOCK[[#This Row],[Precio Final]]*10%</f>
        <v>2</v>
      </c>
      <c r="N294" s="76">
        <v>166</v>
      </c>
      <c r="O294" s="76">
        <v>18</v>
      </c>
      <c r="P294" s="76">
        <v>9.22222222222222</v>
      </c>
      <c r="Q294" s="91">
        <v>150</v>
      </c>
      <c r="R294" s="76">
        <v>10</v>
      </c>
      <c r="S294" s="76">
        <f>STOCK[[#This Row],[Peso (g)]]*STOCK[[#This Row],[Precio Envío Kilogramo (USD)]]/1000</f>
        <v>1.5</v>
      </c>
      <c r="T294" s="76">
        <f>STOCK[[#This Row],[Costo Unitario (USD)]]+STOCK[[#This Row],[Costo Envío (USD)]]+STOCK[[#This Row],[Comisión 10%]]</f>
        <v>12.7222222222222</v>
      </c>
      <c r="U294" s="76">
        <f>STOCK[[#This Row],[Costo total]]*1.5</f>
        <v>19.0833333333333</v>
      </c>
      <c r="V294" s="76">
        <v>20</v>
      </c>
      <c r="W294" s="76">
        <f>STOCK[[#This Row],[Precio Final]]-STOCK[[#This Row],[Costo total]]</f>
        <v>7.27777777777778</v>
      </c>
      <c r="X294" s="76">
        <f>STOCK[[#This Row],[Ganancia Unitaria]]*STOCK[[#This Row],[Salidas]]</f>
        <v>21.8333333333333</v>
      </c>
      <c r="AA294" s="76">
        <f>STOCK[[#This Row],[Costo total]]*STOCK[[#This Row],[Entradas]]</f>
        <v>38.1666666666667</v>
      </c>
      <c r="AB294" s="76">
        <f>STOCK[[#This Row],[Stock Actual]]*STOCK[[#This Row],[Costo total]]</f>
        <v>0</v>
      </c>
    </row>
    <row r="295" s="77" customFormat="1" ht="50" hidden="1" customHeight="1" spans="1:29">
      <c r="A295" s="77" t="s">
        <v>628</v>
      </c>
      <c r="B295" s="6"/>
      <c r="C295" s="77" t="s">
        <v>30</v>
      </c>
      <c r="D295" s="77" t="s">
        <v>215</v>
      </c>
      <c r="E295" s="77" t="s">
        <v>629</v>
      </c>
      <c r="F295" s="77" t="s">
        <v>60</v>
      </c>
      <c r="G295" s="77" t="s">
        <v>34</v>
      </c>
      <c r="H295" s="77">
        <f>STOCK[[#This Row],[Precio Final]]</f>
        <v>20</v>
      </c>
      <c r="I295" s="77">
        <f>STOCK[[#This Row],[Precio Venta Ideal (x1.5)]]</f>
        <v>19.0833333333333</v>
      </c>
      <c r="J295" s="92">
        <v>2</v>
      </c>
      <c r="K295" s="92">
        <f>SUMIFS(VENTAS[Cantidad],VENTAS[Código del producto Vendido],STOCK[[#This Row],[Code]])</f>
        <v>0</v>
      </c>
      <c r="L295" s="92">
        <f>STOCK[[#This Row],[Entradas]]-STOCK[[#This Row],[Salidas]]</f>
        <v>2</v>
      </c>
      <c r="M295" s="77">
        <f>STOCK[[#This Row],[Precio Final]]*10%</f>
        <v>2</v>
      </c>
      <c r="N295" s="77">
        <v>166</v>
      </c>
      <c r="O295" s="77">
        <v>18</v>
      </c>
      <c r="P295" s="77">
        <v>9.22222222222222</v>
      </c>
      <c r="Q295" s="92">
        <v>150</v>
      </c>
      <c r="R295" s="77">
        <v>10</v>
      </c>
      <c r="S295" s="77">
        <f>STOCK[[#This Row],[Peso (g)]]*STOCK[[#This Row],[Precio Envío Kilogramo (USD)]]/1000</f>
        <v>1.5</v>
      </c>
      <c r="T295" s="76">
        <f>STOCK[[#This Row],[Costo Unitario (USD)]]+STOCK[[#This Row],[Costo Envío (USD)]]+STOCK[[#This Row],[Comisión 10%]]</f>
        <v>12.7222222222222</v>
      </c>
      <c r="U295" s="77">
        <f>STOCK[[#This Row],[Costo total]]*1.5</f>
        <v>19.0833333333333</v>
      </c>
      <c r="V295" s="77">
        <v>20</v>
      </c>
      <c r="W295" s="77">
        <f>STOCK[[#This Row],[Precio Final]]-STOCK[[#This Row],[Costo total]]</f>
        <v>7.27777777777778</v>
      </c>
      <c r="X295" s="77">
        <f>STOCK[[#This Row],[Ganancia Unitaria]]*STOCK[[#This Row],[Salidas]]</f>
        <v>0</v>
      </c>
      <c r="AA295" s="77">
        <f>STOCK[[#This Row],[Costo total]]*STOCK[[#This Row],[Entradas]]</f>
        <v>25.4444444444444</v>
      </c>
      <c r="AB295" s="77">
        <f>STOCK[[#This Row],[Stock Actual]]*STOCK[[#This Row],[Costo total]]</f>
        <v>25.4444444444444</v>
      </c>
      <c r="AC295" s="77">
        <v>15</v>
      </c>
    </row>
    <row r="296" s="76" customFormat="1" ht="50" hidden="1" customHeight="1" spans="1:28">
      <c r="A296" s="76" t="s">
        <v>630</v>
      </c>
      <c r="B296" s="6"/>
      <c r="C296" s="76" t="s">
        <v>30</v>
      </c>
      <c r="D296" s="76" t="s">
        <v>42</v>
      </c>
      <c r="E296" s="76" t="s">
        <v>631</v>
      </c>
      <c r="F296" s="76" t="s">
        <v>38</v>
      </c>
      <c r="G296" s="76" t="s">
        <v>34</v>
      </c>
      <c r="H296" s="76">
        <f>STOCK[[#This Row],[Precio Final]]</f>
        <v>20</v>
      </c>
      <c r="I296" s="76">
        <f>STOCK[[#This Row],[Precio Venta Ideal (x1.5)]]</f>
        <v>19.0833333333333</v>
      </c>
      <c r="J296" s="91">
        <v>3</v>
      </c>
      <c r="K296" s="91">
        <f>SUMIFS(VENTAS[Cantidad],VENTAS[Código del producto Vendido],STOCK[[#This Row],[Code]])</f>
        <v>3</v>
      </c>
      <c r="L296" s="91">
        <f>STOCK[[#This Row],[Entradas]]-STOCK[[#This Row],[Salidas]]</f>
        <v>0</v>
      </c>
      <c r="M296" s="76">
        <f>STOCK[[#This Row],[Precio Final]]*10%</f>
        <v>2</v>
      </c>
      <c r="N296" s="76">
        <v>166</v>
      </c>
      <c r="O296" s="76">
        <v>18</v>
      </c>
      <c r="P296" s="76">
        <v>9.22222222222222</v>
      </c>
      <c r="Q296" s="91">
        <v>150</v>
      </c>
      <c r="R296" s="76">
        <v>10</v>
      </c>
      <c r="S296" s="76">
        <f>STOCK[[#This Row],[Peso (g)]]*STOCK[[#This Row],[Precio Envío Kilogramo (USD)]]/1000</f>
        <v>1.5</v>
      </c>
      <c r="T296" s="76">
        <f>STOCK[[#This Row],[Costo Unitario (USD)]]+STOCK[[#This Row],[Costo Envío (USD)]]+STOCK[[#This Row],[Comisión 10%]]</f>
        <v>12.7222222222222</v>
      </c>
      <c r="U296" s="76">
        <f>STOCK[[#This Row],[Costo total]]*1.5</f>
        <v>19.0833333333333</v>
      </c>
      <c r="V296" s="76">
        <v>20</v>
      </c>
      <c r="W296" s="76">
        <f>STOCK[[#This Row],[Precio Final]]-STOCK[[#This Row],[Costo total]]</f>
        <v>7.27777777777778</v>
      </c>
      <c r="X296" s="76">
        <f>STOCK[[#This Row],[Ganancia Unitaria]]*STOCK[[#This Row],[Salidas]]</f>
        <v>21.8333333333333</v>
      </c>
      <c r="AA296" s="76">
        <f>STOCK[[#This Row],[Costo total]]*STOCK[[#This Row],[Entradas]]</f>
        <v>38.1666666666667</v>
      </c>
      <c r="AB296" s="76">
        <f>STOCK[[#This Row],[Stock Actual]]*STOCK[[#This Row],[Costo total]]</f>
        <v>0</v>
      </c>
    </row>
    <row r="297" s="77" customFormat="1" ht="50" hidden="1" customHeight="1" spans="1:28">
      <c r="A297" s="77" t="s">
        <v>632</v>
      </c>
      <c r="B297" s="6"/>
      <c r="C297" s="77" t="s">
        <v>30</v>
      </c>
      <c r="D297" s="77" t="s">
        <v>42</v>
      </c>
      <c r="E297" s="77" t="s">
        <v>631</v>
      </c>
      <c r="F297" s="77" t="s">
        <v>60</v>
      </c>
      <c r="G297" s="77" t="s">
        <v>34</v>
      </c>
      <c r="H297" s="77">
        <f>STOCK[[#This Row],[Precio Final]]</f>
        <v>15</v>
      </c>
      <c r="I297" s="77">
        <f>STOCK[[#This Row],[Precio Venta Ideal (x1.5)]]</f>
        <v>18.3333333333333</v>
      </c>
      <c r="J297" s="92">
        <v>3</v>
      </c>
      <c r="K297" s="92">
        <f>SUMIFS(VENTAS[Cantidad],VENTAS[Código del producto Vendido],STOCK[[#This Row],[Code]])</f>
        <v>3</v>
      </c>
      <c r="L297" s="92">
        <f>STOCK[[#This Row],[Entradas]]-STOCK[[#This Row],[Salidas]]</f>
        <v>0</v>
      </c>
      <c r="M297" s="77">
        <f>STOCK[[#This Row],[Precio Final]]*10%</f>
        <v>1.5</v>
      </c>
      <c r="N297" s="77">
        <v>166</v>
      </c>
      <c r="O297" s="77">
        <v>18</v>
      </c>
      <c r="P297" s="77">
        <v>9.22222222222222</v>
      </c>
      <c r="Q297" s="92">
        <v>150</v>
      </c>
      <c r="R297" s="77">
        <v>10</v>
      </c>
      <c r="S297" s="77">
        <f>STOCK[[#This Row],[Peso (g)]]*STOCK[[#This Row],[Precio Envío Kilogramo (USD)]]/1000</f>
        <v>1.5</v>
      </c>
      <c r="T297" s="76">
        <f>STOCK[[#This Row],[Costo Unitario (USD)]]+STOCK[[#This Row],[Costo Envío (USD)]]+STOCK[[#This Row],[Comisión 10%]]</f>
        <v>12.2222222222222</v>
      </c>
      <c r="U297" s="77">
        <f>STOCK[[#This Row],[Costo total]]*1.5</f>
        <v>18.3333333333333</v>
      </c>
      <c r="V297" s="77">
        <v>15</v>
      </c>
      <c r="W297" s="77">
        <f>STOCK[[#This Row],[Precio Final]]-STOCK[[#This Row],[Costo total]]</f>
        <v>2.77777777777778</v>
      </c>
      <c r="X297" s="77">
        <f>STOCK[[#This Row],[Ganancia Unitaria]]*STOCK[[#This Row],[Salidas]]</f>
        <v>8.33333333333334</v>
      </c>
      <c r="AA297" s="77">
        <f>STOCK[[#This Row],[Costo total]]*STOCK[[#This Row],[Entradas]]</f>
        <v>36.6666666666667</v>
      </c>
      <c r="AB297" s="77">
        <f>STOCK[[#This Row],[Stock Actual]]*STOCK[[#This Row],[Costo total]]</f>
        <v>0</v>
      </c>
    </row>
    <row r="298" s="76" customFormat="1" ht="50" hidden="1" customHeight="1" spans="1:28">
      <c r="A298" s="76" t="s">
        <v>633</v>
      </c>
      <c r="B298" s="6"/>
      <c r="C298" s="76" t="s">
        <v>30</v>
      </c>
      <c r="D298" s="76" t="s">
        <v>42</v>
      </c>
      <c r="E298" s="76" t="s">
        <v>631</v>
      </c>
      <c r="F298" s="76" t="s">
        <v>44</v>
      </c>
      <c r="G298" s="76" t="s">
        <v>34</v>
      </c>
      <c r="H298" s="76">
        <f>STOCK[[#This Row],[Precio Final]]</f>
        <v>16</v>
      </c>
      <c r="I298" s="76">
        <f>STOCK[[#This Row],[Precio Venta Ideal (x1.5)]]</f>
        <v>18.4833333333333</v>
      </c>
      <c r="J298" s="91">
        <v>3</v>
      </c>
      <c r="K298" s="91">
        <f>SUMIFS(VENTAS[Cantidad],VENTAS[Código del producto Vendido],STOCK[[#This Row],[Code]])</f>
        <v>3</v>
      </c>
      <c r="L298" s="91">
        <f>STOCK[[#This Row],[Entradas]]-STOCK[[#This Row],[Salidas]]</f>
        <v>0</v>
      </c>
      <c r="M298" s="76">
        <f>STOCK[[#This Row],[Precio Final]]*10%</f>
        <v>1.6</v>
      </c>
      <c r="N298" s="76">
        <v>166</v>
      </c>
      <c r="O298" s="76">
        <v>18</v>
      </c>
      <c r="P298" s="76">
        <v>9.22222222222222</v>
      </c>
      <c r="Q298" s="91">
        <v>150</v>
      </c>
      <c r="R298" s="76">
        <v>10</v>
      </c>
      <c r="S298" s="76">
        <f>STOCK[[#This Row],[Peso (g)]]*STOCK[[#This Row],[Precio Envío Kilogramo (USD)]]/1000</f>
        <v>1.5</v>
      </c>
      <c r="T298" s="76">
        <f>STOCK[[#This Row],[Costo Unitario (USD)]]+STOCK[[#This Row],[Costo Envío (USD)]]+STOCK[[#This Row],[Comisión 10%]]</f>
        <v>12.3222222222222</v>
      </c>
      <c r="U298" s="76">
        <f>STOCK[[#This Row],[Costo total]]*1.5</f>
        <v>18.4833333333333</v>
      </c>
      <c r="V298" s="76">
        <v>16</v>
      </c>
      <c r="W298" s="76">
        <f>STOCK[[#This Row],[Precio Final]]-STOCK[[#This Row],[Costo total]]</f>
        <v>3.67777777777778</v>
      </c>
      <c r="X298" s="76">
        <f>STOCK[[#This Row],[Ganancia Unitaria]]*STOCK[[#This Row],[Salidas]]</f>
        <v>11.0333333333333</v>
      </c>
      <c r="AA298" s="76">
        <f>STOCK[[#This Row],[Costo total]]*STOCK[[#This Row],[Entradas]]</f>
        <v>36.9666666666667</v>
      </c>
      <c r="AB298" s="76">
        <f>STOCK[[#This Row],[Stock Actual]]*STOCK[[#This Row],[Costo total]]</f>
        <v>0</v>
      </c>
    </row>
    <row r="299" s="77" customFormat="1" ht="50" hidden="1" customHeight="1" spans="1:28">
      <c r="A299" s="77" t="s">
        <v>634</v>
      </c>
      <c r="B299" s="6"/>
      <c r="C299" s="77" t="s">
        <v>30</v>
      </c>
      <c r="D299" s="77" t="s">
        <v>42</v>
      </c>
      <c r="E299" s="77" t="s">
        <v>635</v>
      </c>
      <c r="F299" s="77" t="s">
        <v>38</v>
      </c>
      <c r="G299" s="77" t="s">
        <v>34</v>
      </c>
      <c r="H299" s="77">
        <f>STOCK[[#This Row],[Precio Final]]</f>
        <v>16</v>
      </c>
      <c r="I299" s="77">
        <f>STOCK[[#This Row],[Precio Venta Ideal (x1.5)]]</f>
        <v>18.4833333333333</v>
      </c>
      <c r="J299" s="92">
        <v>4</v>
      </c>
      <c r="K299" s="92">
        <f>SUMIFS(VENTAS[Cantidad],VENTAS[Código del producto Vendido],STOCK[[#This Row],[Code]])</f>
        <v>4</v>
      </c>
      <c r="L299" s="92">
        <f>STOCK[[#This Row],[Entradas]]-STOCK[[#This Row],[Salidas]]</f>
        <v>0</v>
      </c>
      <c r="M299" s="77">
        <f>STOCK[[#This Row],[Precio Final]]*10%</f>
        <v>1.6</v>
      </c>
      <c r="N299" s="77">
        <v>166</v>
      </c>
      <c r="O299" s="77">
        <v>18</v>
      </c>
      <c r="P299" s="77">
        <v>9.22222222222222</v>
      </c>
      <c r="Q299" s="92">
        <v>150</v>
      </c>
      <c r="R299" s="77">
        <v>10</v>
      </c>
      <c r="S299" s="77">
        <f>STOCK[[#This Row],[Peso (g)]]*STOCK[[#This Row],[Precio Envío Kilogramo (USD)]]/1000</f>
        <v>1.5</v>
      </c>
      <c r="T299" s="76">
        <f>STOCK[[#This Row],[Costo Unitario (USD)]]+STOCK[[#This Row],[Costo Envío (USD)]]+STOCK[[#This Row],[Comisión 10%]]</f>
        <v>12.3222222222222</v>
      </c>
      <c r="U299" s="77">
        <f>STOCK[[#This Row],[Costo total]]*1.5</f>
        <v>18.4833333333333</v>
      </c>
      <c r="V299" s="77">
        <v>16</v>
      </c>
      <c r="W299" s="77">
        <f>STOCK[[#This Row],[Precio Final]]-STOCK[[#This Row],[Costo total]]</f>
        <v>3.67777777777778</v>
      </c>
      <c r="X299" s="77">
        <f>STOCK[[#This Row],[Ganancia Unitaria]]*STOCK[[#This Row],[Salidas]]</f>
        <v>14.7111111111111</v>
      </c>
      <c r="AA299" s="77">
        <f>STOCK[[#This Row],[Costo total]]*STOCK[[#This Row],[Entradas]]</f>
        <v>49.2888888888889</v>
      </c>
      <c r="AB299" s="77">
        <f>STOCK[[#This Row],[Stock Actual]]*STOCK[[#This Row],[Costo total]]</f>
        <v>0</v>
      </c>
    </row>
    <row r="300" s="76" customFormat="1" ht="50" hidden="1" customHeight="1" spans="1:28">
      <c r="A300" s="76" t="s">
        <v>636</v>
      </c>
      <c r="B300" s="6"/>
      <c r="C300" s="76" t="s">
        <v>30</v>
      </c>
      <c r="D300" s="76" t="s">
        <v>42</v>
      </c>
      <c r="E300" s="76" t="s">
        <v>635</v>
      </c>
      <c r="F300" s="76" t="s">
        <v>60</v>
      </c>
      <c r="G300" s="76" t="s">
        <v>34</v>
      </c>
      <c r="H300" s="76">
        <f>STOCK[[#This Row],[Precio Final]]</f>
        <v>20</v>
      </c>
      <c r="I300" s="76">
        <f>STOCK[[#This Row],[Precio Venta Ideal (x1.5)]]</f>
        <v>19.0833333333333</v>
      </c>
      <c r="J300" s="91">
        <v>2</v>
      </c>
      <c r="K300" s="91">
        <f>SUMIFS(VENTAS[Cantidad],VENTAS[Código del producto Vendido],STOCK[[#This Row],[Code]])</f>
        <v>2</v>
      </c>
      <c r="L300" s="91">
        <f>STOCK[[#This Row],[Entradas]]-STOCK[[#This Row],[Salidas]]</f>
        <v>0</v>
      </c>
      <c r="M300" s="76">
        <f>STOCK[[#This Row],[Precio Final]]*10%</f>
        <v>2</v>
      </c>
      <c r="N300" s="76">
        <v>166</v>
      </c>
      <c r="O300" s="76">
        <v>18</v>
      </c>
      <c r="P300" s="76">
        <v>9.22222222222222</v>
      </c>
      <c r="Q300" s="91">
        <v>150</v>
      </c>
      <c r="R300" s="76">
        <v>10</v>
      </c>
      <c r="S300" s="76">
        <f>STOCK[[#This Row],[Peso (g)]]*STOCK[[#This Row],[Precio Envío Kilogramo (USD)]]/1000</f>
        <v>1.5</v>
      </c>
      <c r="T300" s="76">
        <f>STOCK[[#This Row],[Costo Unitario (USD)]]+STOCK[[#This Row],[Costo Envío (USD)]]+STOCK[[#This Row],[Comisión 10%]]</f>
        <v>12.7222222222222</v>
      </c>
      <c r="U300" s="76">
        <f>STOCK[[#This Row],[Costo total]]*1.5</f>
        <v>19.0833333333333</v>
      </c>
      <c r="V300" s="76">
        <v>20</v>
      </c>
      <c r="W300" s="76">
        <f>STOCK[[#This Row],[Precio Final]]-STOCK[[#This Row],[Costo total]]</f>
        <v>7.27777777777778</v>
      </c>
      <c r="X300" s="76">
        <f>STOCK[[#This Row],[Ganancia Unitaria]]*STOCK[[#This Row],[Salidas]]</f>
        <v>14.5555555555556</v>
      </c>
      <c r="AA300" s="76">
        <f>STOCK[[#This Row],[Costo total]]*STOCK[[#This Row],[Entradas]]</f>
        <v>25.4444444444444</v>
      </c>
      <c r="AB300" s="76">
        <f>STOCK[[#This Row],[Stock Actual]]*STOCK[[#This Row],[Costo total]]</f>
        <v>0</v>
      </c>
    </row>
    <row r="301" s="77" customFormat="1" ht="50" hidden="1" customHeight="1" spans="1:28">
      <c r="A301" s="77" t="s">
        <v>637</v>
      </c>
      <c r="B301" s="6"/>
      <c r="C301" s="77" t="s">
        <v>30</v>
      </c>
      <c r="D301" s="77" t="s">
        <v>42</v>
      </c>
      <c r="E301" s="77" t="s">
        <v>638</v>
      </c>
      <c r="F301" s="77" t="s">
        <v>44</v>
      </c>
      <c r="G301" s="77" t="s">
        <v>34</v>
      </c>
      <c r="H301" s="77">
        <f>STOCK[[#This Row],[Precio Final]]</f>
        <v>20</v>
      </c>
      <c r="I301" s="77">
        <f>STOCK[[#This Row],[Precio Venta Ideal (x1.5)]]</f>
        <v>19.0833333333333</v>
      </c>
      <c r="J301" s="92">
        <v>4</v>
      </c>
      <c r="K301" s="92">
        <f>SUMIFS(VENTAS[Cantidad],VENTAS[Código del producto Vendido],STOCK[[#This Row],[Code]])</f>
        <v>4</v>
      </c>
      <c r="L301" s="92">
        <f>STOCK[[#This Row],[Entradas]]-STOCK[[#This Row],[Salidas]]</f>
        <v>0</v>
      </c>
      <c r="M301" s="77">
        <f>STOCK[[#This Row],[Precio Final]]*10%</f>
        <v>2</v>
      </c>
      <c r="N301" s="77">
        <v>166</v>
      </c>
      <c r="O301" s="77">
        <v>18</v>
      </c>
      <c r="P301" s="77">
        <v>9.22222222222222</v>
      </c>
      <c r="Q301" s="92">
        <v>150</v>
      </c>
      <c r="R301" s="77">
        <v>10</v>
      </c>
      <c r="S301" s="77">
        <f>STOCK[[#This Row],[Peso (g)]]*STOCK[[#This Row],[Precio Envío Kilogramo (USD)]]/1000</f>
        <v>1.5</v>
      </c>
      <c r="T301" s="76">
        <f>STOCK[[#This Row],[Costo Unitario (USD)]]+STOCK[[#This Row],[Costo Envío (USD)]]+STOCK[[#This Row],[Comisión 10%]]</f>
        <v>12.7222222222222</v>
      </c>
      <c r="U301" s="77">
        <f>STOCK[[#This Row],[Costo total]]*1.5</f>
        <v>19.0833333333333</v>
      </c>
      <c r="V301" s="77">
        <v>20</v>
      </c>
      <c r="W301" s="77">
        <f>STOCK[[#This Row],[Precio Final]]-STOCK[[#This Row],[Costo total]]</f>
        <v>7.27777777777778</v>
      </c>
      <c r="X301" s="77">
        <f>STOCK[[#This Row],[Ganancia Unitaria]]*STOCK[[#This Row],[Salidas]]</f>
        <v>29.1111111111111</v>
      </c>
      <c r="AA301" s="77">
        <f>STOCK[[#This Row],[Costo total]]*STOCK[[#This Row],[Entradas]]</f>
        <v>50.8888888888889</v>
      </c>
      <c r="AB301" s="77">
        <f>STOCK[[#This Row],[Stock Actual]]*STOCK[[#This Row],[Costo total]]</f>
        <v>0</v>
      </c>
    </row>
    <row r="302" s="76" customFormat="1" ht="50" hidden="1" customHeight="1" spans="1:28">
      <c r="A302" s="76" t="s">
        <v>639</v>
      </c>
      <c r="B302" s="6"/>
      <c r="C302" s="76" t="s">
        <v>30</v>
      </c>
      <c r="D302" s="76" t="s">
        <v>42</v>
      </c>
      <c r="E302" s="76" t="s">
        <v>640</v>
      </c>
      <c r="F302" s="76" t="s">
        <v>60</v>
      </c>
      <c r="G302" s="76" t="s">
        <v>34</v>
      </c>
      <c r="H302" s="76">
        <f>STOCK[[#This Row],[Precio Final]]</f>
        <v>20</v>
      </c>
      <c r="I302" s="76">
        <f>STOCK[[#This Row],[Precio Venta Ideal (x1.5)]]</f>
        <v>19.0833333333333</v>
      </c>
      <c r="J302" s="91">
        <v>4</v>
      </c>
      <c r="K302" s="91">
        <f>SUMIFS(VENTAS[Cantidad],VENTAS[Código del producto Vendido],STOCK[[#This Row],[Code]])</f>
        <v>4</v>
      </c>
      <c r="L302" s="91">
        <f>STOCK[[#This Row],[Entradas]]-STOCK[[#This Row],[Salidas]]</f>
        <v>0</v>
      </c>
      <c r="M302" s="76">
        <f>STOCK[[#This Row],[Precio Final]]*10%</f>
        <v>2</v>
      </c>
      <c r="N302" s="76">
        <v>166</v>
      </c>
      <c r="O302" s="76">
        <v>18</v>
      </c>
      <c r="P302" s="76">
        <v>9.22222222222222</v>
      </c>
      <c r="Q302" s="91">
        <v>150</v>
      </c>
      <c r="R302" s="76">
        <v>10</v>
      </c>
      <c r="S302" s="76">
        <f>STOCK[[#This Row],[Peso (g)]]*STOCK[[#This Row],[Precio Envío Kilogramo (USD)]]/1000</f>
        <v>1.5</v>
      </c>
      <c r="T302" s="76">
        <f>STOCK[[#This Row],[Costo Unitario (USD)]]+STOCK[[#This Row],[Costo Envío (USD)]]+STOCK[[#This Row],[Comisión 10%]]</f>
        <v>12.7222222222222</v>
      </c>
      <c r="U302" s="76">
        <f>STOCK[[#This Row],[Costo total]]*1.5</f>
        <v>19.0833333333333</v>
      </c>
      <c r="V302" s="76">
        <v>20</v>
      </c>
      <c r="W302" s="76">
        <f>STOCK[[#This Row],[Precio Final]]-STOCK[[#This Row],[Costo total]]</f>
        <v>7.27777777777778</v>
      </c>
      <c r="X302" s="76">
        <f>STOCK[[#This Row],[Ganancia Unitaria]]*STOCK[[#This Row],[Salidas]]</f>
        <v>29.1111111111111</v>
      </c>
      <c r="AA302" s="76">
        <f>STOCK[[#This Row],[Costo total]]*STOCK[[#This Row],[Entradas]]</f>
        <v>50.8888888888889</v>
      </c>
      <c r="AB302" s="76">
        <f>STOCK[[#This Row],[Stock Actual]]*STOCK[[#This Row],[Costo total]]</f>
        <v>0</v>
      </c>
    </row>
    <row r="303" s="77" customFormat="1" ht="50" hidden="1" customHeight="1" spans="1:28">
      <c r="A303" s="77" t="s">
        <v>641</v>
      </c>
      <c r="B303" s="6"/>
      <c r="C303" s="77" t="s">
        <v>30</v>
      </c>
      <c r="D303" s="77" t="s">
        <v>42</v>
      </c>
      <c r="E303" s="77" t="s">
        <v>640</v>
      </c>
      <c r="F303" s="77" t="s">
        <v>38</v>
      </c>
      <c r="G303" s="77" t="s">
        <v>34</v>
      </c>
      <c r="H303" s="77">
        <f>STOCK[[#This Row],[Precio Final]]</f>
        <v>16</v>
      </c>
      <c r="I303" s="77">
        <f>STOCK[[#This Row],[Precio Venta Ideal (x1.5)]]</f>
        <v>18.4833333333333</v>
      </c>
      <c r="J303" s="92">
        <v>3</v>
      </c>
      <c r="K303" s="92">
        <f>SUMIFS(VENTAS[Cantidad],VENTAS[Código del producto Vendido],STOCK[[#This Row],[Code]])</f>
        <v>3</v>
      </c>
      <c r="L303" s="92">
        <f>STOCK[[#This Row],[Entradas]]-STOCK[[#This Row],[Salidas]]</f>
        <v>0</v>
      </c>
      <c r="M303" s="77">
        <f>STOCK[[#This Row],[Precio Final]]*10%</f>
        <v>1.6</v>
      </c>
      <c r="N303" s="77">
        <v>166</v>
      </c>
      <c r="O303" s="77">
        <v>18</v>
      </c>
      <c r="P303" s="77">
        <v>9.22222222222222</v>
      </c>
      <c r="Q303" s="92">
        <v>150</v>
      </c>
      <c r="R303" s="77">
        <v>10</v>
      </c>
      <c r="S303" s="77">
        <f>STOCK[[#This Row],[Peso (g)]]*STOCK[[#This Row],[Precio Envío Kilogramo (USD)]]/1000</f>
        <v>1.5</v>
      </c>
      <c r="T303" s="76">
        <f>STOCK[[#This Row],[Costo Unitario (USD)]]+STOCK[[#This Row],[Costo Envío (USD)]]+STOCK[[#This Row],[Comisión 10%]]</f>
        <v>12.3222222222222</v>
      </c>
      <c r="U303" s="77">
        <f>STOCK[[#This Row],[Costo total]]*1.5</f>
        <v>18.4833333333333</v>
      </c>
      <c r="V303" s="77">
        <v>16</v>
      </c>
      <c r="W303" s="77">
        <f>STOCK[[#This Row],[Precio Final]]-STOCK[[#This Row],[Costo total]]</f>
        <v>3.67777777777778</v>
      </c>
      <c r="X303" s="77">
        <f>STOCK[[#This Row],[Ganancia Unitaria]]*STOCK[[#This Row],[Salidas]]</f>
        <v>11.0333333333333</v>
      </c>
      <c r="AA303" s="77">
        <f>STOCK[[#This Row],[Costo total]]*STOCK[[#This Row],[Entradas]]</f>
        <v>36.9666666666667</v>
      </c>
      <c r="AB303" s="77">
        <f>STOCK[[#This Row],[Stock Actual]]*STOCK[[#This Row],[Costo total]]</f>
        <v>0</v>
      </c>
    </row>
    <row r="304" s="76" customFormat="1" ht="50" hidden="1" customHeight="1" spans="1:28">
      <c r="A304" s="76" t="s">
        <v>642</v>
      </c>
      <c r="B304" s="6"/>
      <c r="C304" s="76" t="s">
        <v>30</v>
      </c>
      <c r="D304" s="76" t="s">
        <v>42</v>
      </c>
      <c r="E304" s="76" t="s">
        <v>643</v>
      </c>
      <c r="F304" s="76" t="s">
        <v>60</v>
      </c>
      <c r="G304" s="76" t="s">
        <v>34</v>
      </c>
      <c r="H304" s="76">
        <f>STOCK[[#This Row],[Precio Final]]</f>
        <v>15</v>
      </c>
      <c r="I304" s="76">
        <f>STOCK[[#This Row],[Precio Venta Ideal (x1.5)]]</f>
        <v>18.3333333333333</v>
      </c>
      <c r="J304" s="91">
        <v>4</v>
      </c>
      <c r="K304" s="91">
        <f>SUMIFS(VENTAS[Cantidad],VENTAS[Código del producto Vendido],STOCK[[#This Row],[Code]])</f>
        <v>4</v>
      </c>
      <c r="L304" s="91">
        <f>STOCK[[#This Row],[Entradas]]-STOCK[[#This Row],[Salidas]]</f>
        <v>0</v>
      </c>
      <c r="M304" s="76">
        <f>STOCK[[#This Row],[Precio Final]]*10%</f>
        <v>1.5</v>
      </c>
      <c r="N304" s="76">
        <v>166</v>
      </c>
      <c r="O304" s="76">
        <v>18</v>
      </c>
      <c r="P304" s="76">
        <v>9.22222222222222</v>
      </c>
      <c r="Q304" s="91">
        <v>150</v>
      </c>
      <c r="R304" s="76">
        <v>10</v>
      </c>
      <c r="S304" s="76">
        <f>STOCK[[#This Row],[Peso (g)]]*STOCK[[#This Row],[Precio Envío Kilogramo (USD)]]/1000</f>
        <v>1.5</v>
      </c>
      <c r="T304" s="76">
        <f>STOCK[[#This Row],[Costo Unitario (USD)]]+STOCK[[#This Row],[Costo Envío (USD)]]+STOCK[[#This Row],[Comisión 10%]]</f>
        <v>12.2222222222222</v>
      </c>
      <c r="U304" s="76">
        <f>STOCK[[#This Row],[Costo total]]*1.5</f>
        <v>18.3333333333333</v>
      </c>
      <c r="V304" s="76">
        <v>15</v>
      </c>
      <c r="W304" s="76">
        <f>STOCK[[#This Row],[Precio Final]]-STOCK[[#This Row],[Costo total]]</f>
        <v>2.77777777777778</v>
      </c>
      <c r="X304" s="76">
        <f>STOCK[[#This Row],[Ganancia Unitaria]]*STOCK[[#This Row],[Salidas]]</f>
        <v>11.1111111111111</v>
      </c>
      <c r="AA304" s="76">
        <f>STOCK[[#This Row],[Costo total]]*STOCK[[#This Row],[Entradas]]</f>
        <v>48.8888888888889</v>
      </c>
      <c r="AB304" s="76">
        <f>STOCK[[#This Row],[Stock Actual]]*STOCK[[#This Row],[Costo total]]</f>
        <v>0</v>
      </c>
    </row>
    <row r="305" s="77" customFormat="1" ht="50" hidden="1" customHeight="1" spans="1:29">
      <c r="A305" s="77" t="s">
        <v>644</v>
      </c>
      <c r="B305" s="6"/>
      <c r="C305" s="77" t="s">
        <v>30</v>
      </c>
      <c r="D305" s="77" t="s">
        <v>215</v>
      </c>
      <c r="E305" s="77" t="s">
        <v>645</v>
      </c>
      <c r="F305" s="77" t="s">
        <v>38</v>
      </c>
      <c r="G305" s="77" t="s">
        <v>34</v>
      </c>
      <c r="H305" s="77">
        <f>STOCK[[#This Row],[Precio Final]]</f>
        <v>20</v>
      </c>
      <c r="I305" s="77">
        <f>STOCK[[#This Row],[Precio Venta Ideal (x1.5)]]</f>
        <v>19.0833333333333</v>
      </c>
      <c r="J305" s="92">
        <v>5</v>
      </c>
      <c r="K305" s="92">
        <f>SUMIFS(VENTAS[Cantidad],VENTAS[Código del producto Vendido],STOCK[[#This Row],[Code]])</f>
        <v>2</v>
      </c>
      <c r="L305" s="92">
        <f>STOCK[[#This Row],[Entradas]]-STOCK[[#This Row],[Salidas]]</f>
        <v>3</v>
      </c>
      <c r="M305" s="77">
        <f>STOCK[[#This Row],[Precio Final]]*10%</f>
        <v>2</v>
      </c>
      <c r="N305" s="77">
        <v>166</v>
      </c>
      <c r="O305" s="77">
        <v>18</v>
      </c>
      <c r="P305" s="77">
        <v>9.22222222222222</v>
      </c>
      <c r="Q305" s="92">
        <v>150</v>
      </c>
      <c r="R305" s="77">
        <v>10</v>
      </c>
      <c r="S305" s="77">
        <f>STOCK[[#This Row],[Peso (g)]]*STOCK[[#This Row],[Precio Envío Kilogramo (USD)]]/1000</f>
        <v>1.5</v>
      </c>
      <c r="T305" s="76">
        <f>STOCK[[#This Row],[Costo Unitario (USD)]]+STOCK[[#This Row],[Costo Envío (USD)]]+STOCK[[#This Row],[Comisión 10%]]</f>
        <v>12.7222222222222</v>
      </c>
      <c r="U305" s="77">
        <f>STOCK[[#This Row],[Costo total]]*1.5</f>
        <v>19.0833333333333</v>
      </c>
      <c r="V305" s="77">
        <v>20</v>
      </c>
      <c r="W305" s="77">
        <f>STOCK[[#This Row],[Precio Final]]-STOCK[[#This Row],[Costo total]]</f>
        <v>7.27777777777778</v>
      </c>
      <c r="X305" s="77">
        <f>STOCK[[#This Row],[Ganancia Unitaria]]*STOCK[[#This Row],[Salidas]]</f>
        <v>14.5555555555556</v>
      </c>
      <c r="AA305" s="77">
        <f>STOCK[[#This Row],[Costo total]]*STOCK[[#This Row],[Entradas]]</f>
        <v>63.6111111111111</v>
      </c>
      <c r="AB305" s="77">
        <f>STOCK[[#This Row],[Stock Actual]]*STOCK[[#This Row],[Costo total]]</f>
        <v>38.1666666666667</v>
      </c>
      <c r="AC305" s="77">
        <v>15</v>
      </c>
    </row>
    <row r="306" s="76" customFormat="1" ht="50" hidden="1" customHeight="1" spans="1:28">
      <c r="A306" s="76" t="s">
        <v>646</v>
      </c>
      <c r="B306" s="6"/>
      <c r="C306" s="76" t="s">
        <v>30</v>
      </c>
      <c r="D306" s="76" t="s">
        <v>42</v>
      </c>
      <c r="E306" s="76" t="s">
        <v>645</v>
      </c>
      <c r="F306" s="76" t="s">
        <v>60</v>
      </c>
      <c r="G306" s="76" t="s">
        <v>34</v>
      </c>
      <c r="H306" s="76">
        <f>STOCK[[#This Row],[Precio Final]]</f>
        <v>15</v>
      </c>
      <c r="I306" s="76">
        <f>STOCK[[#This Row],[Precio Venta Ideal (x1.5)]]</f>
        <v>18.3333333333333</v>
      </c>
      <c r="J306" s="91">
        <v>2</v>
      </c>
      <c r="K306" s="91">
        <f>SUMIFS(VENTAS[Cantidad],VENTAS[Código del producto Vendido],STOCK[[#This Row],[Code]])</f>
        <v>2</v>
      </c>
      <c r="L306" s="91">
        <f>STOCK[[#This Row],[Entradas]]-STOCK[[#This Row],[Salidas]]</f>
        <v>0</v>
      </c>
      <c r="M306" s="76">
        <f>STOCK[[#This Row],[Precio Final]]*10%</f>
        <v>1.5</v>
      </c>
      <c r="N306" s="76">
        <v>166</v>
      </c>
      <c r="O306" s="76">
        <v>18</v>
      </c>
      <c r="P306" s="76">
        <v>9.22222222222222</v>
      </c>
      <c r="Q306" s="91">
        <v>150</v>
      </c>
      <c r="R306" s="76">
        <v>10</v>
      </c>
      <c r="S306" s="76">
        <f>STOCK[[#This Row],[Peso (g)]]*STOCK[[#This Row],[Precio Envío Kilogramo (USD)]]/1000</f>
        <v>1.5</v>
      </c>
      <c r="T306" s="76">
        <f>STOCK[[#This Row],[Costo Unitario (USD)]]+STOCK[[#This Row],[Costo Envío (USD)]]+STOCK[[#This Row],[Comisión 10%]]</f>
        <v>12.2222222222222</v>
      </c>
      <c r="U306" s="76">
        <f>STOCK[[#This Row],[Costo total]]*1.5</f>
        <v>18.3333333333333</v>
      </c>
      <c r="V306" s="76">
        <v>15</v>
      </c>
      <c r="W306" s="76">
        <f>STOCK[[#This Row],[Precio Final]]-STOCK[[#This Row],[Costo total]]</f>
        <v>2.77777777777778</v>
      </c>
      <c r="X306" s="76">
        <f>STOCK[[#This Row],[Ganancia Unitaria]]*STOCK[[#This Row],[Salidas]]</f>
        <v>5.55555555555556</v>
      </c>
      <c r="AA306" s="76">
        <f>STOCK[[#This Row],[Costo total]]*STOCK[[#This Row],[Entradas]]</f>
        <v>24.4444444444444</v>
      </c>
      <c r="AB306" s="76">
        <f>STOCK[[#This Row],[Stock Actual]]*STOCK[[#This Row],[Costo total]]</f>
        <v>0</v>
      </c>
    </row>
    <row r="307" s="77" customFormat="1" ht="50" hidden="1" customHeight="1" spans="1:28">
      <c r="A307" s="77" t="s">
        <v>647</v>
      </c>
      <c r="B307" s="6"/>
      <c r="C307" s="77" t="s">
        <v>30</v>
      </c>
      <c r="D307" s="77" t="s">
        <v>648</v>
      </c>
      <c r="E307" s="77" t="s">
        <v>645</v>
      </c>
      <c r="F307" s="77" t="s">
        <v>44</v>
      </c>
      <c r="G307" s="77" t="s">
        <v>34</v>
      </c>
      <c r="H307" s="77">
        <f>STOCK[[#This Row],[Precio Final]]</f>
        <v>20</v>
      </c>
      <c r="I307" s="77">
        <f>STOCK[[#This Row],[Precio Venta Ideal (x1.5)]]</f>
        <v>19.0833333333333</v>
      </c>
      <c r="J307" s="92">
        <v>3</v>
      </c>
      <c r="K307" s="92">
        <f>SUMIFS(VENTAS[Cantidad],VENTAS[Código del producto Vendido],STOCK[[#This Row],[Code]])</f>
        <v>3</v>
      </c>
      <c r="L307" s="92">
        <f>STOCK[[#This Row],[Entradas]]-STOCK[[#This Row],[Salidas]]</f>
        <v>0</v>
      </c>
      <c r="M307" s="77">
        <f>STOCK[[#This Row],[Precio Final]]*10%</f>
        <v>2</v>
      </c>
      <c r="N307" s="77">
        <v>166</v>
      </c>
      <c r="O307" s="77">
        <v>18</v>
      </c>
      <c r="P307" s="77">
        <v>9.22222222222222</v>
      </c>
      <c r="Q307" s="92">
        <v>150</v>
      </c>
      <c r="R307" s="77">
        <v>10</v>
      </c>
      <c r="S307" s="77">
        <f>STOCK[[#This Row],[Peso (g)]]*STOCK[[#This Row],[Precio Envío Kilogramo (USD)]]/1000</f>
        <v>1.5</v>
      </c>
      <c r="T307" s="76">
        <f>STOCK[[#This Row],[Costo Unitario (USD)]]+STOCK[[#This Row],[Costo Envío (USD)]]+STOCK[[#This Row],[Comisión 10%]]</f>
        <v>12.7222222222222</v>
      </c>
      <c r="U307" s="77">
        <f>STOCK[[#This Row],[Costo total]]*1.5</f>
        <v>19.0833333333333</v>
      </c>
      <c r="V307" s="77">
        <v>20</v>
      </c>
      <c r="W307" s="77">
        <f>STOCK[[#This Row],[Precio Final]]-STOCK[[#This Row],[Costo total]]</f>
        <v>7.27777777777778</v>
      </c>
      <c r="X307" s="77">
        <f>STOCK[[#This Row],[Ganancia Unitaria]]*STOCK[[#This Row],[Salidas]]</f>
        <v>21.8333333333333</v>
      </c>
      <c r="AA307" s="77">
        <f>STOCK[[#This Row],[Costo total]]*STOCK[[#This Row],[Entradas]]</f>
        <v>38.1666666666667</v>
      </c>
      <c r="AB307" s="77">
        <f>STOCK[[#This Row],[Stock Actual]]*STOCK[[#This Row],[Costo total]]</f>
        <v>0</v>
      </c>
    </row>
    <row r="308" s="76" customFormat="1" ht="50" hidden="1" customHeight="1" spans="1:28">
      <c r="A308" s="76" t="s">
        <v>649</v>
      </c>
      <c r="B308" s="6"/>
      <c r="C308" s="76" t="s">
        <v>30</v>
      </c>
      <c r="D308" s="76" t="s">
        <v>42</v>
      </c>
      <c r="E308" s="76" t="s">
        <v>650</v>
      </c>
      <c r="F308" s="76" t="s">
        <v>44</v>
      </c>
      <c r="G308" s="76" t="s">
        <v>34</v>
      </c>
      <c r="H308" s="76">
        <f>STOCK[[#This Row],[Precio Final]]</f>
        <v>20</v>
      </c>
      <c r="I308" s="76">
        <f>STOCK[[#This Row],[Precio Venta Ideal (x1.5)]]</f>
        <v>19.0833333333333</v>
      </c>
      <c r="J308" s="91">
        <v>4</v>
      </c>
      <c r="K308" s="91">
        <f>SUMIFS(VENTAS[Cantidad],VENTAS[Código del producto Vendido],STOCK[[#This Row],[Code]])</f>
        <v>4</v>
      </c>
      <c r="L308" s="91">
        <f>STOCK[[#This Row],[Entradas]]-STOCK[[#This Row],[Salidas]]</f>
        <v>0</v>
      </c>
      <c r="M308" s="76">
        <f>STOCK[[#This Row],[Precio Final]]*10%</f>
        <v>2</v>
      </c>
      <c r="N308" s="76">
        <v>166</v>
      </c>
      <c r="O308" s="76">
        <v>18</v>
      </c>
      <c r="P308" s="76">
        <v>9.22222222222222</v>
      </c>
      <c r="Q308" s="91">
        <v>150</v>
      </c>
      <c r="R308" s="76">
        <v>10</v>
      </c>
      <c r="S308" s="76">
        <f>STOCK[[#This Row],[Peso (g)]]*STOCK[[#This Row],[Precio Envío Kilogramo (USD)]]/1000</f>
        <v>1.5</v>
      </c>
      <c r="T308" s="76">
        <f>STOCK[[#This Row],[Costo Unitario (USD)]]+STOCK[[#This Row],[Costo Envío (USD)]]+STOCK[[#This Row],[Comisión 10%]]</f>
        <v>12.7222222222222</v>
      </c>
      <c r="U308" s="76">
        <f>STOCK[[#This Row],[Costo total]]*1.5</f>
        <v>19.0833333333333</v>
      </c>
      <c r="V308" s="76">
        <v>20</v>
      </c>
      <c r="W308" s="76">
        <f>STOCK[[#This Row],[Precio Final]]-STOCK[[#This Row],[Costo total]]</f>
        <v>7.27777777777778</v>
      </c>
      <c r="X308" s="76">
        <f>STOCK[[#This Row],[Ganancia Unitaria]]*STOCK[[#This Row],[Salidas]]</f>
        <v>29.1111111111111</v>
      </c>
      <c r="AA308" s="76">
        <f>STOCK[[#This Row],[Costo total]]*STOCK[[#This Row],[Entradas]]</f>
        <v>50.8888888888889</v>
      </c>
      <c r="AB308" s="76">
        <f>STOCK[[#This Row],[Stock Actual]]*STOCK[[#This Row],[Costo total]]</f>
        <v>0</v>
      </c>
    </row>
    <row r="309" s="77" customFormat="1" ht="50" hidden="1" customHeight="1" spans="1:28">
      <c r="A309" s="77" t="s">
        <v>651</v>
      </c>
      <c r="B309" s="6"/>
      <c r="C309" s="77" t="s">
        <v>30</v>
      </c>
      <c r="D309" s="77" t="s">
        <v>42</v>
      </c>
      <c r="E309" s="77" t="s">
        <v>652</v>
      </c>
      <c r="F309" s="77" t="s">
        <v>44</v>
      </c>
      <c r="G309" s="77" t="s">
        <v>34</v>
      </c>
      <c r="H309" s="77">
        <f>STOCK[[#This Row],[Precio Final]]</f>
        <v>20</v>
      </c>
      <c r="I309" s="77">
        <f>STOCK[[#This Row],[Precio Venta Ideal (x1.5)]]</f>
        <v>19.0833333333333</v>
      </c>
      <c r="J309" s="92">
        <v>4</v>
      </c>
      <c r="K309" s="92">
        <f>SUMIFS(VENTAS[Cantidad],VENTAS[Código del producto Vendido],STOCK[[#This Row],[Code]])</f>
        <v>4</v>
      </c>
      <c r="L309" s="92">
        <f>STOCK[[#This Row],[Entradas]]-STOCK[[#This Row],[Salidas]]</f>
        <v>0</v>
      </c>
      <c r="M309" s="77">
        <f>STOCK[[#This Row],[Precio Final]]*10%</f>
        <v>2</v>
      </c>
      <c r="N309" s="77">
        <v>166</v>
      </c>
      <c r="O309" s="77">
        <v>18</v>
      </c>
      <c r="P309" s="77">
        <v>9.22222222222222</v>
      </c>
      <c r="Q309" s="92">
        <v>150</v>
      </c>
      <c r="R309" s="77">
        <v>10</v>
      </c>
      <c r="S309" s="77">
        <f>STOCK[[#This Row],[Peso (g)]]*STOCK[[#This Row],[Precio Envío Kilogramo (USD)]]/1000</f>
        <v>1.5</v>
      </c>
      <c r="T309" s="76">
        <f>STOCK[[#This Row],[Costo Unitario (USD)]]+STOCK[[#This Row],[Costo Envío (USD)]]+STOCK[[#This Row],[Comisión 10%]]</f>
        <v>12.7222222222222</v>
      </c>
      <c r="U309" s="77">
        <f>STOCK[[#This Row],[Costo total]]*1.5</f>
        <v>19.0833333333333</v>
      </c>
      <c r="V309" s="77">
        <v>20</v>
      </c>
      <c r="W309" s="77">
        <f>STOCK[[#This Row],[Precio Final]]-STOCK[[#This Row],[Costo total]]</f>
        <v>7.27777777777778</v>
      </c>
      <c r="X309" s="77">
        <f>STOCK[[#This Row],[Ganancia Unitaria]]*STOCK[[#This Row],[Salidas]]</f>
        <v>29.1111111111111</v>
      </c>
      <c r="AA309" s="77">
        <f>STOCK[[#This Row],[Costo total]]*STOCK[[#This Row],[Entradas]]</f>
        <v>50.8888888888889</v>
      </c>
      <c r="AB309" s="77">
        <f>STOCK[[#This Row],[Stock Actual]]*STOCK[[#This Row],[Costo total]]</f>
        <v>0</v>
      </c>
    </row>
    <row r="310" s="76" customFormat="1" ht="50" hidden="1" customHeight="1" spans="1:28">
      <c r="A310" s="76" t="s">
        <v>653</v>
      </c>
      <c r="B310" s="6"/>
      <c r="C310" s="76" t="s">
        <v>30</v>
      </c>
      <c r="D310" s="76" t="s">
        <v>42</v>
      </c>
      <c r="E310" s="76" t="s">
        <v>654</v>
      </c>
      <c r="F310" s="76" t="s">
        <v>44</v>
      </c>
      <c r="G310" s="76" t="s">
        <v>34</v>
      </c>
      <c r="H310" s="76">
        <f>STOCK[[#This Row],[Precio Final]]</f>
        <v>20</v>
      </c>
      <c r="I310" s="76">
        <f>STOCK[[#This Row],[Precio Venta Ideal (x1.5)]]</f>
        <v>19.0833333333333</v>
      </c>
      <c r="J310" s="91">
        <v>4</v>
      </c>
      <c r="K310" s="91">
        <f>SUMIFS(VENTAS[Cantidad],VENTAS[Código del producto Vendido],STOCK[[#This Row],[Code]])</f>
        <v>4</v>
      </c>
      <c r="L310" s="91">
        <f>STOCK[[#This Row],[Entradas]]-STOCK[[#This Row],[Salidas]]</f>
        <v>0</v>
      </c>
      <c r="M310" s="76">
        <f>STOCK[[#This Row],[Precio Final]]*10%</f>
        <v>2</v>
      </c>
      <c r="N310" s="76">
        <v>166</v>
      </c>
      <c r="O310" s="76">
        <v>18</v>
      </c>
      <c r="P310" s="76">
        <v>9.22222222222222</v>
      </c>
      <c r="Q310" s="91">
        <v>150</v>
      </c>
      <c r="R310" s="76">
        <v>10</v>
      </c>
      <c r="S310" s="76">
        <f>STOCK[[#This Row],[Peso (g)]]*STOCK[[#This Row],[Precio Envío Kilogramo (USD)]]/1000</f>
        <v>1.5</v>
      </c>
      <c r="T310" s="76">
        <f>STOCK[[#This Row],[Costo Unitario (USD)]]+STOCK[[#This Row],[Costo Envío (USD)]]+STOCK[[#This Row],[Comisión 10%]]</f>
        <v>12.7222222222222</v>
      </c>
      <c r="U310" s="76">
        <f>STOCK[[#This Row],[Costo total]]*1.5</f>
        <v>19.0833333333333</v>
      </c>
      <c r="V310" s="76">
        <v>20</v>
      </c>
      <c r="W310" s="76">
        <f>STOCK[[#This Row],[Precio Final]]-STOCK[[#This Row],[Costo total]]</f>
        <v>7.27777777777778</v>
      </c>
      <c r="X310" s="76">
        <f>STOCK[[#This Row],[Ganancia Unitaria]]*STOCK[[#This Row],[Salidas]]</f>
        <v>29.1111111111111</v>
      </c>
      <c r="AA310" s="76">
        <f>STOCK[[#This Row],[Costo total]]*STOCK[[#This Row],[Entradas]]</f>
        <v>50.8888888888889</v>
      </c>
      <c r="AB310" s="76">
        <f>STOCK[[#This Row],[Stock Actual]]*STOCK[[#This Row],[Costo total]]</f>
        <v>0</v>
      </c>
    </row>
    <row r="311" s="77" customFormat="1" ht="50" hidden="1" customHeight="1" spans="1:28">
      <c r="A311" s="77" t="s">
        <v>655</v>
      </c>
      <c r="B311" s="6"/>
      <c r="C311" s="77" t="s">
        <v>30</v>
      </c>
      <c r="D311" s="77" t="s">
        <v>42</v>
      </c>
      <c r="E311" s="77" t="s">
        <v>656</v>
      </c>
      <c r="F311" s="77" t="s">
        <v>44</v>
      </c>
      <c r="G311" s="77" t="s">
        <v>34</v>
      </c>
      <c r="H311" s="77">
        <f>STOCK[[#This Row],[Precio Final]]</f>
        <v>20</v>
      </c>
      <c r="I311" s="77">
        <f>STOCK[[#This Row],[Precio Venta Ideal (x1.5)]]</f>
        <v>19.0833333333333</v>
      </c>
      <c r="J311" s="92">
        <v>4</v>
      </c>
      <c r="K311" s="92">
        <f>SUMIFS(VENTAS[Cantidad],VENTAS[Código del producto Vendido],STOCK[[#This Row],[Code]])</f>
        <v>4</v>
      </c>
      <c r="L311" s="92">
        <f>STOCK[[#This Row],[Entradas]]-STOCK[[#This Row],[Salidas]]</f>
        <v>0</v>
      </c>
      <c r="M311" s="77">
        <f>STOCK[[#This Row],[Precio Final]]*10%</f>
        <v>2</v>
      </c>
      <c r="N311" s="77">
        <v>166</v>
      </c>
      <c r="O311" s="77">
        <v>18</v>
      </c>
      <c r="P311" s="77">
        <v>9.22222222222222</v>
      </c>
      <c r="Q311" s="92">
        <v>150</v>
      </c>
      <c r="R311" s="77">
        <v>10</v>
      </c>
      <c r="S311" s="77">
        <f>STOCK[[#This Row],[Peso (g)]]*STOCK[[#This Row],[Precio Envío Kilogramo (USD)]]/1000</f>
        <v>1.5</v>
      </c>
      <c r="T311" s="76">
        <f>STOCK[[#This Row],[Costo Unitario (USD)]]+STOCK[[#This Row],[Costo Envío (USD)]]+STOCK[[#This Row],[Comisión 10%]]</f>
        <v>12.7222222222222</v>
      </c>
      <c r="U311" s="77">
        <f>STOCK[[#This Row],[Costo total]]*1.5</f>
        <v>19.0833333333333</v>
      </c>
      <c r="V311" s="77">
        <v>20</v>
      </c>
      <c r="W311" s="77">
        <f>STOCK[[#This Row],[Precio Final]]-STOCK[[#This Row],[Costo total]]</f>
        <v>7.27777777777778</v>
      </c>
      <c r="X311" s="77">
        <f>STOCK[[#This Row],[Ganancia Unitaria]]*STOCK[[#This Row],[Salidas]]</f>
        <v>29.1111111111111</v>
      </c>
      <c r="AA311" s="77">
        <f>STOCK[[#This Row],[Costo total]]*STOCK[[#This Row],[Entradas]]</f>
        <v>50.8888888888889</v>
      </c>
      <c r="AB311" s="77">
        <f>STOCK[[#This Row],[Stock Actual]]*STOCK[[#This Row],[Costo total]]</f>
        <v>0</v>
      </c>
    </row>
    <row r="312" s="76" customFormat="1" ht="50" hidden="1" customHeight="1" spans="1:28">
      <c r="A312" s="76" t="s">
        <v>657</v>
      </c>
      <c r="B312" s="6"/>
      <c r="C312" s="76" t="s">
        <v>30</v>
      </c>
      <c r="D312" s="76" t="s">
        <v>42</v>
      </c>
      <c r="E312" s="76" t="s">
        <v>658</v>
      </c>
      <c r="F312" s="76" t="s">
        <v>44</v>
      </c>
      <c r="G312" s="76" t="s">
        <v>34</v>
      </c>
      <c r="H312" s="76">
        <f>STOCK[[#This Row],[Precio Final]]</f>
        <v>18</v>
      </c>
      <c r="I312" s="76">
        <f>STOCK[[#This Row],[Precio Venta Ideal (x1.5)]]</f>
        <v>18.7833333333333</v>
      </c>
      <c r="J312" s="91">
        <v>4</v>
      </c>
      <c r="K312" s="91">
        <f>SUMIFS(VENTAS[Cantidad],VENTAS[Código del producto Vendido],STOCK[[#This Row],[Code]])</f>
        <v>4</v>
      </c>
      <c r="L312" s="91">
        <f>STOCK[[#This Row],[Entradas]]-STOCK[[#This Row],[Salidas]]</f>
        <v>0</v>
      </c>
      <c r="M312" s="76">
        <f>STOCK[[#This Row],[Precio Final]]*10%</f>
        <v>1.8</v>
      </c>
      <c r="N312" s="76">
        <v>166</v>
      </c>
      <c r="O312" s="76">
        <v>18</v>
      </c>
      <c r="P312" s="76">
        <v>9.22222222222222</v>
      </c>
      <c r="Q312" s="91">
        <v>150</v>
      </c>
      <c r="R312" s="76">
        <v>10</v>
      </c>
      <c r="S312" s="76">
        <f>STOCK[[#This Row],[Peso (g)]]*STOCK[[#This Row],[Precio Envío Kilogramo (USD)]]/1000</f>
        <v>1.5</v>
      </c>
      <c r="T312" s="76">
        <f>STOCK[[#This Row],[Costo Unitario (USD)]]+STOCK[[#This Row],[Costo Envío (USD)]]+STOCK[[#This Row],[Comisión 10%]]</f>
        <v>12.5222222222222</v>
      </c>
      <c r="U312" s="76">
        <f>STOCK[[#This Row],[Costo total]]*1.5</f>
        <v>18.7833333333333</v>
      </c>
      <c r="V312" s="76">
        <v>18</v>
      </c>
      <c r="W312" s="76">
        <f>STOCK[[#This Row],[Precio Final]]-STOCK[[#This Row],[Costo total]]</f>
        <v>5.47777777777778</v>
      </c>
      <c r="X312" s="76">
        <f>STOCK[[#This Row],[Ganancia Unitaria]]*STOCK[[#This Row],[Salidas]]</f>
        <v>21.9111111111111</v>
      </c>
      <c r="AA312" s="76">
        <f>STOCK[[#This Row],[Costo total]]*STOCK[[#This Row],[Entradas]]</f>
        <v>50.0888888888889</v>
      </c>
      <c r="AB312" s="76">
        <f>STOCK[[#This Row],[Stock Actual]]*STOCK[[#This Row],[Costo total]]</f>
        <v>0</v>
      </c>
    </row>
    <row r="313" s="77" customFormat="1" ht="50" hidden="1" customHeight="1" spans="1:28">
      <c r="A313" s="77" t="s">
        <v>659</v>
      </c>
      <c r="B313" s="6"/>
      <c r="C313" s="77" t="s">
        <v>30</v>
      </c>
      <c r="D313" s="77" t="s">
        <v>42</v>
      </c>
      <c r="E313" s="77" t="s">
        <v>660</v>
      </c>
      <c r="F313" s="77" t="s">
        <v>60</v>
      </c>
      <c r="G313" s="77" t="s">
        <v>34</v>
      </c>
      <c r="H313" s="77">
        <f>STOCK[[#This Row],[Precio Final]]</f>
        <v>18</v>
      </c>
      <c r="I313" s="77">
        <f>STOCK[[#This Row],[Precio Venta Ideal (x1.5)]]</f>
        <v>18.7833333333333</v>
      </c>
      <c r="J313" s="92">
        <v>4</v>
      </c>
      <c r="K313" s="92">
        <f>SUMIFS(VENTAS[Cantidad],VENTAS[Código del producto Vendido],STOCK[[#This Row],[Code]])</f>
        <v>4</v>
      </c>
      <c r="L313" s="92">
        <f>STOCK[[#This Row],[Entradas]]-STOCK[[#This Row],[Salidas]]</f>
        <v>0</v>
      </c>
      <c r="M313" s="77">
        <f>STOCK[[#This Row],[Precio Final]]*10%</f>
        <v>1.8</v>
      </c>
      <c r="N313" s="77">
        <v>166</v>
      </c>
      <c r="O313" s="77">
        <v>18</v>
      </c>
      <c r="P313" s="77">
        <v>9.22222222222222</v>
      </c>
      <c r="Q313" s="92">
        <v>150</v>
      </c>
      <c r="R313" s="77">
        <v>10</v>
      </c>
      <c r="S313" s="77">
        <f>STOCK[[#This Row],[Peso (g)]]*STOCK[[#This Row],[Precio Envío Kilogramo (USD)]]/1000</f>
        <v>1.5</v>
      </c>
      <c r="T313" s="76">
        <f>STOCK[[#This Row],[Costo Unitario (USD)]]+STOCK[[#This Row],[Costo Envío (USD)]]+STOCK[[#This Row],[Comisión 10%]]</f>
        <v>12.5222222222222</v>
      </c>
      <c r="U313" s="77">
        <f>STOCK[[#This Row],[Costo total]]*1.5</f>
        <v>18.7833333333333</v>
      </c>
      <c r="V313" s="77">
        <v>18</v>
      </c>
      <c r="W313" s="77">
        <f>STOCK[[#This Row],[Precio Final]]-STOCK[[#This Row],[Costo total]]</f>
        <v>5.47777777777778</v>
      </c>
      <c r="X313" s="77">
        <f>STOCK[[#This Row],[Ganancia Unitaria]]*STOCK[[#This Row],[Salidas]]</f>
        <v>21.9111111111111</v>
      </c>
      <c r="AA313" s="77">
        <f>STOCK[[#This Row],[Costo total]]*STOCK[[#This Row],[Entradas]]</f>
        <v>50.0888888888889</v>
      </c>
      <c r="AB313" s="77">
        <f>STOCK[[#This Row],[Stock Actual]]*STOCK[[#This Row],[Costo total]]</f>
        <v>0</v>
      </c>
    </row>
    <row r="314" s="76" customFormat="1" ht="50" hidden="1" customHeight="1" spans="1:29">
      <c r="A314" s="76" t="s">
        <v>661</v>
      </c>
      <c r="B314" s="6"/>
      <c r="C314" s="76" t="s">
        <v>30</v>
      </c>
      <c r="D314" s="76" t="s">
        <v>293</v>
      </c>
      <c r="E314" s="76" t="s">
        <v>662</v>
      </c>
      <c r="F314" s="76" t="s">
        <v>38</v>
      </c>
      <c r="G314" s="76" t="s">
        <v>34</v>
      </c>
      <c r="H314" s="76">
        <f>STOCK[[#This Row],[Precio Final]]</f>
        <v>12</v>
      </c>
      <c r="I314" s="76">
        <f>STOCK[[#This Row],[Precio Venta Ideal (x1.5)]]</f>
        <v>9.15250000000001</v>
      </c>
      <c r="J314" s="91">
        <v>3</v>
      </c>
      <c r="K314" s="91">
        <f>SUMIFS(VENTAS[Cantidad],VENTAS[Código del producto Vendido],STOCK[[#This Row],[Code]])</f>
        <v>3</v>
      </c>
      <c r="L314" s="91">
        <f>STOCK[[#This Row],[Entradas]]-STOCK[[#This Row],[Salidas]]</f>
        <v>0</v>
      </c>
      <c r="M314" s="76">
        <f>STOCK[[#This Row],[Precio Final]]*10%</f>
        <v>1.2</v>
      </c>
      <c r="N314" s="76">
        <v>81.75</v>
      </c>
      <c r="O314" s="76">
        <v>18</v>
      </c>
      <c r="P314" s="76">
        <v>4.54166666666667</v>
      </c>
      <c r="Q314" s="91">
        <v>45</v>
      </c>
      <c r="R314" s="76">
        <v>8</v>
      </c>
      <c r="S314" s="76">
        <f>STOCK[[#This Row],[Peso (g)]]*STOCK[[#This Row],[Precio Envío Kilogramo (USD)]]/1000</f>
        <v>0.36</v>
      </c>
      <c r="T314" s="76">
        <f>STOCK[[#This Row],[Costo Unitario (USD)]]+STOCK[[#This Row],[Costo Envío (USD)]]+STOCK[[#This Row],[Comisión 10%]]</f>
        <v>6.10166666666667</v>
      </c>
      <c r="U314" s="76">
        <f>STOCK[[#This Row],[Costo total]]*1.5</f>
        <v>9.15250000000001</v>
      </c>
      <c r="V314" s="76">
        <v>12</v>
      </c>
      <c r="W314" s="76">
        <f>STOCK[[#This Row],[Precio Final]]-STOCK[[#This Row],[Costo total]]</f>
        <v>5.89833333333333</v>
      </c>
      <c r="X314" s="76">
        <f>STOCK[[#This Row],[Ganancia Unitaria]]*STOCK[[#This Row],[Salidas]]</f>
        <v>17.695</v>
      </c>
      <c r="AA314" s="76">
        <f>STOCK[[#This Row],[Costo total]]*STOCK[[#This Row],[Entradas]]</f>
        <v>18.305</v>
      </c>
      <c r="AB314" s="76">
        <f>STOCK[[#This Row],[Stock Actual]]*STOCK[[#This Row],[Costo total]]</f>
        <v>0</v>
      </c>
      <c r="AC314" s="76">
        <v>9</v>
      </c>
    </row>
    <row r="315" s="77" customFormat="1" ht="50" hidden="1" customHeight="1" spans="1:28">
      <c r="A315" s="77" t="s">
        <v>663</v>
      </c>
      <c r="B315" s="6"/>
      <c r="C315" s="77" t="s">
        <v>30</v>
      </c>
      <c r="D315" s="77" t="s">
        <v>173</v>
      </c>
      <c r="E315" s="77" t="s">
        <v>662</v>
      </c>
      <c r="F315" s="77" t="s">
        <v>60</v>
      </c>
      <c r="G315" s="77" t="s">
        <v>34</v>
      </c>
      <c r="H315" s="77">
        <f>STOCK[[#This Row],[Precio Final]]</f>
        <v>8</v>
      </c>
      <c r="I315" s="77">
        <f>STOCK[[#This Row],[Precio Venta Ideal (x1.5)]]</f>
        <v>8.55250000000001</v>
      </c>
      <c r="J315" s="92">
        <v>3</v>
      </c>
      <c r="K315" s="92">
        <f>SUMIFS(VENTAS[Cantidad],VENTAS[Código del producto Vendido],STOCK[[#This Row],[Code]])</f>
        <v>3</v>
      </c>
      <c r="L315" s="92">
        <f>STOCK[[#This Row],[Entradas]]-STOCK[[#This Row],[Salidas]]</f>
        <v>0</v>
      </c>
      <c r="M315" s="77">
        <f>STOCK[[#This Row],[Precio Final]]*10%</f>
        <v>0.8</v>
      </c>
      <c r="N315" s="77">
        <v>81.75</v>
      </c>
      <c r="O315" s="77">
        <v>18</v>
      </c>
      <c r="P315" s="77">
        <v>4.54166666666667</v>
      </c>
      <c r="Q315" s="92">
        <v>45</v>
      </c>
      <c r="R315" s="77">
        <v>8</v>
      </c>
      <c r="S315" s="77">
        <f>STOCK[[#This Row],[Peso (g)]]*STOCK[[#This Row],[Precio Envío Kilogramo (USD)]]/1000</f>
        <v>0.36</v>
      </c>
      <c r="T315" s="76">
        <f>STOCK[[#This Row],[Costo Unitario (USD)]]+STOCK[[#This Row],[Costo Envío (USD)]]+STOCK[[#This Row],[Comisión 10%]]</f>
        <v>5.70166666666667</v>
      </c>
      <c r="U315" s="77">
        <f>STOCK[[#This Row],[Costo total]]*1.5</f>
        <v>8.55250000000001</v>
      </c>
      <c r="V315" s="77">
        <v>8</v>
      </c>
      <c r="W315" s="77">
        <f>STOCK[[#This Row],[Precio Final]]-STOCK[[#This Row],[Costo total]]</f>
        <v>2.29833333333333</v>
      </c>
      <c r="X315" s="77">
        <f>STOCK[[#This Row],[Ganancia Unitaria]]*STOCK[[#This Row],[Salidas]]</f>
        <v>6.89499999999999</v>
      </c>
      <c r="AA315" s="77">
        <f>STOCK[[#This Row],[Costo total]]*STOCK[[#This Row],[Entradas]]</f>
        <v>17.105</v>
      </c>
      <c r="AB315" s="77">
        <f>STOCK[[#This Row],[Stock Actual]]*STOCK[[#This Row],[Costo total]]</f>
        <v>0</v>
      </c>
    </row>
    <row r="316" s="76" customFormat="1" ht="50" hidden="1" customHeight="1" spans="1:28">
      <c r="A316" s="76" t="s">
        <v>664</v>
      </c>
      <c r="B316" s="6"/>
      <c r="C316" s="76" t="s">
        <v>30</v>
      </c>
      <c r="D316" s="76" t="s">
        <v>173</v>
      </c>
      <c r="E316" s="76" t="s">
        <v>662</v>
      </c>
      <c r="F316" s="76" t="s">
        <v>44</v>
      </c>
      <c r="G316" s="76" t="s">
        <v>34</v>
      </c>
      <c r="H316" s="76">
        <f>STOCK[[#This Row],[Precio Final]]</f>
        <v>8</v>
      </c>
      <c r="I316" s="76">
        <f>STOCK[[#This Row],[Precio Venta Ideal (x1.5)]]</f>
        <v>8.55250000000001</v>
      </c>
      <c r="J316" s="91">
        <v>3</v>
      </c>
      <c r="K316" s="91">
        <f>SUMIFS(VENTAS[Cantidad],VENTAS[Código del producto Vendido],STOCK[[#This Row],[Code]])</f>
        <v>3</v>
      </c>
      <c r="L316" s="91">
        <f>STOCK[[#This Row],[Entradas]]-STOCK[[#This Row],[Salidas]]</f>
        <v>0</v>
      </c>
      <c r="M316" s="76">
        <f>STOCK[[#This Row],[Precio Final]]*10%</f>
        <v>0.8</v>
      </c>
      <c r="N316" s="76">
        <v>81.75</v>
      </c>
      <c r="O316" s="76">
        <v>18</v>
      </c>
      <c r="P316" s="76">
        <v>4.54166666666667</v>
      </c>
      <c r="Q316" s="91">
        <v>45</v>
      </c>
      <c r="R316" s="76">
        <v>8</v>
      </c>
      <c r="S316" s="76">
        <f>STOCK[[#This Row],[Peso (g)]]*STOCK[[#This Row],[Precio Envío Kilogramo (USD)]]/1000</f>
        <v>0.36</v>
      </c>
      <c r="T316" s="76">
        <f>STOCK[[#This Row],[Costo Unitario (USD)]]+STOCK[[#This Row],[Costo Envío (USD)]]+STOCK[[#This Row],[Comisión 10%]]</f>
        <v>5.70166666666667</v>
      </c>
      <c r="U316" s="76">
        <f>STOCK[[#This Row],[Costo total]]*1.5</f>
        <v>8.55250000000001</v>
      </c>
      <c r="V316" s="76">
        <v>8</v>
      </c>
      <c r="W316" s="76">
        <f>STOCK[[#This Row],[Precio Final]]-STOCK[[#This Row],[Costo total]]</f>
        <v>2.29833333333333</v>
      </c>
      <c r="X316" s="76">
        <f>STOCK[[#This Row],[Ganancia Unitaria]]*STOCK[[#This Row],[Salidas]]</f>
        <v>6.89499999999999</v>
      </c>
      <c r="AA316" s="76">
        <f>STOCK[[#This Row],[Costo total]]*STOCK[[#This Row],[Entradas]]</f>
        <v>17.105</v>
      </c>
      <c r="AB316" s="76">
        <f>STOCK[[#This Row],[Stock Actual]]*STOCK[[#This Row],[Costo total]]</f>
        <v>0</v>
      </c>
    </row>
    <row r="317" s="77" customFormat="1" ht="50" hidden="1" customHeight="1" spans="1:28">
      <c r="A317" s="77" t="s">
        <v>665</v>
      </c>
      <c r="B317" s="6"/>
      <c r="C317" s="77" t="s">
        <v>30</v>
      </c>
      <c r="D317" s="77" t="s">
        <v>173</v>
      </c>
      <c r="E317" s="77" t="s">
        <v>666</v>
      </c>
      <c r="F317" s="77" t="s">
        <v>47</v>
      </c>
      <c r="G317" s="77" t="s">
        <v>34</v>
      </c>
      <c r="H317" s="77">
        <f>STOCK[[#This Row],[Precio Final]]</f>
        <v>9</v>
      </c>
      <c r="I317" s="77">
        <f>STOCK[[#This Row],[Precio Venta Ideal (x1.5)]]</f>
        <v>9.515</v>
      </c>
      <c r="J317" s="92">
        <v>3</v>
      </c>
      <c r="K317" s="92">
        <f>SUMIFS(VENTAS[Cantidad],VENTAS[Código del producto Vendido],STOCK[[#This Row],[Code]])</f>
        <v>3</v>
      </c>
      <c r="L317" s="92">
        <f>STOCK[[#This Row],[Entradas]]-STOCK[[#This Row],[Salidas]]</f>
        <v>0</v>
      </c>
      <c r="M317" s="77">
        <f>STOCK[[#This Row],[Precio Final]]*10%</f>
        <v>0.9</v>
      </c>
      <c r="N317" s="77">
        <v>91.5</v>
      </c>
      <c r="O317" s="77">
        <v>18</v>
      </c>
      <c r="P317" s="77">
        <v>5.08333333333333</v>
      </c>
      <c r="Q317" s="92">
        <v>45</v>
      </c>
      <c r="R317" s="77">
        <v>8</v>
      </c>
      <c r="S317" s="77">
        <f>STOCK[[#This Row],[Peso (g)]]*STOCK[[#This Row],[Precio Envío Kilogramo (USD)]]/1000</f>
        <v>0.36</v>
      </c>
      <c r="T317" s="76">
        <f>STOCK[[#This Row],[Costo Unitario (USD)]]+STOCK[[#This Row],[Costo Envío (USD)]]+STOCK[[#This Row],[Comisión 10%]]</f>
        <v>6.34333333333333</v>
      </c>
      <c r="U317" s="77">
        <f>STOCK[[#This Row],[Costo total]]*1.5</f>
        <v>9.515</v>
      </c>
      <c r="V317" s="77">
        <v>9</v>
      </c>
      <c r="W317" s="77">
        <f>STOCK[[#This Row],[Precio Final]]-STOCK[[#This Row],[Costo total]]</f>
        <v>2.65666666666667</v>
      </c>
      <c r="X317" s="77">
        <f>STOCK[[#This Row],[Ganancia Unitaria]]*STOCK[[#This Row],[Salidas]]</f>
        <v>7.97000000000001</v>
      </c>
      <c r="AA317" s="77">
        <f>STOCK[[#This Row],[Costo total]]*STOCK[[#This Row],[Entradas]]</f>
        <v>19.03</v>
      </c>
      <c r="AB317" s="77">
        <f>STOCK[[#This Row],[Stock Actual]]*STOCK[[#This Row],[Costo total]]</f>
        <v>0</v>
      </c>
    </row>
    <row r="318" s="76" customFormat="1" ht="50" hidden="1" customHeight="1" spans="1:28">
      <c r="A318" s="76" t="s">
        <v>667</v>
      </c>
      <c r="B318" s="6"/>
      <c r="C318" s="76" t="s">
        <v>30</v>
      </c>
      <c r="D318" s="76" t="s">
        <v>173</v>
      </c>
      <c r="E318" s="76" t="s">
        <v>668</v>
      </c>
      <c r="F318" s="76" t="s">
        <v>60</v>
      </c>
      <c r="G318" s="76" t="s">
        <v>34</v>
      </c>
      <c r="H318" s="76">
        <f>STOCK[[#This Row],[Precio Final]]</f>
        <v>9</v>
      </c>
      <c r="I318" s="76">
        <f>STOCK[[#This Row],[Precio Venta Ideal (x1.5)]]</f>
        <v>9.515</v>
      </c>
      <c r="J318" s="91">
        <v>3</v>
      </c>
      <c r="K318" s="91">
        <f>SUMIFS(VENTAS[Cantidad],VENTAS[Código del producto Vendido],STOCK[[#This Row],[Code]])</f>
        <v>3</v>
      </c>
      <c r="L318" s="91">
        <f>STOCK[[#This Row],[Entradas]]-STOCK[[#This Row],[Salidas]]</f>
        <v>0</v>
      </c>
      <c r="M318" s="76">
        <f>STOCK[[#This Row],[Precio Final]]*10%</f>
        <v>0.9</v>
      </c>
      <c r="N318" s="76">
        <v>91.5</v>
      </c>
      <c r="O318" s="76">
        <v>18</v>
      </c>
      <c r="P318" s="76">
        <v>5.08333333333333</v>
      </c>
      <c r="Q318" s="91">
        <v>45</v>
      </c>
      <c r="R318" s="76">
        <v>8</v>
      </c>
      <c r="S318" s="76">
        <f>STOCK[[#This Row],[Peso (g)]]*STOCK[[#This Row],[Precio Envío Kilogramo (USD)]]/1000</f>
        <v>0.36</v>
      </c>
      <c r="T318" s="76">
        <f>STOCK[[#This Row],[Costo Unitario (USD)]]+STOCK[[#This Row],[Costo Envío (USD)]]+STOCK[[#This Row],[Comisión 10%]]</f>
        <v>6.34333333333333</v>
      </c>
      <c r="U318" s="76">
        <f>STOCK[[#This Row],[Costo total]]*1.5</f>
        <v>9.515</v>
      </c>
      <c r="V318" s="76">
        <v>9</v>
      </c>
      <c r="W318" s="76">
        <f>STOCK[[#This Row],[Precio Final]]-STOCK[[#This Row],[Costo total]]</f>
        <v>2.65666666666667</v>
      </c>
      <c r="X318" s="76">
        <f>STOCK[[#This Row],[Ganancia Unitaria]]*STOCK[[#This Row],[Salidas]]</f>
        <v>7.97000000000001</v>
      </c>
      <c r="AA318" s="76">
        <f>STOCK[[#This Row],[Costo total]]*STOCK[[#This Row],[Entradas]]</f>
        <v>19.03</v>
      </c>
      <c r="AB318" s="76">
        <f>STOCK[[#This Row],[Stock Actual]]*STOCK[[#This Row],[Costo total]]</f>
        <v>0</v>
      </c>
    </row>
    <row r="319" s="77" customFormat="1" ht="50" hidden="1" customHeight="1" spans="1:28">
      <c r="A319" s="77" t="s">
        <v>669</v>
      </c>
      <c r="B319" s="6"/>
      <c r="C319" s="77" t="s">
        <v>30</v>
      </c>
      <c r="D319" s="77" t="s">
        <v>173</v>
      </c>
      <c r="E319" s="77" t="s">
        <v>670</v>
      </c>
      <c r="F319" s="77" t="s">
        <v>38</v>
      </c>
      <c r="G319" s="77" t="s">
        <v>34</v>
      </c>
      <c r="H319" s="77">
        <f>STOCK[[#This Row],[Precio Final]]</f>
        <v>9</v>
      </c>
      <c r="I319" s="77">
        <f>STOCK[[#This Row],[Precio Venta Ideal (x1.5)]]</f>
        <v>9.515</v>
      </c>
      <c r="J319" s="92">
        <v>3</v>
      </c>
      <c r="K319" s="92">
        <f>SUMIFS(VENTAS[Cantidad],VENTAS[Código del producto Vendido],STOCK[[#This Row],[Code]])</f>
        <v>3</v>
      </c>
      <c r="L319" s="92">
        <f>STOCK[[#This Row],[Entradas]]-STOCK[[#This Row],[Salidas]]</f>
        <v>0</v>
      </c>
      <c r="M319" s="77">
        <f>STOCK[[#This Row],[Precio Final]]*10%</f>
        <v>0.9</v>
      </c>
      <c r="N319" s="77">
        <v>91.5</v>
      </c>
      <c r="O319" s="77">
        <v>18</v>
      </c>
      <c r="P319" s="77">
        <v>5.08333333333333</v>
      </c>
      <c r="Q319" s="92">
        <v>45</v>
      </c>
      <c r="R319" s="77">
        <v>8</v>
      </c>
      <c r="S319" s="77">
        <f>STOCK[[#This Row],[Peso (g)]]*STOCK[[#This Row],[Precio Envío Kilogramo (USD)]]/1000</f>
        <v>0.36</v>
      </c>
      <c r="T319" s="76">
        <f>STOCK[[#This Row],[Costo Unitario (USD)]]+STOCK[[#This Row],[Costo Envío (USD)]]+STOCK[[#This Row],[Comisión 10%]]</f>
        <v>6.34333333333333</v>
      </c>
      <c r="U319" s="77">
        <f>STOCK[[#This Row],[Costo total]]*1.5</f>
        <v>9.515</v>
      </c>
      <c r="V319" s="77">
        <v>9</v>
      </c>
      <c r="W319" s="77">
        <f>STOCK[[#This Row],[Precio Final]]-STOCK[[#This Row],[Costo total]]</f>
        <v>2.65666666666667</v>
      </c>
      <c r="X319" s="77">
        <f>STOCK[[#This Row],[Ganancia Unitaria]]*STOCK[[#This Row],[Salidas]]</f>
        <v>7.97000000000001</v>
      </c>
      <c r="AA319" s="77">
        <f>STOCK[[#This Row],[Costo total]]*STOCK[[#This Row],[Entradas]]</f>
        <v>19.03</v>
      </c>
      <c r="AB319" s="77">
        <f>STOCK[[#This Row],[Stock Actual]]*STOCK[[#This Row],[Costo total]]</f>
        <v>0</v>
      </c>
    </row>
    <row r="320" s="76" customFormat="1" ht="50" hidden="1" customHeight="1" spans="1:29">
      <c r="A320" s="76" t="s">
        <v>671</v>
      </c>
      <c r="B320" s="6"/>
      <c r="C320" s="76" t="s">
        <v>30</v>
      </c>
      <c r="D320" s="76" t="s">
        <v>293</v>
      </c>
      <c r="E320" s="76" t="s">
        <v>672</v>
      </c>
      <c r="F320" s="76" t="s">
        <v>60</v>
      </c>
      <c r="G320" s="76" t="s">
        <v>34</v>
      </c>
      <c r="H320" s="76">
        <f>STOCK[[#This Row],[Precio Final]]</f>
        <v>12</v>
      </c>
      <c r="I320" s="76">
        <f>STOCK[[#This Row],[Precio Venta Ideal (x1.5)]]</f>
        <v>9.7025</v>
      </c>
      <c r="J320" s="91">
        <v>3</v>
      </c>
      <c r="K320" s="91">
        <f>SUMIFS(VENTAS[Cantidad],VENTAS[Código del producto Vendido],STOCK[[#This Row],[Code]])</f>
        <v>1</v>
      </c>
      <c r="L320" s="91">
        <f>STOCK[[#This Row],[Entradas]]-STOCK[[#This Row],[Salidas]]</f>
        <v>2</v>
      </c>
      <c r="M320" s="76">
        <f>STOCK[[#This Row],[Precio Final]]*10%</f>
        <v>1.2</v>
      </c>
      <c r="N320" s="76">
        <v>88.35</v>
      </c>
      <c r="O320" s="76">
        <v>18</v>
      </c>
      <c r="P320" s="76">
        <v>4.90833333333333</v>
      </c>
      <c r="Q320" s="91">
        <v>45</v>
      </c>
      <c r="R320" s="76">
        <v>8</v>
      </c>
      <c r="S320" s="76">
        <f>STOCK[[#This Row],[Peso (g)]]*STOCK[[#This Row],[Precio Envío Kilogramo (USD)]]/1000</f>
        <v>0.36</v>
      </c>
      <c r="T320" s="76">
        <f>STOCK[[#This Row],[Costo Unitario (USD)]]+STOCK[[#This Row],[Costo Envío (USD)]]+STOCK[[#This Row],[Comisión 10%]]</f>
        <v>6.46833333333333</v>
      </c>
      <c r="U320" s="76">
        <f>STOCK[[#This Row],[Costo total]]*1.5</f>
        <v>9.7025</v>
      </c>
      <c r="V320" s="76">
        <v>12</v>
      </c>
      <c r="W320" s="76">
        <f>STOCK[[#This Row],[Precio Final]]-STOCK[[#This Row],[Costo total]]</f>
        <v>5.53166666666667</v>
      </c>
      <c r="X320" s="76">
        <f>STOCK[[#This Row],[Ganancia Unitaria]]*STOCK[[#This Row],[Salidas]]</f>
        <v>5.53166666666667</v>
      </c>
      <c r="AA320" s="76">
        <f>STOCK[[#This Row],[Costo total]]*STOCK[[#This Row],[Entradas]]</f>
        <v>19.405</v>
      </c>
      <c r="AB320" s="76">
        <f>STOCK[[#This Row],[Stock Actual]]*STOCK[[#This Row],[Costo total]]</f>
        <v>12.9366666666667</v>
      </c>
      <c r="AC320" s="76">
        <v>9</v>
      </c>
    </row>
    <row r="321" s="77" customFormat="1" ht="50" hidden="1" customHeight="1" spans="1:28">
      <c r="A321" s="77" t="s">
        <v>673</v>
      </c>
      <c r="B321" s="6"/>
      <c r="C321" s="77" t="s">
        <v>30</v>
      </c>
      <c r="D321" s="77" t="s">
        <v>246</v>
      </c>
      <c r="E321" s="77" t="s">
        <v>672</v>
      </c>
      <c r="F321" s="77" t="s">
        <v>47</v>
      </c>
      <c r="G321" s="77" t="s">
        <v>34</v>
      </c>
      <c r="H321" s="77">
        <f>STOCK[[#This Row],[Precio Final]]</f>
        <v>9</v>
      </c>
      <c r="I321" s="77">
        <f>STOCK[[#This Row],[Precio Venta Ideal (x1.5)]]</f>
        <v>9.2525</v>
      </c>
      <c r="J321" s="92">
        <v>3</v>
      </c>
      <c r="K321" s="92">
        <f>SUMIFS(VENTAS[Cantidad],VENTAS[Código del producto Vendido],STOCK[[#This Row],[Code]])</f>
        <v>3</v>
      </c>
      <c r="L321" s="92">
        <f>STOCK[[#This Row],[Entradas]]-STOCK[[#This Row],[Salidas]]</f>
        <v>0</v>
      </c>
      <c r="M321" s="77">
        <f>STOCK[[#This Row],[Precio Final]]*10%</f>
        <v>0.9</v>
      </c>
      <c r="N321" s="77">
        <v>88.35</v>
      </c>
      <c r="O321" s="77">
        <v>18</v>
      </c>
      <c r="P321" s="77">
        <v>4.90833333333333</v>
      </c>
      <c r="Q321" s="92">
        <v>45</v>
      </c>
      <c r="R321" s="77">
        <v>8</v>
      </c>
      <c r="S321" s="77">
        <f>STOCK[[#This Row],[Peso (g)]]*STOCK[[#This Row],[Precio Envío Kilogramo (USD)]]/1000</f>
        <v>0.36</v>
      </c>
      <c r="T321" s="76">
        <f>STOCK[[#This Row],[Costo Unitario (USD)]]+STOCK[[#This Row],[Costo Envío (USD)]]+STOCK[[#This Row],[Comisión 10%]]</f>
        <v>6.16833333333333</v>
      </c>
      <c r="U321" s="77">
        <f>STOCK[[#This Row],[Costo total]]*1.5</f>
        <v>9.2525</v>
      </c>
      <c r="V321" s="77">
        <v>9</v>
      </c>
      <c r="W321" s="77">
        <f>STOCK[[#This Row],[Precio Final]]-STOCK[[#This Row],[Costo total]]</f>
        <v>2.83166666666667</v>
      </c>
      <c r="X321" s="77">
        <f>STOCK[[#This Row],[Ganancia Unitaria]]*STOCK[[#This Row],[Salidas]]</f>
        <v>8.49500000000001</v>
      </c>
      <c r="AA321" s="77">
        <f>STOCK[[#This Row],[Costo total]]*STOCK[[#This Row],[Entradas]]</f>
        <v>18.505</v>
      </c>
      <c r="AB321" s="77">
        <f>STOCK[[#This Row],[Stock Actual]]*STOCK[[#This Row],[Costo total]]</f>
        <v>0</v>
      </c>
    </row>
    <row r="322" s="76" customFormat="1" ht="50" hidden="1" customHeight="1" spans="1:28">
      <c r="A322" s="76" t="s">
        <v>674</v>
      </c>
      <c r="B322" s="6"/>
      <c r="C322" s="76" t="s">
        <v>30</v>
      </c>
      <c r="D322" s="76" t="s">
        <v>42</v>
      </c>
      <c r="E322" s="76" t="s">
        <v>675</v>
      </c>
      <c r="F322" s="76" t="s">
        <v>60</v>
      </c>
      <c r="G322" s="76" t="s">
        <v>34</v>
      </c>
      <c r="H322" s="76">
        <f>STOCK[[#This Row],[Precio Final]]</f>
        <v>18</v>
      </c>
      <c r="I322" s="76">
        <f>STOCK[[#This Row],[Precio Venta Ideal (x1.5)]]</f>
        <v>18.7833333333333</v>
      </c>
      <c r="J322" s="91">
        <v>4</v>
      </c>
      <c r="K322" s="91">
        <f>SUMIFS(VENTAS[Cantidad],VENTAS[Código del producto Vendido],STOCK[[#This Row],[Code]])</f>
        <v>4</v>
      </c>
      <c r="L322" s="91">
        <f>STOCK[[#This Row],[Entradas]]-STOCK[[#This Row],[Salidas]]</f>
        <v>0</v>
      </c>
      <c r="M322" s="76">
        <f>STOCK[[#This Row],[Precio Final]]*10%</f>
        <v>1.8</v>
      </c>
      <c r="N322" s="76">
        <v>166</v>
      </c>
      <c r="O322" s="76">
        <v>18</v>
      </c>
      <c r="P322" s="76">
        <v>9.22222222222222</v>
      </c>
      <c r="Q322" s="91">
        <v>150</v>
      </c>
      <c r="R322" s="76">
        <v>10</v>
      </c>
      <c r="S322" s="76">
        <f>STOCK[[#This Row],[Peso (g)]]*STOCK[[#This Row],[Precio Envío Kilogramo (USD)]]/1000</f>
        <v>1.5</v>
      </c>
      <c r="T322" s="76">
        <f>STOCK[[#This Row],[Costo Unitario (USD)]]+STOCK[[#This Row],[Costo Envío (USD)]]+STOCK[[#This Row],[Comisión 10%]]</f>
        <v>12.5222222222222</v>
      </c>
      <c r="U322" s="76">
        <f>STOCK[[#This Row],[Costo total]]*1.5</f>
        <v>18.7833333333333</v>
      </c>
      <c r="V322" s="76">
        <v>18</v>
      </c>
      <c r="W322" s="76">
        <f>STOCK[[#This Row],[Precio Final]]-STOCK[[#This Row],[Costo total]]</f>
        <v>5.47777777777778</v>
      </c>
      <c r="X322" s="76">
        <f>STOCK[[#This Row],[Ganancia Unitaria]]*STOCK[[#This Row],[Salidas]]</f>
        <v>21.9111111111111</v>
      </c>
      <c r="AA322" s="76">
        <f>STOCK[[#This Row],[Costo total]]*STOCK[[#This Row],[Entradas]]</f>
        <v>50.0888888888889</v>
      </c>
      <c r="AB322" s="76">
        <f>STOCK[[#This Row],[Stock Actual]]*STOCK[[#This Row],[Costo total]]</f>
        <v>0</v>
      </c>
    </row>
    <row r="323" s="77" customFormat="1" ht="50" hidden="1" customHeight="1" spans="1:29">
      <c r="A323" s="77" t="s">
        <v>676</v>
      </c>
      <c r="B323" s="6"/>
      <c r="C323" s="77" t="s">
        <v>30</v>
      </c>
      <c r="D323" s="77" t="s">
        <v>293</v>
      </c>
      <c r="E323" s="77" t="s">
        <v>677</v>
      </c>
      <c r="F323" s="77" t="s">
        <v>47</v>
      </c>
      <c r="G323" s="77" t="s">
        <v>34</v>
      </c>
      <c r="H323" s="77">
        <f>STOCK[[#This Row],[Precio Final]]</f>
        <v>12</v>
      </c>
      <c r="I323" s="77">
        <f>STOCK[[#This Row],[Precio Venta Ideal (x1.5)]]</f>
        <v>13.09</v>
      </c>
      <c r="J323" s="92">
        <v>4</v>
      </c>
      <c r="K323" s="92">
        <f>SUMIFS(VENTAS[Cantidad],VENTAS[Código del producto Vendido],STOCK[[#This Row],[Code]])</f>
        <v>2</v>
      </c>
      <c r="L323" s="92">
        <f>STOCK[[#This Row],[Entradas]]-STOCK[[#This Row],[Salidas]]</f>
        <v>2</v>
      </c>
      <c r="M323" s="77">
        <f>STOCK[[#This Row],[Precio Final]]*10%</f>
        <v>1.2</v>
      </c>
      <c r="N323" s="77">
        <v>129</v>
      </c>
      <c r="O323" s="77">
        <v>18</v>
      </c>
      <c r="P323" s="77">
        <v>7.16666666666667</v>
      </c>
      <c r="Q323" s="92">
        <v>45</v>
      </c>
      <c r="R323" s="77">
        <v>8</v>
      </c>
      <c r="S323" s="77">
        <f>STOCK[[#This Row],[Peso (g)]]*STOCK[[#This Row],[Precio Envío Kilogramo (USD)]]/1000</f>
        <v>0.36</v>
      </c>
      <c r="T323" s="76">
        <f>STOCK[[#This Row],[Costo Unitario (USD)]]+STOCK[[#This Row],[Costo Envío (USD)]]+STOCK[[#This Row],[Comisión 10%]]</f>
        <v>8.72666666666667</v>
      </c>
      <c r="U323" s="77">
        <f>STOCK[[#This Row],[Costo total]]*1.5</f>
        <v>13.09</v>
      </c>
      <c r="V323" s="77">
        <v>12</v>
      </c>
      <c r="W323" s="77">
        <f>STOCK[[#This Row],[Precio Final]]-STOCK[[#This Row],[Costo total]]</f>
        <v>3.27333333333333</v>
      </c>
      <c r="X323" s="77">
        <f>STOCK[[#This Row],[Ganancia Unitaria]]*STOCK[[#This Row],[Salidas]]</f>
        <v>6.54666666666666</v>
      </c>
      <c r="AA323" s="77">
        <f>STOCK[[#This Row],[Costo total]]*STOCK[[#This Row],[Entradas]]</f>
        <v>34.9066666666667</v>
      </c>
      <c r="AB323" s="77">
        <f>STOCK[[#This Row],[Stock Actual]]*STOCK[[#This Row],[Costo total]]</f>
        <v>17.4533333333333</v>
      </c>
      <c r="AC323" s="77">
        <v>10</v>
      </c>
    </row>
    <row r="324" s="76" customFormat="1" ht="50" hidden="1" customHeight="1" spans="1:29">
      <c r="A324" s="76" t="s">
        <v>678</v>
      </c>
      <c r="B324" s="6"/>
      <c r="C324" s="76" t="s">
        <v>30</v>
      </c>
      <c r="D324" s="76" t="s">
        <v>679</v>
      </c>
      <c r="E324" s="76" t="s">
        <v>677</v>
      </c>
      <c r="F324" s="76" t="s">
        <v>44</v>
      </c>
      <c r="G324" s="76" t="s">
        <v>34</v>
      </c>
      <c r="H324" s="76">
        <f>STOCK[[#This Row],[Precio Final]]</f>
        <v>12</v>
      </c>
      <c r="I324" s="76">
        <f>STOCK[[#This Row],[Precio Venta Ideal (x1.5)]]</f>
        <v>13.09</v>
      </c>
      <c r="J324" s="91">
        <v>4</v>
      </c>
      <c r="K324" s="91">
        <f>SUMIFS(VENTAS[Cantidad],VENTAS[Código del producto Vendido],STOCK[[#This Row],[Code]])</f>
        <v>2</v>
      </c>
      <c r="L324" s="91">
        <f>STOCK[[#This Row],[Entradas]]-STOCK[[#This Row],[Salidas]]</f>
        <v>2</v>
      </c>
      <c r="M324" s="76">
        <f>STOCK[[#This Row],[Precio Final]]*10%</f>
        <v>1.2</v>
      </c>
      <c r="N324" s="76">
        <v>129</v>
      </c>
      <c r="O324" s="76">
        <v>18</v>
      </c>
      <c r="P324" s="76">
        <v>7.16666666666667</v>
      </c>
      <c r="Q324" s="91">
        <v>45</v>
      </c>
      <c r="R324" s="76">
        <v>8</v>
      </c>
      <c r="S324" s="76">
        <f>STOCK[[#This Row],[Peso (g)]]*STOCK[[#This Row],[Precio Envío Kilogramo (USD)]]/1000</f>
        <v>0.36</v>
      </c>
      <c r="T324" s="76">
        <f>STOCK[[#This Row],[Costo Unitario (USD)]]+STOCK[[#This Row],[Costo Envío (USD)]]+STOCK[[#This Row],[Comisión 10%]]</f>
        <v>8.72666666666667</v>
      </c>
      <c r="U324" s="76">
        <f>STOCK[[#This Row],[Costo total]]*1.5</f>
        <v>13.09</v>
      </c>
      <c r="V324" s="76">
        <v>12</v>
      </c>
      <c r="W324" s="76">
        <f>STOCK[[#This Row],[Precio Final]]-STOCK[[#This Row],[Costo total]]</f>
        <v>3.27333333333333</v>
      </c>
      <c r="X324" s="76">
        <f>STOCK[[#This Row],[Ganancia Unitaria]]*STOCK[[#This Row],[Salidas]]</f>
        <v>6.54666666666666</v>
      </c>
      <c r="AA324" s="76">
        <f>STOCK[[#This Row],[Costo total]]*STOCK[[#This Row],[Entradas]]</f>
        <v>34.9066666666667</v>
      </c>
      <c r="AB324" s="76">
        <f>STOCK[[#This Row],[Stock Actual]]*STOCK[[#This Row],[Costo total]]</f>
        <v>17.4533333333333</v>
      </c>
      <c r="AC324" s="76">
        <v>10</v>
      </c>
    </row>
    <row r="325" s="77" customFormat="1" ht="50" hidden="1" customHeight="1" spans="1:28">
      <c r="A325" s="77" t="s">
        <v>680</v>
      </c>
      <c r="B325" s="6"/>
      <c r="C325" s="77" t="s">
        <v>30</v>
      </c>
      <c r="D325" s="77" t="s">
        <v>42</v>
      </c>
      <c r="E325" s="77" t="s">
        <v>681</v>
      </c>
      <c r="F325" s="77" t="s">
        <v>44</v>
      </c>
      <c r="G325" s="77" t="s">
        <v>34</v>
      </c>
      <c r="H325" s="77">
        <f>STOCK[[#This Row],[Precio Final]]</f>
        <v>20</v>
      </c>
      <c r="I325" s="77">
        <f>STOCK[[#This Row],[Precio Venta Ideal (x1.5)]]</f>
        <v>19.0833333333333</v>
      </c>
      <c r="J325" s="92">
        <v>3</v>
      </c>
      <c r="K325" s="92">
        <f>SUMIFS(VENTAS[Cantidad],VENTAS[Código del producto Vendido],STOCK[[#This Row],[Code]])</f>
        <v>3</v>
      </c>
      <c r="L325" s="92">
        <f>STOCK[[#This Row],[Entradas]]-STOCK[[#This Row],[Salidas]]</f>
        <v>0</v>
      </c>
      <c r="M325" s="77">
        <f>STOCK[[#This Row],[Precio Final]]*10%</f>
        <v>2</v>
      </c>
      <c r="N325" s="77">
        <v>166</v>
      </c>
      <c r="O325" s="77">
        <v>18</v>
      </c>
      <c r="P325" s="77">
        <v>9.22222222222222</v>
      </c>
      <c r="Q325" s="92">
        <v>150</v>
      </c>
      <c r="R325" s="77">
        <v>10</v>
      </c>
      <c r="S325" s="77">
        <f>STOCK[[#This Row],[Peso (g)]]*STOCK[[#This Row],[Precio Envío Kilogramo (USD)]]/1000</f>
        <v>1.5</v>
      </c>
      <c r="T325" s="76">
        <f>STOCK[[#This Row],[Costo Unitario (USD)]]+STOCK[[#This Row],[Costo Envío (USD)]]+STOCK[[#This Row],[Comisión 10%]]</f>
        <v>12.7222222222222</v>
      </c>
      <c r="U325" s="77">
        <f>STOCK[[#This Row],[Costo total]]*1.5</f>
        <v>19.0833333333333</v>
      </c>
      <c r="V325" s="77">
        <v>20</v>
      </c>
      <c r="W325" s="77">
        <f>STOCK[[#This Row],[Precio Final]]-STOCK[[#This Row],[Costo total]]</f>
        <v>7.27777777777778</v>
      </c>
      <c r="X325" s="77">
        <f>STOCK[[#This Row],[Ganancia Unitaria]]*STOCK[[#This Row],[Salidas]]</f>
        <v>21.8333333333333</v>
      </c>
      <c r="AA325" s="77">
        <f>STOCK[[#This Row],[Costo total]]*STOCK[[#This Row],[Entradas]]</f>
        <v>38.1666666666667</v>
      </c>
      <c r="AB325" s="77">
        <f>STOCK[[#This Row],[Stock Actual]]*STOCK[[#This Row],[Costo total]]</f>
        <v>0</v>
      </c>
    </row>
    <row r="326" s="76" customFormat="1" ht="50" hidden="1" customHeight="1" spans="1:28">
      <c r="A326" s="76" t="s">
        <v>682</v>
      </c>
      <c r="B326" s="6"/>
      <c r="C326" s="76" t="s">
        <v>30</v>
      </c>
      <c r="D326" s="76" t="s">
        <v>42</v>
      </c>
      <c r="E326" s="76" t="s">
        <v>683</v>
      </c>
      <c r="F326" s="76" t="s">
        <v>47</v>
      </c>
      <c r="G326" s="76" t="s">
        <v>34</v>
      </c>
      <c r="H326" s="76">
        <f>STOCK[[#This Row],[Precio Final]]</f>
        <v>20</v>
      </c>
      <c r="I326" s="76">
        <f>STOCK[[#This Row],[Precio Venta Ideal (x1.5)]]</f>
        <v>19.0833333333333</v>
      </c>
      <c r="J326" s="91">
        <v>3</v>
      </c>
      <c r="K326" s="91">
        <f>SUMIFS(VENTAS[Cantidad],VENTAS[Código del producto Vendido],STOCK[[#This Row],[Code]])</f>
        <v>3</v>
      </c>
      <c r="L326" s="91">
        <f>STOCK[[#This Row],[Entradas]]-STOCK[[#This Row],[Salidas]]</f>
        <v>0</v>
      </c>
      <c r="M326" s="76">
        <f>STOCK[[#This Row],[Precio Final]]*10%</f>
        <v>2</v>
      </c>
      <c r="N326" s="76">
        <v>166</v>
      </c>
      <c r="O326" s="76">
        <v>18</v>
      </c>
      <c r="P326" s="76">
        <v>9.22222222222222</v>
      </c>
      <c r="Q326" s="91">
        <v>150</v>
      </c>
      <c r="R326" s="76">
        <v>10</v>
      </c>
      <c r="S326" s="76">
        <f>STOCK[[#This Row],[Peso (g)]]*STOCK[[#This Row],[Precio Envío Kilogramo (USD)]]/1000</f>
        <v>1.5</v>
      </c>
      <c r="T326" s="76">
        <f>STOCK[[#This Row],[Costo Unitario (USD)]]+STOCK[[#This Row],[Costo Envío (USD)]]+STOCK[[#This Row],[Comisión 10%]]</f>
        <v>12.7222222222222</v>
      </c>
      <c r="U326" s="76">
        <f>STOCK[[#This Row],[Costo total]]*1.5</f>
        <v>19.0833333333333</v>
      </c>
      <c r="V326" s="76">
        <v>20</v>
      </c>
      <c r="W326" s="76">
        <f>STOCK[[#This Row],[Precio Final]]-STOCK[[#This Row],[Costo total]]</f>
        <v>7.27777777777778</v>
      </c>
      <c r="X326" s="76">
        <f>STOCK[[#This Row],[Ganancia Unitaria]]*STOCK[[#This Row],[Salidas]]</f>
        <v>21.8333333333333</v>
      </c>
      <c r="AA326" s="76">
        <f>STOCK[[#This Row],[Costo total]]*STOCK[[#This Row],[Entradas]]</f>
        <v>38.1666666666667</v>
      </c>
      <c r="AB326" s="76">
        <f>STOCK[[#This Row],[Stock Actual]]*STOCK[[#This Row],[Costo total]]</f>
        <v>0</v>
      </c>
    </row>
    <row r="327" s="77" customFormat="1" ht="50" hidden="1" customHeight="1" spans="1:28">
      <c r="A327" s="77" t="s">
        <v>684</v>
      </c>
      <c r="B327" s="6"/>
      <c r="C327" s="77" t="s">
        <v>30</v>
      </c>
      <c r="D327" s="77" t="s">
        <v>173</v>
      </c>
      <c r="E327" s="77" t="s">
        <v>685</v>
      </c>
      <c r="F327" s="77" t="s">
        <v>44</v>
      </c>
      <c r="G327" s="77" t="s">
        <v>34</v>
      </c>
      <c r="H327" s="77">
        <f>STOCK[[#This Row],[Precio Final]]</f>
        <v>9</v>
      </c>
      <c r="I327" s="77">
        <f>STOCK[[#This Row],[Precio Venta Ideal (x1.5)]]</f>
        <v>9.2525</v>
      </c>
      <c r="J327" s="92">
        <v>3</v>
      </c>
      <c r="K327" s="92">
        <f>SUMIFS(VENTAS[Cantidad],VENTAS[Código del producto Vendido],STOCK[[#This Row],[Code]])</f>
        <v>3</v>
      </c>
      <c r="L327" s="92">
        <f>STOCK[[#This Row],[Entradas]]-STOCK[[#This Row],[Salidas]]</f>
        <v>0</v>
      </c>
      <c r="M327" s="77">
        <f>STOCK[[#This Row],[Precio Final]]*10%</f>
        <v>0.9</v>
      </c>
      <c r="N327" s="77">
        <v>88.35</v>
      </c>
      <c r="O327" s="77">
        <v>18</v>
      </c>
      <c r="P327" s="77">
        <v>4.90833333333333</v>
      </c>
      <c r="Q327" s="92">
        <v>45</v>
      </c>
      <c r="R327" s="77">
        <v>8</v>
      </c>
      <c r="S327" s="77">
        <f>STOCK[[#This Row],[Peso (g)]]*STOCK[[#This Row],[Precio Envío Kilogramo (USD)]]/1000</f>
        <v>0.36</v>
      </c>
      <c r="T327" s="76">
        <f>STOCK[[#This Row],[Costo Unitario (USD)]]+STOCK[[#This Row],[Costo Envío (USD)]]+STOCK[[#This Row],[Comisión 10%]]</f>
        <v>6.16833333333333</v>
      </c>
      <c r="U327" s="77">
        <f>STOCK[[#This Row],[Costo total]]*1.5</f>
        <v>9.2525</v>
      </c>
      <c r="V327" s="77">
        <v>9</v>
      </c>
      <c r="W327" s="77">
        <f>STOCK[[#This Row],[Precio Final]]-STOCK[[#This Row],[Costo total]]</f>
        <v>2.83166666666667</v>
      </c>
      <c r="X327" s="77">
        <f>STOCK[[#This Row],[Ganancia Unitaria]]*STOCK[[#This Row],[Salidas]]</f>
        <v>8.49500000000001</v>
      </c>
      <c r="AA327" s="77">
        <f>STOCK[[#This Row],[Costo total]]*STOCK[[#This Row],[Entradas]]</f>
        <v>18.505</v>
      </c>
      <c r="AB327" s="77">
        <f>STOCK[[#This Row],[Stock Actual]]*STOCK[[#This Row],[Costo total]]</f>
        <v>0</v>
      </c>
    </row>
    <row r="328" s="76" customFormat="1" ht="50" hidden="1" customHeight="1" spans="1:29">
      <c r="A328" s="76" t="s">
        <v>686</v>
      </c>
      <c r="B328" s="6"/>
      <c r="C328" s="76" t="s">
        <v>30</v>
      </c>
      <c r="D328" s="76" t="s">
        <v>215</v>
      </c>
      <c r="E328" s="76" t="s">
        <v>687</v>
      </c>
      <c r="F328" s="76" t="s">
        <v>47</v>
      </c>
      <c r="G328" s="76" t="s">
        <v>34</v>
      </c>
      <c r="H328" s="76">
        <f>STOCK[[#This Row],[Precio Final]]</f>
        <v>20</v>
      </c>
      <c r="I328" s="76">
        <f>STOCK[[#This Row],[Precio Venta Ideal (x1.5)]]</f>
        <v>19.25</v>
      </c>
      <c r="J328" s="91">
        <v>2</v>
      </c>
      <c r="K328" s="91">
        <f>SUMIFS(VENTAS[Cantidad],VENTAS[Código del producto Vendido],STOCK[[#This Row],[Code]])</f>
        <v>0</v>
      </c>
      <c r="L328" s="91">
        <f>STOCK[[#This Row],[Entradas]]-STOCK[[#This Row],[Salidas]]</f>
        <v>2</v>
      </c>
      <c r="M328" s="76">
        <f>STOCK[[#This Row],[Precio Final]]*10%</f>
        <v>2</v>
      </c>
      <c r="N328" s="76">
        <v>123</v>
      </c>
      <c r="O328" s="76">
        <v>18</v>
      </c>
      <c r="P328" s="76">
        <v>6.83333333333333</v>
      </c>
      <c r="Q328" s="91">
        <v>500</v>
      </c>
      <c r="R328" s="76">
        <v>8</v>
      </c>
      <c r="S328" s="76">
        <f>STOCK[[#This Row],[Peso (g)]]*STOCK[[#This Row],[Precio Envío Kilogramo (USD)]]/1000</f>
        <v>4</v>
      </c>
      <c r="T328" s="76">
        <f>STOCK[[#This Row],[Costo Unitario (USD)]]+STOCK[[#This Row],[Costo Envío (USD)]]+STOCK[[#This Row],[Comisión 10%]]</f>
        <v>12.8333333333333</v>
      </c>
      <c r="U328" s="76">
        <f>STOCK[[#This Row],[Costo total]]*1.5</f>
        <v>19.25</v>
      </c>
      <c r="V328" s="76">
        <v>20</v>
      </c>
      <c r="W328" s="76">
        <f>STOCK[[#This Row],[Precio Final]]-STOCK[[#This Row],[Costo total]]</f>
        <v>7.16666666666667</v>
      </c>
      <c r="X328" s="76">
        <f>STOCK[[#This Row],[Ganancia Unitaria]]*STOCK[[#This Row],[Salidas]]</f>
        <v>0</v>
      </c>
      <c r="AA328" s="76">
        <f>STOCK[[#This Row],[Costo total]]*STOCK[[#This Row],[Entradas]]</f>
        <v>25.6666666666667</v>
      </c>
      <c r="AB328" s="76">
        <f>STOCK[[#This Row],[Stock Actual]]*STOCK[[#This Row],[Costo total]]</f>
        <v>25.6666666666667</v>
      </c>
      <c r="AC328" s="76">
        <v>18</v>
      </c>
    </row>
    <row r="329" s="77" customFormat="1" ht="50" hidden="1" customHeight="1" spans="1:29">
      <c r="A329" s="77" t="s">
        <v>688</v>
      </c>
      <c r="B329" s="6"/>
      <c r="C329" s="77" t="s">
        <v>30</v>
      </c>
      <c r="D329" s="77" t="s">
        <v>195</v>
      </c>
      <c r="E329" s="77" t="s">
        <v>689</v>
      </c>
      <c r="F329" s="77" t="s">
        <v>60</v>
      </c>
      <c r="G329" s="77" t="s">
        <v>34</v>
      </c>
      <c r="H329" s="77">
        <f>STOCK[[#This Row],[Precio Final]]</f>
        <v>15</v>
      </c>
      <c r="I329" s="77">
        <f>STOCK[[#This Row],[Precio Venta Ideal (x1.5)]]</f>
        <v>12.825</v>
      </c>
      <c r="J329" s="92">
        <v>2</v>
      </c>
      <c r="K329" s="92">
        <f>SUMIFS(VENTAS[Cantidad],VENTAS[Código del producto Vendido],STOCK[[#This Row],[Code]])</f>
        <v>0</v>
      </c>
      <c r="L329" s="92">
        <f>STOCK[[#This Row],[Entradas]]-STOCK[[#This Row],[Salidas]]</f>
        <v>2</v>
      </c>
      <c r="M329" s="77">
        <f>STOCK[[#This Row],[Precio Final]]*10%</f>
        <v>1.5</v>
      </c>
      <c r="N329" s="77">
        <v>81</v>
      </c>
      <c r="O329" s="77">
        <v>18</v>
      </c>
      <c r="P329" s="77">
        <v>4.5</v>
      </c>
      <c r="Q329" s="92">
        <v>150</v>
      </c>
      <c r="R329" s="77">
        <v>17</v>
      </c>
      <c r="S329" s="77">
        <f>STOCK[[#This Row],[Peso (g)]]*STOCK[[#This Row],[Precio Envío Kilogramo (USD)]]/1000</f>
        <v>2.55</v>
      </c>
      <c r="T329" s="76">
        <f>STOCK[[#This Row],[Costo Unitario (USD)]]+STOCK[[#This Row],[Costo Envío (USD)]]+STOCK[[#This Row],[Comisión 10%]]</f>
        <v>8.55</v>
      </c>
      <c r="U329" s="77">
        <f>STOCK[[#This Row],[Costo total]]*1.5</f>
        <v>12.825</v>
      </c>
      <c r="V329" s="77">
        <v>15</v>
      </c>
      <c r="W329" s="77">
        <f>STOCK[[#This Row],[Precio Final]]-STOCK[[#This Row],[Costo total]]</f>
        <v>6.45</v>
      </c>
      <c r="X329" s="77">
        <f>STOCK[[#This Row],[Ganancia Unitaria]]*STOCK[[#This Row],[Salidas]]</f>
        <v>0</v>
      </c>
      <c r="AA329" s="77">
        <f>STOCK[[#This Row],[Costo total]]*STOCK[[#This Row],[Entradas]]</f>
        <v>17.1</v>
      </c>
      <c r="AB329" s="77">
        <f>STOCK[[#This Row],[Stock Actual]]*STOCK[[#This Row],[Costo total]]</f>
        <v>17.1</v>
      </c>
      <c r="AC329" s="77">
        <v>12</v>
      </c>
    </row>
    <row r="330" s="76" customFormat="1" ht="50" hidden="1" customHeight="1" spans="1:28">
      <c r="A330" s="76" t="s">
        <v>690</v>
      </c>
      <c r="B330" s="6"/>
      <c r="C330" s="76" t="s">
        <v>30</v>
      </c>
      <c r="D330" s="76" t="s">
        <v>42</v>
      </c>
      <c r="E330" s="76" t="s">
        <v>691</v>
      </c>
      <c r="F330" s="76" t="s">
        <v>38</v>
      </c>
      <c r="G330" s="76" t="s">
        <v>34</v>
      </c>
      <c r="H330" s="76">
        <f>STOCK[[#This Row],[Precio Final]]</f>
        <v>11</v>
      </c>
      <c r="I330" s="76">
        <f>STOCK[[#This Row],[Precio Venta Ideal (x1.5)]]</f>
        <v>11.975</v>
      </c>
      <c r="J330" s="91">
        <v>2</v>
      </c>
      <c r="K330" s="91">
        <f>SUMIFS(VENTAS[Cantidad],VENTAS[Código del producto Vendido],STOCK[[#This Row],[Code]])</f>
        <v>2</v>
      </c>
      <c r="L330" s="91">
        <f>STOCK[[#This Row],[Entradas]]-STOCK[[#This Row],[Salidas]]</f>
        <v>0</v>
      </c>
      <c r="M330" s="76">
        <f>STOCK[[#This Row],[Precio Final]]*10%</f>
        <v>1.1</v>
      </c>
      <c r="N330" s="76">
        <v>78</v>
      </c>
      <c r="O330" s="76">
        <v>18</v>
      </c>
      <c r="P330" s="76">
        <v>4.33333333333333</v>
      </c>
      <c r="Q330" s="91">
        <v>150</v>
      </c>
      <c r="R330" s="76">
        <v>17</v>
      </c>
      <c r="S330" s="76">
        <f>STOCK[[#This Row],[Peso (g)]]*STOCK[[#This Row],[Precio Envío Kilogramo (USD)]]/1000</f>
        <v>2.55</v>
      </c>
      <c r="T330" s="76">
        <f>STOCK[[#This Row],[Costo Unitario (USD)]]+STOCK[[#This Row],[Costo Envío (USD)]]+STOCK[[#This Row],[Comisión 10%]]</f>
        <v>7.98333333333333</v>
      </c>
      <c r="U330" s="76">
        <f>STOCK[[#This Row],[Costo total]]*1.5</f>
        <v>11.975</v>
      </c>
      <c r="V330" s="76">
        <v>11</v>
      </c>
      <c r="W330" s="76">
        <f>STOCK[[#This Row],[Precio Final]]-STOCK[[#This Row],[Costo total]]</f>
        <v>3.01666666666667</v>
      </c>
      <c r="X330" s="76">
        <f>STOCK[[#This Row],[Ganancia Unitaria]]*STOCK[[#This Row],[Salidas]]</f>
        <v>6.03333333333334</v>
      </c>
      <c r="AA330" s="76">
        <f>STOCK[[#This Row],[Costo total]]*STOCK[[#This Row],[Entradas]]</f>
        <v>15.9666666666667</v>
      </c>
      <c r="AB330" s="76">
        <f>STOCK[[#This Row],[Stock Actual]]*STOCK[[#This Row],[Costo total]]</f>
        <v>0</v>
      </c>
    </row>
    <row r="331" s="77" customFormat="1" ht="50" hidden="1" customHeight="1" spans="1:28">
      <c r="A331" s="77" t="s">
        <v>692</v>
      </c>
      <c r="B331" s="6"/>
      <c r="C331" s="77" t="s">
        <v>30</v>
      </c>
      <c r="D331" s="77" t="s">
        <v>42</v>
      </c>
      <c r="E331" s="77" t="s">
        <v>693</v>
      </c>
      <c r="F331" s="77" t="s">
        <v>60</v>
      </c>
      <c r="G331" s="77" t="s">
        <v>34</v>
      </c>
      <c r="H331" s="77">
        <f>STOCK[[#This Row],[Precio Final]]</f>
        <v>5</v>
      </c>
      <c r="I331" s="77">
        <f>STOCK[[#This Row],[Precio Venta Ideal (x1.5)]]</f>
        <v>11.4083333333333</v>
      </c>
      <c r="J331" s="92">
        <v>2</v>
      </c>
      <c r="K331" s="92">
        <f>SUMIFS(VENTAS[Cantidad],VENTAS[Código del producto Vendido],STOCK[[#This Row],[Code]])</f>
        <v>2</v>
      </c>
      <c r="L331" s="92">
        <f>STOCK[[#This Row],[Entradas]]-STOCK[[#This Row],[Salidas]]</f>
        <v>0</v>
      </c>
      <c r="M331" s="77">
        <f>STOCK[[#This Row],[Precio Final]]*10%</f>
        <v>0.5</v>
      </c>
      <c r="N331" s="77">
        <v>82</v>
      </c>
      <c r="O331" s="77">
        <v>18</v>
      </c>
      <c r="P331" s="77">
        <v>4.55555555555556</v>
      </c>
      <c r="Q331" s="92">
        <v>150</v>
      </c>
      <c r="R331" s="77">
        <v>17</v>
      </c>
      <c r="S331" s="77">
        <f>STOCK[[#This Row],[Peso (g)]]*STOCK[[#This Row],[Precio Envío Kilogramo (USD)]]/1000</f>
        <v>2.55</v>
      </c>
      <c r="T331" s="76">
        <f>STOCK[[#This Row],[Costo Unitario (USD)]]+STOCK[[#This Row],[Costo Envío (USD)]]+STOCK[[#This Row],[Comisión 10%]]</f>
        <v>7.60555555555556</v>
      </c>
      <c r="U331" s="77">
        <f>STOCK[[#This Row],[Costo total]]*1.5</f>
        <v>11.4083333333333</v>
      </c>
      <c r="V331" s="77">
        <v>5</v>
      </c>
      <c r="W331" s="77">
        <f>STOCK[[#This Row],[Precio Final]]-STOCK[[#This Row],[Costo total]]</f>
        <v>-2.60555555555556</v>
      </c>
      <c r="X331" s="77">
        <f>STOCK[[#This Row],[Ganancia Unitaria]]*STOCK[[#This Row],[Salidas]]</f>
        <v>-5.21111111111112</v>
      </c>
      <c r="AA331" s="77">
        <f>STOCK[[#This Row],[Costo total]]*STOCK[[#This Row],[Entradas]]</f>
        <v>15.2111111111111</v>
      </c>
      <c r="AB331" s="77">
        <f>STOCK[[#This Row],[Stock Actual]]*STOCK[[#This Row],[Costo total]]</f>
        <v>0</v>
      </c>
    </row>
    <row r="332" s="76" customFormat="1" ht="50" hidden="1" customHeight="1" spans="1:28">
      <c r="A332" s="76" t="s">
        <v>694</v>
      </c>
      <c r="B332" s="6"/>
      <c r="C332" s="76" t="s">
        <v>30</v>
      </c>
      <c r="D332" s="76" t="s">
        <v>42</v>
      </c>
      <c r="E332" s="76" t="s">
        <v>695</v>
      </c>
      <c r="F332" s="76" t="s">
        <v>210</v>
      </c>
      <c r="G332" s="76" t="s">
        <v>34</v>
      </c>
      <c r="H332" s="76">
        <f>STOCK[[#This Row],[Precio Final]]</f>
        <v>10</v>
      </c>
      <c r="I332" s="76">
        <f>STOCK[[#This Row],[Precio Venta Ideal (x1.5)]]</f>
        <v>12.1583333333333</v>
      </c>
      <c r="J332" s="91">
        <v>2</v>
      </c>
      <c r="K332" s="91">
        <f>SUMIFS(VENTAS[Cantidad],VENTAS[Código del producto Vendido],STOCK[[#This Row],[Code]])</f>
        <v>2</v>
      </c>
      <c r="L332" s="91">
        <f>STOCK[[#This Row],[Entradas]]-STOCK[[#This Row],[Salidas]]</f>
        <v>0</v>
      </c>
      <c r="M332" s="76">
        <f>STOCK[[#This Row],[Precio Final]]*10%</f>
        <v>1</v>
      </c>
      <c r="N332" s="76">
        <v>82</v>
      </c>
      <c r="O332" s="76">
        <v>18</v>
      </c>
      <c r="P332" s="76">
        <v>4.55555555555556</v>
      </c>
      <c r="Q332" s="91">
        <v>150</v>
      </c>
      <c r="R332" s="76">
        <v>17</v>
      </c>
      <c r="S332" s="76">
        <f>STOCK[[#This Row],[Peso (g)]]*STOCK[[#This Row],[Precio Envío Kilogramo (USD)]]/1000</f>
        <v>2.55</v>
      </c>
      <c r="T332" s="76">
        <f>STOCK[[#This Row],[Costo Unitario (USD)]]+STOCK[[#This Row],[Costo Envío (USD)]]+STOCK[[#This Row],[Comisión 10%]]</f>
        <v>8.10555555555556</v>
      </c>
      <c r="U332" s="76">
        <f>STOCK[[#This Row],[Costo total]]*1.5</f>
        <v>12.1583333333333</v>
      </c>
      <c r="V332" s="76">
        <v>10</v>
      </c>
      <c r="W332" s="76">
        <f>STOCK[[#This Row],[Precio Final]]-STOCK[[#This Row],[Costo total]]</f>
        <v>1.89444444444444</v>
      </c>
      <c r="X332" s="76">
        <f>STOCK[[#This Row],[Ganancia Unitaria]]*STOCK[[#This Row],[Salidas]]</f>
        <v>3.78888888888888</v>
      </c>
      <c r="AA332" s="76">
        <f>STOCK[[#This Row],[Costo total]]*STOCK[[#This Row],[Entradas]]</f>
        <v>16.2111111111111</v>
      </c>
      <c r="AB332" s="76">
        <f>STOCK[[#This Row],[Stock Actual]]*STOCK[[#This Row],[Costo total]]</f>
        <v>0</v>
      </c>
    </row>
    <row r="333" s="77" customFormat="1" ht="50" hidden="1" customHeight="1" spans="1:28">
      <c r="A333" s="77" t="s">
        <v>696</v>
      </c>
      <c r="B333" s="6"/>
      <c r="C333" s="77" t="s">
        <v>30</v>
      </c>
      <c r="D333" s="77" t="s">
        <v>42</v>
      </c>
      <c r="E333" s="77" t="s">
        <v>697</v>
      </c>
      <c r="F333" s="77" t="s">
        <v>38</v>
      </c>
      <c r="G333" s="77" t="s">
        <v>34</v>
      </c>
      <c r="H333" s="77">
        <f>STOCK[[#This Row],[Precio Final]]</f>
        <v>10</v>
      </c>
      <c r="I333" s="77">
        <f>STOCK[[#This Row],[Precio Venta Ideal (x1.5)]]</f>
        <v>12.1583333333333</v>
      </c>
      <c r="J333" s="92">
        <v>2</v>
      </c>
      <c r="K333" s="92">
        <f>SUMIFS(VENTAS[Cantidad],VENTAS[Código del producto Vendido],STOCK[[#This Row],[Code]])</f>
        <v>2</v>
      </c>
      <c r="L333" s="92">
        <f>STOCK[[#This Row],[Entradas]]-STOCK[[#This Row],[Salidas]]</f>
        <v>0</v>
      </c>
      <c r="M333" s="77">
        <f>STOCK[[#This Row],[Precio Final]]*10%</f>
        <v>1</v>
      </c>
      <c r="N333" s="77">
        <v>82</v>
      </c>
      <c r="O333" s="77">
        <v>18</v>
      </c>
      <c r="P333" s="77">
        <v>4.55555555555556</v>
      </c>
      <c r="Q333" s="92">
        <v>150</v>
      </c>
      <c r="R333" s="77">
        <v>17</v>
      </c>
      <c r="S333" s="77">
        <f>STOCK[[#This Row],[Peso (g)]]*STOCK[[#This Row],[Precio Envío Kilogramo (USD)]]/1000</f>
        <v>2.55</v>
      </c>
      <c r="T333" s="76">
        <f>STOCK[[#This Row],[Costo Unitario (USD)]]+STOCK[[#This Row],[Costo Envío (USD)]]+STOCK[[#This Row],[Comisión 10%]]</f>
        <v>8.10555555555556</v>
      </c>
      <c r="U333" s="77">
        <f>STOCK[[#This Row],[Costo total]]*1.5</f>
        <v>12.1583333333333</v>
      </c>
      <c r="V333" s="77">
        <v>10</v>
      </c>
      <c r="W333" s="77">
        <f>STOCK[[#This Row],[Precio Final]]-STOCK[[#This Row],[Costo total]]</f>
        <v>1.89444444444444</v>
      </c>
      <c r="X333" s="77">
        <f>STOCK[[#This Row],[Ganancia Unitaria]]*STOCK[[#This Row],[Salidas]]</f>
        <v>3.78888888888888</v>
      </c>
      <c r="AA333" s="77">
        <f>STOCK[[#This Row],[Costo total]]*STOCK[[#This Row],[Entradas]]</f>
        <v>16.2111111111111</v>
      </c>
      <c r="AB333" s="77">
        <f>STOCK[[#This Row],[Stock Actual]]*STOCK[[#This Row],[Costo total]]</f>
        <v>0</v>
      </c>
    </row>
    <row r="334" s="76" customFormat="1" ht="50" hidden="1" customHeight="1" spans="1:29">
      <c r="A334" s="76" t="s">
        <v>698</v>
      </c>
      <c r="B334" s="6"/>
      <c r="C334" s="76" t="s">
        <v>30</v>
      </c>
      <c r="D334" s="76" t="s">
        <v>215</v>
      </c>
      <c r="E334" s="76" t="s">
        <v>699</v>
      </c>
      <c r="F334" s="76" t="s">
        <v>47</v>
      </c>
      <c r="G334" s="76" t="s">
        <v>34</v>
      </c>
      <c r="H334" s="76">
        <f>STOCK[[#This Row],[Precio Final]]</f>
        <v>15</v>
      </c>
      <c r="I334" s="76">
        <f>STOCK[[#This Row],[Precio Venta Ideal (x1.5)]]</f>
        <v>12.9083333333333</v>
      </c>
      <c r="J334" s="91">
        <v>2</v>
      </c>
      <c r="K334" s="91">
        <f>SUMIFS(VENTAS[Cantidad],VENTAS[Código del producto Vendido],STOCK[[#This Row],[Code]])</f>
        <v>0</v>
      </c>
      <c r="L334" s="91">
        <f>STOCK[[#This Row],[Entradas]]-STOCK[[#This Row],[Salidas]]</f>
        <v>2</v>
      </c>
      <c r="M334" s="76">
        <f>STOCK[[#This Row],[Precio Final]]*10%</f>
        <v>1.5</v>
      </c>
      <c r="N334" s="76">
        <v>82</v>
      </c>
      <c r="O334" s="76">
        <v>18</v>
      </c>
      <c r="P334" s="76">
        <v>4.55555555555556</v>
      </c>
      <c r="Q334" s="91">
        <v>150</v>
      </c>
      <c r="R334" s="76">
        <v>17</v>
      </c>
      <c r="S334" s="76">
        <f>STOCK[[#This Row],[Peso (g)]]*STOCK[[#This Row],[Precio Envío Kilogramo (USD)]]/1000</f>
        <v>2.55</v>
      </c>
      <c r="T334" s="76">
        <f>STOCK[[#This Row],[Costo Unitario (USD)]]+STOCK[[#This Row],[Costo Envío (USD)]]+STOCK[[#This Row],[Comisión 10%]]</f>
        <v>8.60555555555556</v>
      </c>
      <c r="U334" s="76">
        <f>STOCK[[#This Row],[Costo total]]*1.5</f>
        <v>12.9083333333333</v>
      </c>
      <c r="V334" s="76">
        <v>15</v>
      </c>
      <c r="W334" s="76">
        <f>STOCK[[#This Row],[Precio Final]]-STOCK[[#This Row],[Costo total]]</f>
        <v>6.39444444444444</v>
      </c>
      <c r="X334" s="76">
        <f>STOCK[[#This Row],[Ganancia Unitaria]]*STOCK[[#This Row],[Salidas]]</f>
        <v>0</v>
      </c>
      <c r="AA334" s="76">
        <f>STOCK[[#This Row],[Costo total]]*STOCK[[#This Row],[Entradas]]</f>
        <v>17.2111111111111</v>
      </c>
      <c r="AB334" s="76">
        <f>STOCK[[#This Row],[Stock Actual]]*STOCK[[#This Row],[Costo total]]</f>
        <v>17.2111111111111</v>
      </c>
      <c r="AC334" s="76">
        <v>12</v>
      </c>
    </row>
    <row r="335" s="77" customFormat="1" ht="50" hidden="1" customHeight="1" spans="1:28">
      <c r="A335" s="77" t="s">
        <v>700</v>
      </c>
      <c r="B335" s="6"/>
      <c r="C335" s="77" t="s">
        <v>30</v>
      </c>
      <c r="D335" s="77" t="s">
        <v>42</v>
      </c>
      <c r="E335" s="77" t="s">
        <v>701</v>
      </c>
      <c r="F335" s="77" t="s">
        <v>38</v>
      </c>
      <c r="G335" s="77" t="s">
        <v>702</v>
      </c>
      <c r="H335" s="77">
        <f>STOCK[[#This Row],[Precio Final]]</f>
        <v>18</v>
      </c>
      <c r="I335" s="77">
        <f>STOCK[[#This Row],[Precio Venta Ideal (x1.5)]]</f>
        <v>28.305</v>
      </c>
      <c r="J335" s="92">
        <v>1</v>
      </c>
      <c r="K335" s="92">
        <f>SUMIFS(VENTAS[Cantidad],VENTAS[Código del producto Vendido],STOCK[[#This Row],[Code]])</f>
        <v>1</v>
      </c>
      <c r="L335" s="92">
        <f>STOCK[[#This Row],[Entradas]]-STOCK[[#This Row],[Salidas]]</f>
        <v>0</v>
      </c>
      <c r="M335" s="77">
        <f>STOCK[[#This Row],[Precio Final]]*10%</f>
        <v>1.8</v>
      </c>
      <c r="N335" s="77">
        <v>248</v>
      </c>
      <c r="O335" s="77">
        <v>18</v>
      </c>
      <c r="P335" s="77">
        <v>15.57</v>
      </c>
      <c r="Q335" s="92">
        <v>150</v>
      </c>
      <c r="R335" s="77">
        <v>10</v>
      </c>
      <c r="S335" s="77">
        <f>STOCK[[#This Row],[Peso (g)]]*STOCK[[#This Row],[Precio Envío Kilogramo (USD)]]/1000</f>
        <v>1.5</v>
      </c>
      <c r="T335" s="76">
        <f>STOCK[[#This Row],[Costo Unitario (USD)]]+STOCK[[#This Row],[Costo Envío (USD)]]+STOCK[[#This Row],[Comisión 10%]]</f>
        <v>18.87</v>
      </c>
      <c r="U335" s="77">
        <f>STOCK[[#This Row],[Costo total]]*1.5</f>
        <v>28.305</v>
      </c>
      <c r="V335" s="77">
        <v>18</v>
      </c>
      <c r="W335" s="77">
        <f>STOCK[[#This Row],[Precio Final]]-STOCK[[#This Row],[Costo total]]</f>
        <v>-0.870000000000001</v>
      </c>
      <c r="X335" s="77">
        <f>STOCK[[#This Row],[Ganancia Unitaria]]*STOCK[[#This Row],[Salidas]]</f>
        <v>-0.870000000000001</v>
      </c>
      <c r="AA335" s="77">
        <f>STOCK[[#This Row],[Costo total]]*STOCK[[#This Row],[Entradas]]</f>
        <v>18.87</v>
      </c>
      <c r="AB335" s="77">
        <f>STOCK[[#This Row],[Stock Actual]]*STOCK[[#This Row],[Costo total]]</f>
        <v>0</v>
      </c>
    </row>
    <row r="336" s="76" customFormat="1" ht="50" hidden="1" customHeight="1" spans="1:29">
      <c r="A336" s="76" t="s">
        <v>703</v>
      </c>
      <c r="B336" s="6"/>
      <c r="C336" s="76" t="s">
        <v>30</v>
      </c>
      <c r="D336" s="76" t="s">
        <v>704</v>
      </c>
      <c r="E336" s="76" t="s">
        <v>705</v>
      </c>
      <c r="F336" s="76" t="s">
        <v>38</v>
      </c>
      <c r="G336" s="76" t="s">
        <v>702</v>
      </c>
      <c r="H336" s="76">
        <f>STOCK[[#This Row],[Precio Final]]</f>
        <v>15</v>
      </c>
      <c r="I336" s="76">
        <f>STOCK[[#This Row],[Precio Venta Ideal (x1.5)]]</f>
        <v>14.85</v>
      </c>
      <c r="J336" s="91">
        <v>1</v>
      </c>
      <c r="K336" s="91">
        <f>SUMIFS(VENTAS[Cantidad],VENTAS[Código del producto Vendido],STOCK[[#This Row],[Code]])</f>
        <v>0</v>
      </c>
      <c r="L336" s="91">
        <f>STOCK[[#This Row],[Entradas]]-STOCK[[#This Row],[Salidas]]</f>
        <v>1</v>
      </c>
      <c r="M336" s="76">
        <f>STOCK[[#This Row],[Precio Final]]*10%</f>
        <v>1.5</v>
      </c>
      <c r="N336" s="76">
        <v>129</v>
      </c>
      <c r="O336" s="76">
        <v>18</v>
      </c>
      <c r="P336" s="76">
        <v>8</v>
      </c>
      <c r="Q336" s="91">
        <v>40</v>
      </c>
      <c r="R336" s="76">
        <v>10</v>
      </c>
      <c r="S336" s="76">
        <f>STOCK[[#This Row],[Peso (g)]]*STOCK[[#This Row],[Precio Envío Kilogramo (USD)]]/1000</f>
        <v>0.4</v>
      </c>
      <c r="T336" s="76">
        <f>STOCK[[#This Row],[Costo Unitario (USD)]]+STOCK[[#This Row],[Costo Envío (USD)]]+STOCK[[#This Row],[Comisión 10%]]</f>
        <v>9.9</v>
      </c>
      <c r="U336" s="76">
        <f>STOCK[[#This Row],[Costo total]]*1.5</f>
        <v>14.85</v>
      </c>
      <c r="V336" s="76">
        <v>15</v>
      </c>
      <c r="W336" s="76">
        <f>STOCK[[#This Row],[Precio Final]]-STOCK[[#This Row],[Costo total]]</f>
        <v>5.1</v>
      </c>
      <c r="X336" s="76">
        <f>STOCK[[#This Row],[Ganancia Unitaria]]*STOCK[[#This Row],[Salidas]]</f>
        <v>0</v>
      </c>
      <c r="AA336" s="76">
        <f>STOCK[[#This Row],[Costo total]]*STOCK[[#This Row],[Entradas]]</f>
        <v>9.9</v>
      </c>
      <c r="AB336" s="76">
        <f>STOCK[[#This Row],[Stock Actual]]*STOCK[[#This Row],[Costo total]]</f>
        <v>9.9</v>
      </c>
      <c r="AC336" s="76">
        <v>12</v>
      </c>
    </row>
    <row r="337" s="77" customFormat="1" ht="50" hidden="1" customHeight="1" spans="1:28">
      <c r="A337" s="77" t="s">
        <v>706</v>
      </c>
      <c r="B337" s="6"/>
      <c r="C337" s="77" t="s">
        <v>30</v>
      </c>
      <c r="D337" s="77" t="s">
        <v>173</v>
      </c>
      <c r="E337" s="77" t="s">
        <v>707</v>
      </c>
      <c r="F337" s="77" t="s">
        <v>38</v>
      </c>
      <c r="G337" s="77" t="s">
        <v>702</v>
      </c>
      <c r="H337" s="77">
        <f>STOCK[[#This Row],[Precio Final]]</f>
        <v>17</v>
      </c>
      <c r="I337" s="77">
        <f>STOCK[[#This Row],[Precio Venta Ideal (x1.5)]]</f>
        <v>19.65</v>
      </c>
      <c r="J337" s="92">
        <v>1</v>
      </c>
      <c r="K337" s="92">
        <f>SUMIFS(VENTAS[Cantidad],VENTAS[Código del producto Vendido],STOCK[[#This Row],[Code]])</f>
        <v>1</v>
      </c>
      <c r="L337" s="92">
        <f>STOCK[[#This Row],[Entradas]]-STOCK[[#This Row],[Salidas]]</f>
        <v>0</v>
      </c>
      <c r="M337" s="77">
        <f>STOCK[[#This Row],[Precio Final]]*10%</f>
        <v>1.7</v>
      </c>
      <c r="N337" s="77">
        <v>198</v>
      </c>
      <c r="O337" s="77">
        <v>18</v>
      </c>
      <c r="P337" s="77">
        <v>11</v>
      </c>
      <c r="Q337" s="92">
        <v>40</v>
      </c>
      <c r="R337" s="77">
        <v>10</v>
      </c>
      <c r="S337" s="77">
        <f>STOCK[[#This Row],[Peso (g)]]*STOCK[[#This Row],[Precio Envío Kilogramo (USD)]]/1000</f>
        <v>0.4</v>
      </c>
      <c r="T337" s="76">
        <f>STOCK[[#This Row],[Costo Unitario (USD)]]+STOCK[[#This Row],[Costo Envío (USD)]]+STOCK[[#This Row],[Comisión 10%]]</f>
        <v>13.1</v>
      </c>
      <c r="U337" s="77">
        <f>STOCK[[#This Row],[Costo total]]*1.5</f>
        <v>19.65</v>
      </c>
      <c r="V337" s="77">
        <v>17</v>
      </c>
      <c r="W337" s="77">
        <f>STOCK[[#This Row],[Precio Final]]-STOCK[[#This Row],[Costo total]]</f>
        <v>3.9</v>
      </c>
      <c r="X337" s="77">
        <f>STOCK[[#This Row],[Ganancia Unitaria]]*STOCK[[#This Row],[Salidas]]</f>
        <v>3.9</v>
      </c>
      <c r="AA337" s="77">
        <f>STOCK[[#This Row],[Costo total]]*STOCK[[#This Row],[Entradas]]</f>
        <v>13.1</v>
      </c>
      <c r="AB337" s="77">
        <f>STOCK[[#This Row],[Stock Actual]]*STOCK[[#This Row],[Costo total]]</f>
        <v>0</v>
      </c>
    </row>
    <row r="338" s="76" customFormat="1" ht="50" hidden="1" customHeight="1" spans="1:29">
      <c r="A338" s="76" t="s">
        <v>708</v>
      </c>
      <c r="B338" s="6"/>
      <c r="C338" s="76" t="s">
        <v>30</v>
      </c>
      <c r="D338" s="76" t="s">
        <v>709</v>
      </c>
      <c r="E338" s="76" t="s">
        <v>710</v>
      </c>
      <c r="F338" s="76" t="s">
        <v>38</v>
      </c>
      <c r="G338" s="76" t="s">
        <v>702</v>
      </c>
      <c r="H338" s="76">
        <f>STOCK[[#This Row],[Precio Final]]</f>
        <v>50</v>
      </c>
      <c r="I338" s="76">
        <f>STOCK[[#This Row],[Precio Venta Ideal (x1.5)]]</f>
        <v>54.1666666666667</v>
      </c>
      <c r="J338" s="91">
        <v>1</v>
      </c>
      <c r="K338" s="91">
        <f>SUMIFS(VENTAS[Cantidad],VENTAS[Código del producto Vendido],STOCK[[#This Row],[Code]])</f>
        <v>0</v>
      </c>
      <c r="L338" s="91">
        <f>STOCK[[#This Row],[Entradas]]-STOCK[[#This Row],[Salidas]]</f>
        <v>1</v>
      </c>
      <c r="M338" s="76">
        <f>STOCK[[#This Row],[Precio Final]]*10%</f>
        <v>5</v>
      </c>
      <c r="N338" s="76">
        <v>497</v>
      </c>
      <c r="O338" s="76">
        <v>18</v>
      </c>
      <c r="P338" s="76">
        <v>27.6111111111111</v>
      </c>
      <c r="Q338" s="91">
        <v>350</v>
      </c>
      <c r="R338" s="76">
        <v>10</v>
      </c>
      <c r="S338" s="76">
        <f>STOCK[[#This Row],[Peso (g)]]*STOCK[[#This Row],[Precio Envío Kilogramo (USD)]]/1000</f>
        <v>3.5</v>
      </c>
      <c r="T338" s="76">
        <f>STOCK[[#This Row],[Costo Unitario (USD)]]+STOCK[[#This Row],[Costo Envío (USD)]]+STOCK[[#This Row],[Comisión 10%]]</f>
        <v>36.1111111111111</v>
      </c>
      <c r="U338" s="76">
        <f>STOCK[[#This Row],[Costo total]]*1.5</f>
        <v>54.1666666666667</v>
      </c>
      <c r="V338" s="76">
        <v>50</v>
      </c>
      <c r="W338" s="76">
        <f>STOCK[[#This Row],[Precio Final]]-STOCK[[#This Row],[Costo total]]</f>
        <v>13.8888888888889</v>
      </c>
      <c r="X338" s="76">
        <f>STOCK[[#This Row],[Ganancia Unitaria]]*STOCK[[#This Row],[Salidas]]</f>
        <v>0</v>
      </c>
      <c r="AA338" s="76">
        <f>STOCK[[#This Row],[Costo total]]*STOCK[[#This Row],[Entradas]]</f>
        <v>36.1111111111111</v>
      </c>
      <c r="AB338" s="76">
        <f>STOCK[[#This Row],[Stock Actual]]*STOCK[[#This Row],[Costo total]]</f>
        <v>36.1111111111111</v>
      </c>
      <c r="AC338" s="76">
        <v>40</v>
      </c>
    </row>
    <row r="339" s="77" customFormat="1" ht="50" hidden="1" customHeight="1" spans="1:29">
      <c r="A339" s="77" t="s">
        <v>711</v>
      </c>
      <c r="B339" s="6"/>
      <c r="C339" s="77" t="s">
        <v>30</v>
      </c>
      <c r="D339" s="76" t="s">
        <v>712</v>
      </c>
      <c r="E339" s="77" t="s">
        <v>713</v>
      </c>
      <c r="F339" s="77" t="s">
        <v>714</v>
      </c>
      <c r="G339" s="77" t="s">
        <v>702</v>
      </c>
      <c r="H339" s="77">
        <f>STOCK[[#This Row],[Precio Final]]</f>
        <v>20</v>
      </c>
      <c r="I339" s="77">
        <f>STOCK[[#This Row],[Precio Venta Ideal (x1.5)]]</f>
        <v>22.4166666666667</v>
      </c>
      <c r="J339" s="92">
        <v>2</v>
      </c>
      <c r="K339" s="92">
        <f>SUMIFS(VENTAS[Cantidad],VENTAS[Código del producto Vendido],STOCK[[#This Row],[Code]])</f>
        <v>0</v>
      </c>
      <c r="L339" s="92">
        <f>STOCK[[#This Row],[Entradas]]-STOCK[[#This Row],[Salidas]]</f>
        <v>2</v>
      </c>
      <c r="M339" s="77">
        <f>STOCK[[#This Row],[Precio Final]]*10%</f>
        <v>2</v>
      </c>
      <c r="N339" s="77">
        <v>170</v>
      </c>
      <c r="O339" s="77">
        <v>18</v>
      </c>
      <c r="P339" s="77">
        <v>9.44444444444444</v>
      </c>
      <c r="Q339" s="92">
        <v>350</v>
      </c>
      <c r="R339" s="77">
        <v>10</v>
      </c>
      <c r="S339" s="77">
        <f>STOCK[[#This Row],[Peso (g)]]*STOCK[[#This Row],[Precio Envío Kilogramo (USD)]]/1000</f>
        <v>3.5</v>
      </c>
      <c r="T339" s="76">
        <f>STOCK[[#This Row],[Costo Unitario (USD)]]+STOCK[[#This Row],[Costo Envío (USD)]]+STOCK[[#This Row],[Comisión 10%]]</f>
        <v>14.9444444444444</v>
      </c>
      <c r="U339" s="77">
        <f>STOCK[[#This Row],[Costo total]]*1.5</f>
        <v>22.4166666666667</v>
      </c>
      <c r="V339" s="77">
        <v>20</v>
      </c>
      <c r="W339" s="77">
        <f>STOCK[[#This Row],[Precio Final]]-STOCK[[#This Row],[Costo total]]</f>
        <v>5.05555555555556</v>
      </c>
      <c r="X339" s="77">
        <f>STOCK[[#This Row],[Ganancia Unitaria]]*STOCK[[#This Row],[Salidas]]</f>
        <v>0</v>
      </c>
      <c r="AA339" s="77">
        <f>STOCK[[#This Row],[Costo total]]*STOCK[[#This Row],[Entradas]]</f>
        <v>29.8888888888889</v>
      </c>
      <c r="AB339" s="77">
        <f>STOCK[[#This Row],[Stock Actual]]*STOCK[[#This Row],[Costo total]]</f>
        <v>29.8888888888889</v>
      </c>
      <c r="AC339" s="77">
        <v>18</v>
      </c>
    </row>
    <row r="340" s="76" customFormat="1" ht="50" hidden="1" customHeight="1" spans="1:29">
      <c r="A340" s="76" t="s">
        <v>715</v>
      </c>
      <c r="B340" s="6"/>
      <c r="C340" s="76" t="s">
        <v>30</v>
      </c>
      <c r="D340" s="76" t="s">
        <v>712</v>
      </c>
      <c r="E340" s="76" t="s">
        <v>713</v>
      </c>
      <c r="F340" s="76" t="s">
        <v>60</v>
      </c>
      <c r="G340" s="76" t="s">
        <v>702</v>
      </c>
      <c r="H340" s="76">
        <f>STOCK[[#This Row],[Precio Final]]</f>
        <v>20</v>
      </c>
      <c r="I340" s="76">
        <f>STOCK[[#This Row],[Precio Venta Ideal (x1.5)]]</f>
        <v>22.4166666666667</v>
      </c>
      <c r="J340" s="91">
        <v>3</v>
      </c>
      <c r="K340" s="91">
        <f>SUMIFS(VENTAS[Cantidad],VENTAS[Código del producto Vendido],STOCK[[#This Row],[Code]])</f>
        <v>1</v>
      </c>
      <c r="L340" s="91">
        <f>STOCK[[#This Row],[Entradas]]-STOCK[[#This Row],[Salidas]]</f>
        <v>2</v>
      </c>
      <c r="M340" s="76">
        <f>STOCK[[#This Row],[Precio Final]]*10%</f>
        <v>2</v>
      </c>
      <c r="N340" s="76">
        <v>170</v>
      </c>
      <c r="O340" s="76">
        <v>18</v>
      </c>
      <c r="P340" s="76">
        <v>9.44444444444444</v>
      </c>
      <c r="Q340" s="91">
        <v>350</v>
      </c>
      <c r="R340" s="76">
        <v>10</v>
      </c>
      <c r="S340" s="76">
        <f>STOCK[[#This Row],[Peso (g)]]*STOCK[[#This Row],[Precio Envío Kilogramo (USD)]]/1000</f>
        <v>3.5</v>
      </c>
      <c r="T340" s="76">
        <f>STOCK[[#This Row],[Costo Unitario (USD)]]+STOCK[[#This Row],[Costo Envío (USD)]]+STOCK[[#This Row],[Comisión 10%]]</f>
        <v>14.9444444444444</v>
      </c>
      <c r="U340" s="76">
        <f>STOCK[[#This Row],[Costo total]]*1.5</f>
        <v>22.4166666666667</v>
      </c>
      <c r="V340" s="76">
        <v>20</v>
      </c>
      <c r="W340" s="76">
        <f>STOCK[[#This Row],[Precio Final]]-STOCK[[#This Row],[Costo total]]</f>
        <v>5.05555555555556</v>
      </c>
      <c r="X340" s="76">
        <f>STOCK[[#This Row],[Ganancia Unitaria]]*STOCK[[#This Row],[Salidas]]</f>
        <v>5.05555555555556</v>
      </c>
      <c r="AA340" s="76">
        <f>STOCK[[#This Row],[Costo total]]*STOCK[[#This Row],[Entradas]]</f>
        <v>44.8333333333333</v>
      </c>
      <c r="AB340" s="76">
        <f>STOCK[[#This Row],[Stock Actual]]*STOCK[[#This Row],[Costo total]]</f>
        <v>29.8888888888889</v>
      </c>
      <c r="AC340" s="76">
        <v>18</v>
      </c>
    </row>
    <row r="341" s="77" customFormat="1" ht="50" hidden="1" customHeight="1" spans="1:28">
      <c r="A341" s="77" t="s">
        <v>716</v>
      </c>
      <c r="B341" s="6"/>
      <c r="C341" s="77" t="s">
        <v>30</v>
      </c>
      <c r="D341" s="77" t="s">
        <v>42</v>
      </c>
      <c r="E341" s="77" t="s">
        <v>717</v>
      </c>
      <c r="F341" s="77" t="s">
        <v>718</v>
      </c>
      <c r="G341" s="77" t="s">
        <v>702</v>
      </c>
      <c r="H341" s="77">
        <f>STOCK[[#This Row],[Precio Final]]</f>
        <v>15</v>
      </c>
      <c r="I341" s="77">
        <f>STOCK[[#This Row],[Precio Venta Ideal (x1.5)]]</f>
        <v>10.8333333333333</v>
      </c>
      <c r="J341" s="92">
        <v>4</v>
      </c>
      <c r="K341" s="92">
        <f>SUMIFS(VENTAS[Cantidad],VENTAS[Código del producto Vendido],STOCK[[#This Row],[Code]])</f>
        <v>4</v>
      </c>
      <c r="L341" s="92">
        <f>STOCK[[#This Row],[Entradas]]-STOCK[[#This Row],[Salidas]]</f>
        <v>0</v>
      </c>
      <c r="M341" s="77">
        <f>STOCK[[#This Row],[Precio Final]]*10%</f>
        <v>1.5</v>
      </c>
      <c r="N341" s="77">
        <v>85</v>
      </c>
      <c r="O341" s="77">
        <v>18</v>
      </c>
      <c r="P341" s="77">
        <v>4.72222222222222</v>
      </c>
      <c r="Q341" s="92">
        <v>100</v>
      </c>
      <c r="R341" s="77">
        <v>10</v>
      </c>
      <c r="S341" s="77">
        <f>STOCK[[#This Row],[Peso (g)]]*STOCK[[#This Row],[Precio Envío Kilogramo (USD)]]/1000</f>
        <v>1</v>
      </c>
      <c r="T341" s="76">
        <f>STOCK[[#This Row],[Costo Unitario (USD)]]+STOCK[[#This Row],[Costo Envío (USD)]]+STOCK[[#This Row],[Comisión 10%]]</f>
        <v>7.22222222222222</v>
      </c>
      <c r="U341" s="77">
        <f>STOCK[[#This Row],[Costo total]]*1.5</f>
        <v>10.8333333333333</v>
      </c>
      <c r="V341" s="77">
        <v>15</v>
      </c>
      <c r="W341" s="77">
        <f>STOCK[[#This Row],[Precio Final]]-STOCK[[#This Row],[Costo total]]</f>
        <v>7.77777777777778</v>
      </c>
      <c r="X341" s="77">
        <f>STOCK[[#This Row],[Ganancia Unitaria]]*STOCK[[#This Row],[Salidas]]</f>
        <v>31.1111111111111</v>
      </c>
      <c r="AA341" s="77">
        <f>STOCK[[#This Row],[Costo total]]*STOCK[[#This Row],[Entradas]]</f>
        <v>28.8888888888889</v>
      </c>
      <c r="AB341" s="77">
        <f>STOCK[[#This Row],[Stock Actual]]*STOCK[[#This Row],[Costo total]]</f>
        <v>0</v>
      </c>
    </row>
    <row r="342" s="76" customFormat="1" ht="50" hidden="1" customHeight="1" spans="1:28">
      <c r="A342" s="76" t="s">
        <v>719</v>
      </c>
      <c r="B342" s="6"/>
      <c r="C342" s="76" t="s">
        <v>30</v>
      </c>
      <c r="D342" s="76" t="s">
        <v>173</v>
      </c>
      <c r="E342" s="76" t="s">
        <v>720</v>
      </c>
      <c r="F342" s="76" t="s">
        <v>44</v>
      </c>
      <c r="G342" s="76" t="s">
        <v>702</v>
      </c>
      <c r="H342" s="76">
        <f>STOCK[[#This Row],[Precio Final]]</f>
        <v>9</v>
      </c>
      <c r="I342" s="76">
        <f>STOCK[[#This Row],[Precio Venta Ideal (x1.5)]]</f>
        <v>8.88333333333333</v>
      </c>
      <c r="J342" s="91">
        <v>2</v>
      </c>
      <c r="K342" s="91">
        <f>SUMIFS(VENTAS[Cantidad],VENTAS[Código del producto Vendido],STOCK[[#This Row],[Code]])</f>
        <v>2</v>
      </c>
      <c r="L342" s="91">
        <f>STOCK[[#This Row],[Entradas]]-STOCK[[#This Row],[Salidas]]</f>
        <v>0</v>
      </c>
      <c r="M342" s="76">
        <f>STOCK[[#This Row],[Precio Final]]*10%</f>
        <v>0.9</v>
      </c>
      <c r="N342" s="76">
        <v>85</v>
      </c>
      <c r="O342" s="76">
        <v>18</v>
      </c>
      <c r="P342" s="76">
        <v>4.72222222222222</v>
      </c>
      <c r="Q342" s="91">
        <v>30</v>
      </c>
      <c r="R342" s="76">
        <v>10</v>
      </c>
      <c r="S342" s="76">
        <f>STOCK[[#This Row],[Peso (g)]]*STOCK[[#This Row],[Precio Envío Kilogramo (USD)]]/1000</f>
        <v>0.3</v>
      </c>
      <c r="T342" s="76">
        <f>STOCK[[#This Row],[Costo Unitario (USD)]]+STOCK[[#This Row],[Costo Envío (USD)]]+STOCK[[#This Row],[Comisión 10%]]</f>
        <v>5.92222222222222</v>
      </c>
      <c r="U342" s="76">
        <f>STOCK[[#This Row],[Costo total]]*1.5</f>
        <v>8.88333333333333</v>
      </c>
      <c r="V342" s="76">
        <v>9</v>
      </c>
      <c r="W342" s="76">
        <f>STOCK[[#This Row],[Precio Final]]-STOCK[[#This Row],[Costo total]]</f>
        <v>3.07777777777778</v>
      </c>
      <c r="X342" s="76">
        <f>STOCK[[#This Row],[Ganancia Unitaria]]*STOCK[[#This Row],[Salidas]]</f>
        <v>6.15555555555556</v>
      </c>
      <c r="AA342" s="76">
        <f>STOCK[[#This Row],[Costo total]]*STOCK[[#This Row],[Entradas]]</f>
        <v>11.8444444444444</v>
      </c>
      <c r="AB342" s="76">
        <f>STOCK[[#This Row],[Stock Actual]]*STOCK[[#This Row],[Costo total]]</f>
        <v>0</v>
      </c>
    </row>
    <row r="343" s="77" customFormat="1" ht="50" hidden="1" customHeight="1" spans="1:28">
      <c r="A343" s="77" t="s">
        <v>721</v>
      </c>
      <c r="B343" s="6"/>
      <c r="C343" s="77" t="s">
        <v>30</v>
      </c>
      <c r="D343" s="77" t="s">
        <v>173</v>
      </c>
      <c r="E343" s="77" t="s">
        <v>720</v>
      </c>
      <c r="F343" s="77" t="s">
        <v>60</v>
      </c>
      <c r="G343" s="77" t="s">
        <v>702</v>
      </c>
      <c r="H343" s="77">
        <f>STOCK[[#This Row],[Precio Final]]</f>
        <v>9</v>
      </c>
      <c r="I343" s="77">
        <f>STOCK[[#This Row],[Precio Venta Ideal (x1.5)]]</f>
        <v>8.88333333333333</v>
      </c>
      <c r="J343" s="92">
        <v>5</v>
      </c>
      <c r="K343" s="92">
        <f>SUMIFS(VENTAS[Cantidad],VENTAS[Código del producto Vendido],STOCK[[#This Row],[Code]])</f>
        <v>5</v>
      </c>
      <c r="L343" s="92">
        <f>STOCK[[#This Row],[Entradas]]-STOCK[[#This Row],[Salidas]]</f>
        <v>0</v>
      </c>
      <c r="M343" s="77">
        <f>STOCK[[#This Row],[Precio Final]]*10%</f>
        <v>0.9</v>
      </c>
      <c r="N343" s="77">
        <v>85</v>
      </c>
      <c r="O343" s="77">
        <v>18</v>
      </c>
      <c r="P343" s="77">
        <v>4.72222222222222</v>
      </c>
      <c r="Q343" s="92">
        <v>30</v>
      </c>
      <c r="R343" s="77">
        <v>10</v>
      </c>
      <c r="S343" s="77">
        <f>STOCK[[#This Row],[Peso (g)]]*STOCK[[#This Row],[Precio Envío Kilogramo (USD)]]/1000</f>
        <v>0.3</v>
      </c>
      <c r="T343" s="76">
        <f>STOCK[[#This Row],[Costo Unitario (USD)]]+STOCK[[#This Row],[Costo Envío (USD)]]+STOCK[[#This Row],[Comisión 10%]]</f>
        <v>5.92222222222222</v>
      </c>
      <c r="U343" s="77">
        <f>STOCK[[#This Row],[Costo total]]*1.5</f>
        <v>8.88333333333333</v>
      </c>
      <c r="V343" s="77">
        <v>9</v>
      </c>
      <c r="W343" s="77">
        <f>STOCK[[#This Row],[Precio Final]]-STOCK[[#This Row],[Costo total]]</f>
        <v>3.07777777777778</v>
      </c>
      <c r="X343" s="77">
        <f>STOCK[[#This Row],[Ganancia Unitaria]]*STOCK[[#This Row],[Salidas]]</f>
        <v>15.3888888888889</v>
      </c>
      <c r="AA343" s="77">
        <f>STOCK[[#This Row],[Costo total]]*STOCK[[#This Row],[Entradas]]</f>
        <v>29.6111111111111</v>
      </c>
      <c r="AB343" s="77">
        <f>STOCK[[#This Row],[Stock Actual]]*STOCK[[#This Row],[Costo total]]</f>
        <v>0</v>
      </c>
    </row>
    <row r="344" s="76" customFormat="1" ht="50" hidden="1" customHeight="1" spans="1:28">
      <c r="A344" s="76" t="s">
        <v>722</v>
      </c>
      <c r="B344" s="6"/>
      <c r="C344" s="76" t="s">
        <v>30</v>
      </c>
      <c r="D344" s="76" t="s">
        <v>173</v>
      </c>
      <c r="E344" s="76" t="s">
        <v>720</v>
      </c>
      <c r="F344" s="76" t="s">
        <v>44</v>
      </c>
      <c r="G344" s="76" t="s">
        <v>702</v>
      </c>
      <c r="H344" s="76">
        <f>STOCK[[#This Row],[Precio Final]]</f>
        <v>9</v>
      </c>
      <c r="I344" s="76">
        <f>STOCK[[#This Row],[Precio Venta Ideal (x1.5)]]</f>
        <v>8.88333333333333</v>
      </c>
      <c r="J344" s="91">
        <v>1</v>
      </c>
      <c r="K344" s="91">
        <f>SUMIFS(VENTAS[Cantidad],VENTAS[Código del producto Vendido],STOCK[[#This Row],[Code]])</f>
        <v>1</v>
      </c>
      <c r="L344" s="91">
        <f>STOCK[[#This Row],[Entradas]]-STOCK[[#This Row],[Salidas]]</f>
        <v>0</v>
      </c>
      <c r="M344" s="76">
        <f>STOCK[[#This Row],[Precio Final]]*10%</f>
        <v>0.9</v>
      </c>
      <c r="N344" s="76">
        <v>85</v>
      </c>
      <c r="O344" s="76">
        <v>18</v>
      </c>
      <c r="P344" s="76">
        <v>4.72222222222222</v>
      </c>
      <c r="Q344" s="91">
        <v>30</v>
      </c>
      <c r="R344" s="76">
        <v>10</v>
      </c>
      <c r="S344" s="76">
        <f>STOCK[[#This Row],[Peso (g)]]*STOCK[[#This Row],[Precio Envío Kilogramo (USD)]]/1000</f>
        <v>0.3</v>
      </c>
      <c r="T344" s="76">
        <f>STOCK[[#This Row],[Costo Unitario (USD)]]+STOCK[[#This Row],[Costo Envío (USD)]]+STOCK[[#This Row],[Comisión 10%]]</f>
        <v>5.92222222222222</v>
      </c>
      <c r="U344" s="76">
        <f>STOCK[[#This Row],[Costo total]]*1.5</f>
        <v>8.88333333333333</v>
      </c>
      <c r="V344" s="76">
        <v>9</v>
      </c>
      <c r="W344" s="76">
        <f>STOCK[[#This Row],[Precio Final]]-STOCK[[#This Row],[Costo total]]</f>
        <v>3.07777777777778</v>
      </c>
      <c r="X344" s="76">
        <f>STOCK[[#This Row],[Ganancia Unitaria]]*STOCK[[#This Row],[Salidas]]</f>
        <v>3.07777777777778</v>
      </c>
      <c r="AA344" s="76">
        <f>STOCK[[#This Row],[Costo total]]*STOCK[[#This Row],[Entradas]]</f>
        <v>5.92222222222222</v>
      </c>
      <c r="AB344" s="76">
        <f>STOCK[[#This Row],[Stock Actual]]*STOCK[[#This Row],[Costo total]]</f>
        <v>0</v>
      </c>
    </row>
    <row r="345" s="77" customFormat="1" ht="50" hidden="1" customHeight="1" spans="1:28">
      <c r="A345" s="77" t="s">
        <v>723</v>
      </c>
      <c r="B345" s="6"/>
      <c r="C345" s="77" t="s">
        <v>30</v>
      </c>
      <c r="D345" s="77" t="s">
        <v>724</v>
      </c>
      <c r="E345" s="77" t="s">
        <v>725</v>
      </c>
      <c r="F345" s="77" t="s">
        <v>524</v>
      </c>
      <c r="G345" s="77" t="s">
        <v>702</v>
      </c>
      <c r="H345" s="77">
        <f>STOCK[[#This Row],[Precio Final]]</f>
        <v>12</v>
      </c>
      <c r="I345" s="77">
        <f>STOCK[[#This Row],[Precio Venta Ideal (x1.5)]]</f>
        <v>9.3</v>
      </c>
      <c r="J345" s="92">
        <v>2</v>
      </c>
      <c r="K345" s="92">
        <f>SUMIFS(VENTAS[Cantidad],VENTAS[Código del producto Vendido],STOCK[[#This Row],[Code]])</f>
        <v>0</v>
      </c>
      <c r="L345" s="92">
        <f>STOCK[[#This Row],[Entradas]]-STOCK[[#This Row],[Salidas]]</f>
        <v>2</v>
      </c>
      <c r="M345" s="77">
        <f>STOCK[[#This Row],[Precio Final]]*10%</f>
        <v>1.2</v>
      </c>
      <c r="N345" s="77">
        <v>0</v>
      </c>
      <c r="O345" s="77">
        <v>0</v>
      </c>
      <c r="P345" s="77">
        <v>5</v>
      </c>
      <c r="Q345" s="92">
        <v>0</v>
      </c>
      <c r="R345" s="77">
        <v>0</v>
      </c>
      <c r="S345" s="77">
        <f>STOCK[[#This Row],[Peso (g)]]*STOCK[[#This Row],[Precio Envío Kilogramo (USD)]]/1000</f>
        <v>0</v>
      </c>
      <c r="T345" s="76">
        <f>STOCK[[#This Row],[Costo Unitario (USD)]]+STOCK[[#This Row],[Costo Envío (USD)]]+STOCK[[#This Row],[Comisión 10%]]</f>
        <v>6.2</v>
      </c>
      <c r="U345" s="77">
        <f>STOCK[[#This Row],[Costo total]]*1.5</f>
        <v>9.3</v>
      </c>
      <c r="V345" s="77">
        <v>12</v>
      </c>
      <c r="W345" s="77">
        <f>STOCK[[#This Row],[Precio Final]]-STOCK[[#This Row],[Costo total]]</f>
        <v>5.8</v>
      </c>
      <c r="X345" s="77">
        <f>STOCK[[#This Row],[Ganancia Unitaria]]*STOCK[[#This Row],[Salidas]]</f>
        <v>0</v>
      </c>
      <c r="AA345" s="77">
        <f>STOCK[[#This Row],[Costo total]]*STOCK[[#This Row],[Entradas]]</f>
        <v>12.4</v>
      </c>
      <c r="AB345" s="77">
        <f>STOCK[[#This Row],[Stock Actual]]*STOCK[[#This Row],[Costo total]]</f>
        <v>12.4</v>
      </c>
    </row>
    <row r="346" s="76" customFormat="1" ht="50" hidden="1" customHeight="1" spans="1:28">
      <c r="A346" s="76" t="s">
        <v>726</v>
      </c>
      <c r="B346" s="6"/>
      <c r="C346" s="76" t="s">
        <v>30</v>
      </c>
      <c r="D346" s="76" t="s">
        <v>173</v>
      </c>
      <c r="E346" s="76" t="s">
        <v>720</v>
      </c>
      <c r="F346" s="76" t="s">
        <v>60</v>
      </c>
      <c r="G346" s="76" t="s">
        <v>702</v>
      </c>
      <c r="H346" s="76">
        <f>STOCK[[#This Row],[Precio Final]]</f>
        <v>9</v>
      </c>
      <c r="I346" s="76">
        <f>STOCK[[#This Row],[Precio Venta Ideal (x1.5)]]</f>
        <v>8.88333333333333</v>
      </c>
      <c r="J346" s="91">
        <v>12</v>
      </c>
      <c r="K346" s="91">
        <f>SUMIFS(VENTAS[Cantidad],VENTAS[Código del producto Vendido],STOCK[[#This Row],[Code]])</f>
        <v>12</v>
      </c>
      <c r="L346" s="91">
        <f>STOCK[[#This Row],[Entradas]]-STOCK[[#This Row],[Salidas]]</f>
        <v>0</v>
      </c>
      <c r="M346" s="76">
        <f>STOCK[[#This Row],[Precio Final]]*10%</f>
        <v>0.9</v>
      </c>
      <c r="N346" s="76">
        <v>85</v>
      </c>
      <c r="O346" s="76">
        <v>18</v>
      </c>
      <c r="P346" s="76">
        <v>4.72222222222222</v>
      </c>
      <c r="Q346" s="91">
        <v>30</v>
      </c>
      <c r="R346" s="76">
        <v>10</v>
      </c>
      <c r="S346" s="76">
        <f>STOCK[[#This Row],[Peso (g)]]*STOCK[[#This Row],[Precio Envío Kilogramo (USD)]]/1000</f>
        <v>0.3</v>
      </c>
      <c r="T346" s="76">
        <f>STOCK[[#This Row],[Costo Unitario (USD)]]+STOCK[[#This Row],[Costo Envío (USD)]]+STOCK[[#This Row],[Comisión 10%]]</f>
        <v>5.92222222222222</v>
      </c>
      <c r="U346" s="76">
        <f>STOCK[[#This Row],[Costo total]]*1.5</f>
        <v>8.88333333333333</v>
      </c>
      <c r="V346" s="76">
        <v>9</v>
      </c>
      <c r="W346" s="76">
        <f>STOCK[[#This Row],[Precio Final]]-STOCK[[#This Row],[Costo total]]</f>
        <v>3.07777777777778</v>
      </c>
      <c r="X346" s="76">
        <f>STOCK[[#This Row],[Ganancia Unitaria]]*STOCK[[#This Row],[Salidas]]</f>
        <v>36.9333333333334</v>
      </c>
      <c r="AA346" s="76">
        <f>STOCK[[#This Row],[Costo total]]*STOCK[[#This Row],[Entradas]]</f>
        <v>71.0666666666666</v>
      </c>
      <c r="AB346" s="76">
        <f>STOCK[[#This Row],[Stock Actual]]*STOCK[[#This Row],[Costo total]]</f>
        <v>0</v>
      </c>
    </row>
    <row r="347" s="77" customFormat="1" ht="50" hidden="1" customHeight="1" spans="1:28">
      <c r="A347" s="77" t="s">
        <v>727</v>
      </c>
      <c r="B347" s="6"/>
      <c r="C347" s="77" t="s">
        <v>30</v>
      </c>
      <c r="D347" s="77" t="s">
        <v>42</v>
      </c>
      <c r="E347" s="77" t="s">
        <v>728</v>
      </c>
      <c r="F347" s="77" t="s">
        <v>60</v>
      </c>
      <c r="G347" s="77" t="s">
        <v>702</v>
      </c>
      <c r="H347" s="77">
        <f>STOCK[[#This Row],[Precio Final]]</f>
        <v>19</v>
      </c>
      <c r="I347" s="77">
        <f>STOCK[[#This Row],[Precio Venta Ideal (x1.5)]]</f>
        <v>20.7666666666667</v>
      </c>
      <c r="J347" s="92">
        <v>1</v>
      </c>
      <c r="K347" s="92">
        <f>SUMIFS(VENTAS[Cantidad],VENTAS[Código del producto Vendido],STOCK[[#This Row],[Code]])</f>
        <v>1</v>
      </c>
      <c r="L347" s="92">
        <f>STOCK[[#This Row],[Entradas]]-STOCK[[#This Row],[Salidas]]</f>
        <v>0</v>
      </c>
      <c r="M347" s="77">
        <f>STOCK[[#This Row],[Precio Final]]*10%</f>
        <v>1.9</v>
      </c>
      <c r="N347" s="77">
        <v>170</v>
      </c>
      <c r="O347" s="77">
        <v>18</v>
      </c>
      <c r="P347" s="77">
        <v>9.44444444444444</v>
      </c>
      <c r="Q347" s="92">
        <v>250</v>
      </c>
      <c r="R347" s="77">
        <v>10</v>
      </c>
      <c r="S347" s="77">
        <f>STOCK[[#This Row],[Peso (g)]]*STOCK[[#This Row],[Precio Envío Kilogramo (USD)]]/1000</f>
        <v>2.5</v>
      </c>
      <c r="T347" s="76">
        <f>STOCK[[#This Row],[Costo Unitario (USD)]]+STOCK[[#This Row],[Costo Envío (USD)]]+STOCK[[#This Row],[Comisión 10%]]</f>
        <v>13.8444444444444</v>
      </c>
      <c r="U347" s="77">
        <f>STOCK[[#This Row],[Costo total]]*1.5</f>
        <v>20.7666666666667</v>
      </c>
      <c r="V347" s="77">
        <v>19</v>
      </c>
      <c r="W347" s="77">
        <f>STOCK[[#This Row],[Precio Final]]-STOCK[[#This Row],[Costo total]]</f>
        <v>5.15555555555556</v>
      </c>
      <c r="X347" s="77">
        <f>STOCK[[#This Row],[Ganancia Unitaria]]*STOCK[[#This Row],[Salidas]]</f>
        <v>5.15555555555556</v>
      </c>
      <c r="AA347" s="77">
        <f>STOCK[[#This Row],[Costo total]]*STOCK[[#This Row],[Entradas]]</f>
        <v>13.8444444444444</v>
      </c>
      <c r="AB347" s="77">
        <f>STOCK[[#This Row],[Stock Actual]]*STOCK[[#This Row],[Costo total]]</f>
        <v>0</v>
      </c>
    </row>
    <row r="348" s="76" customFormat="1" ht="50" hidden="1" customHeight="1" spans="1:28">
      <c r="A348" s="76" t="s">
        <v>729</v>
      </c>
      <c r="B348" s="6"/>
      <c r="C348" s="76" t="s">
        <v>30</v>
      </c>
      <c r="D348" s="76" t="s">
        <v>42</v>
      </c>
      <c r="E348" s="76" t="s">
        <v>730</v>
      </c>
      <c r="F348" s="76" t="s">
        <v>731</v>
      </c>
      <c r="G348" s="76" t="s">
        <v>702</v>
      </c>
      <c r="H348" s="76">
        <f>STOCK[[#This Row],[Precio Final]]</f>
        <v>20</v>
      </c>
      <c r="I348" s="76">
        <f>STOCK[[#This Row],[Precio Venta Ideal (x1.5)]]</f>
        <v>20.9166666666667</v>
      </c>
      <c r="J348" s="91">
        <v>2</v>
      </c>
      <c r="K348" s="91">
        <f>SUMIFS(VENTAS[Cantidad],VENTAS[Código del producto Vendido],STOCK[[#This Row],[Code]])</f>
        <v>2</v>
      </c>
      <c r="L348" s="91">
        <f>STOCK[[#This Row],[Entradas]]-STOCK[[#This Row],[Salidas]]</f>
        <v>0</v>
      </c>
      <c r="M348" s="76">
        <f>STOCK[[#This Row],[Precio Final]]*10%</f>
        <v>2</v>
      </c>
      <c r="N348" s="76">
        <v>170</v>
      </c>
      <c r="O348" s="76">
        <v>18</v>
      </c>
      <c r="P348" s="76">
        <v>9.44444444444444</v>
      </c>
      <c r="Q348" s="91">
        <v>250</v>
      </c>
      <c r="R348" s="76">
        <v>10</v>
      </c>
      <c r="S348" s="76">
        <f>STOCK[[#This Row],[Peso (g)]]*STOCK[[#This Row],[Precio Envío Kilogramo (USD)]]/1000</f>
        <v>2.5</v>
      </c>
      <c r="T348" s="76">
        <f>STOCK[[#This Row],[Costo Unitario (USD)]]+STOCK[[#This Row],[Costo Envío (USD)]]+STOCK[[#This Row],[Comisión 10%]]</f>
        <v>13.9444444444444</v>
      </c>
      <c r="U348" s="76">
        <f>STOCK[[#This Row],[Costo total]]*1.5</f>
        <v>20.9166666666667</v>
      </c>
      <c r="V348" s="76">
        <v>20</v>
      </c>
      <c r="W348" s="76">
        <f>STOCK[[#This Row],[Precio Final]]-STOCK[[#This Row],[Costo total]]</f>
        <v>6.05555555555556</v>
      </c>
      <c r="X348" s="76">
        <f>STOCK[[#This Row],[Ganancia Unitaria]]*STOCK[[#This Row],[Salidas]]</f>
        <v>12.1111111111111</v>
      </c>
      <c r="AA348" s="76">
        <f>STOCK[[#This Row],[Costo total]]*STOCK[[#This Row],[Entradas]]</f>
        <v>27.8888888888889</v>
      </c>
      <c r="AB348" s="76">
        <f>STOCK[[#This Row],[Stock Actual]]*STOCK[[#This Row],[Costo total]]</f>
        <v>0</v>
      </c>
    </row>
    <row r="349" s="77" customFormat="1" ht="50" hidden="1" customHeight="1" spans="1:29">
      <c r="A349" s="77" t="s">
        <v>732</v>
      </c>
      <c r="B349" s="6"/>
      <c r="C349" s="77" t="s">
        <v>30</v>
      </c>
      <c r="D349" s="76" t="s">
        <v>733</v>
      </c>
      <c r="E349" s="77" t="s">
        <v>734</v>
      </c>
      <c r="F349" s="77" t="s">
        <v>60</v>
      </c>
      <c r="G349" s="77" t="s">
        <v>702</v>
      </c>
      <c r="H349" s="77">
        <f>STOCK[[#This Row],[Precio Final]]</f>
        <v>20</v>
      </c>
      <c r="I349" s="77">
        <f>STOCK[[#This Row],[Precio Venta Ideal (x1.5)]]</f>
        <v>20.9166666666667</v>
      </c>
      <c r="J349" s="92">
        <v>3</v>
      </c>
      <c r="K349" s="92">
        <f>SUMIFS(VENTAS[Cantidad],VENTAS[Código del producto Vendido],STOCK[[#This Row],[Code]])</f>
        <v>2</v>
      </c>
      <c r="L349" s="92">
        <f>STOCK[[#This Row],[Entradas]]-STOCK[[#This Row],[Salidas]]</f>
        <v>1</v>
      </c>
      <c r="M349" s="77">
        <f>STOCK[[#This Row],[Precio Final]]*10%</f>
        <v>2</v>
      </c>
      <c r="N349" s="77">
        <v>170</v>
      </c>
      <c r="O349" s="77">
        <v>18</v>
      </c>
      <c r="P349" s="77">
        <v>9.44444444444444</v>
      </c>
      <c r="Q349" s="92">
        <v>250</v>
      </c>
      <c r="R349" s="77">
        <v>10</v>
      </c>
      <c r="S349" s="77">
        <f>STOCK[[#This Row],[Peso (g)]]*STOCK[[#This Row],[Precio Envío Kilogramo (USD)]]/1000</f>
        <v>2.5</v>
      </c>
      <c r="T349" s="76">
        <f>STOCK[[#This Row],[Costo Unitario (USD)]]+STOCK[[#This Row],[Costo Envío (USD)]]+STOCK[[#This Row],[Comisión 10%]]</f>
        <v>13.9444444444444</v>
      </c>
      <c r="U349" s="77">
        <f>STOCK[[#This Row],[Costo total]]*1.5</f>
        <v>20.9166666666667</v>
      </c>
      <c r="V349" s="77">
        <v>20</v>
      </c>
      <c r="W349" s="77">
        <f>STOCK[[#This Row],[Precio Final]]-STOCK[[#This Row],[Costo total]]</f>
        <v>6.05555555555556</v>
      </c>
      <c r="X349" s="77">
        <f>STOCK[[#This Row],[Ganancia Unitaria]]*STOCK[[#This Row],[Salidas]]</f>
        <v>12.1111111111111</v>
      </c>
      <c r="AA349" s="77">
        <f>STOCK[[#This Row],[Costo total]]*STOCK[[#This Row],[Entradas]]</f>
        <v>41.8333333333333</v>
      </c>
      <c r="AB349" s="77">
        <f>STOCK[[#This Row],[Stock Actual]]*STOCK[[#This Row],[Costo total]]</f>
        <v>13.9444444444444</v>
      </c>
      <c r="AC349" s="77">
        <v>18</v>
      </c>
    </row>
    <row r="350" s="76" customFormat="1" ht="50" hidden="1" customHeight="1" spans="1:29">
      <c r="A350" s="76" t="s">
        <v>735</v>
      </c>
      <c r="B350" s="6"/>
      <c r="C350" s="76" t="s">
        <v>30</v>
      </c>
      <c r="D350" s="76" t="s">
        <v>733</v>
      </c>
      <c r="E350" s="76" t="s">
        <v>734</v>
      </c>
      <c r="F350" s="76" t="s">
        <v>47</v>
      </c>
      <c r="G350" s="76" t="s">
        <v>702</v>
      </c>
      <c r="H350" s="76">
        <f>STOCK[[#This Row],[Precio Final]]</f>
        <v>20</v>
      </c>
      <c r="I350" s="76">
        <f>STOCK[[#This Row],[Precio Venta Ideal (x1.5)]]</f>
        <v>20.9166666666667</v>
      </c>
      <c r="J350" s="91">
        <v>3</v>
      </c>
      <c r="K350" s="91">
        <f>SUMIFS(VENTAS[Cantidad],VENTAS[Código del producto Vendido],STOCK[[#This Row],[Code]])</f>
        <v>1</v>
      </c>
      <c r="L350" s="91">
        <f>STOCK[[#This Row],[Entradas]]-STOCK[[#This Row],[Salidas]]</f>
        <v>2</v>
      </c>
      <c r="M350" s="76">
        <f>STOCK[[#This Row],[Precio Final]]*10%</f>
        <v>2</v>
      </c>
      <c r="N350" s="76">
        <v>170</v>
      </c>
      <c r="O350" s="76">
        <v>18</v>
      </c>
      <c r="P350" s="76">
        <v>9.44444444444444</v>
      </c>
      <c r="Q350" s="91">
        <v>250</v>
      </c>
      <c r="R350" s="76">
        <v>10</v>
      </c>
      <c r="S350" s="76">
        <f>STOCK[[#This Row],[Peso (g)]]*STOCK[[#This Row],[Precio Envío Kilogramo (USD)]]/1000</f>
        <v>2.5</v>
      </c>
      <c r="T350" s="76">
        <f>STOCK[[#This Row],[Costo Unitario (USD)]]+STOCK[[#This Row],[Costo Envío (USD)]]+STOCK[[#This Row],[Comisión 10%]]</f>
        <v>13.9444444444444</v>
      </c>
      <c r="U350" s="76">
        <f>STOCK[[#This Row],[Costo total]]*1.5</f>
        <v>20.9166666666667</v>
      </c>
      <c r="V350" s="76">
        <v>20</v>
      </c>
      <c r="W350" s="76">
        <f>STOCK[[#This Row],[Precio Final]]-STOCK[[#This Row],[Costo total]]</f>
        <v>6.05555555555556</v>
      </c>
      <c r="X350" s="76">
        <f>STOCK[[#This Row],[Ganancia Unitaria]]*STOCK[[#This Row],[Salidas]]</f>
        <v>6.05555555555556</v>
      </c>
      <c r="AA350" s="76">
        <f>STOCK[[#This Row],[Costo total]]*STOCK[[#This Row],[Entradas]]</f>
        <v>41.8333333333333</v>
      </c>
      <c r="AB350" s="76">
        <f>STOCK[[#This Row],[Stock Actual]]*STOCK[[#This Row],[Costo total]]</f>
        <v>27.8888888888889</v>
      </c>
      <c r="AC350" s="76">
        <v>18</v>
      </c>
    </row>
    <row r="351" s="77" customFormat="1" ht="50" hidden="1" customHeight="1" spans="1:28">
      <c r="A351" s="77" t="s">
        <v>736</v>
      </c>
      <c r="B351" s="6"/>
      <c r="C351" s="77" t="s">
        <v>30</v>
      </c>
      <c r="D351" s="77" t="s">
        <v>545</v>
      </c>
      <c r="E351" s="77" t="s">
        <v>737</v>
      </c>
      <c r="F351" s="77" t="s">
        <v>738</v>
      </c>
      <c r="G351" s="77" t="s">
        <v>702</v>
      </c>
      <c r="H351" s="77">
        <f>STOCK[[#This Row],[Precio Final]]</f>
        <v>15</v>
      </c>
      <c r="I351" s="77">
        <f>STOCK[[#This Row],[Precio Venta Ideal (x1.5)]]</f>
        <v>18.95</v>
      </c>
      <c r="J351" s="92">
        <v>1</v>
      </c>
      <c r="K351" s="92">
        <f>SUMIFS(VENTAS[Cantidad],VENTAS[Código del producto Vendido],STOCK[[#This Row],[Code]])</f>
        <v>1</v>
      </c>
      <c r="L351" s="92">
        <f>STOCK[[#This Row],[Entradas]]-STOCK[[#This Row],[Salidas]]</f>
        <v>0</v>
      </c>
      <c r="M351" s="77">
        <f>STOCK[[#This Row],[Precio Final]]*10%</f>
        <v>1.5</v>
      </c>
      <c r="N351" s="77">
        <v>195</v>
      </c>
      <c r="O351" s="77">
        <v>18</v>
      </c>
      <c r="P351" s="77">
        <v>10.8333333333333</v>
      </c>
      <c r="Q351" s="92">
        <v>30</v>
      </c>
      <c r="R351" s="77">
        <v>10</v>
      </c>
      <c r="S351" s="77">
        <f>STOCK[[#This Row],[Peso (g)]]*STOCK[[#This Row],[Precio Envío Kilogramo (USD)]]/1000</f>
        <v>0.3</v>
      </c>
      <c r="T351" s="76">
        <f>STOCK[[#This Row],[Costo Unitario (USD)]]+STOCK[[#This Row],[Costo Envío (USD)]]+STOCK[[#This Row],[Comisión 10%]]</f>
        <v>12.6333333333333</v>
      </c>
      <c r="U351" s="77">
        <f>STOCK[[#This Row],[Costo total]]*1.5</f>
        <v>18.95</v>
      </c>
      <c r="V351" s="77">
        <v>15</v>
      </c>
      <c r="W351" s="77">
        <f>STOCK[[#This Row],[Precio Final]]-STOCK[[#This Row],[Costo total]]</f>
        <v>2.3666666666667</v>
      </c>
      <c r="X351" s="77">
        <f>STOCK[[#This Row],[Ganancia Unitaria]]*STOCK[[#This Row],[Salidas]]</f>
        <v>2.3666666666667</v>
      </c>
      <c r="AA351" s="77">
        <f>STOCK[[#This Row],[Costo total]]*STOCK[[#This Row],[Entradas]]</f>
        <v>12.6333333333333</v>
      </c>
      <c r="AB351" s="77">
        <f>STOCK[[#This Row],[Stock Actual]]*STOCK[[#This Row],[Costo total]]</f>
        <v>0</v>
      </c>
    </row>
    <row r="352" s="76" customFormat="1" ht="50" hidden="1" customHeight="1" spans="1:28">
      <c r="A352" s="76" t="s">
        <v>739</v>
      </c>
      <c r="B352" s="6"/>
      <c r="C352" s="76" t="s">
        <v>30</v>
      </c>
      <c r="D352" s="76" t="s">
        <v>545</v>
      </c>
      <c r="E352" s="76" t="s">
        <v>737</v>
      </c>
      <c r="F352" s="76" t="s">
        <v>738</v>
      </c>
      <c r="G352" s="76" t="s">
        <v>702</v>
      </c>
      <c r="H352" s="76">
        <f>STOCK[[#This Row],[Precio Final]]</f>
        <v>12</v>
      </c>
      <c r="I352" s="76">
        <f>STOCK[[#This Row],[Precio Venta Ideal (x1.5)]]</f>
        <v>18.5</v>
      </c>
      <c r="J352" s="91">
        <v>1</v>
      </c>
      <c r="K352" s="91">
        <f>SUMIFS(VENTAS[Cantidad],VENTAS[Código del producto Vendido],STOCK[[#This Row],[Code]])</f>
        <v>1</v>
      </c>
      <c r="L352" s="91">
        <f>STOCK[[#This Row],[Entradas]]-STOCK[[#This Row],[Salidas]]</f>
        <v>0</v>
      </c>
      <c r="M352" s="76">
        <f>STOCK[[#This Row],[Precio Final]]*10%</f>
        <v>1.2</v>
      </c>
      <c r="N352" s="76">
        <v>195</v>
      </c>
      <c r="O352" s="76">
        <v>18</v>
      </c>
      <c r="P352" s="76">
        <v>10.8333333333333</v>
      </c>
      <c r="Q352" s="91">
        <v>30</v>
      </c>
      <c r="R352" s="76">
        <v>10</v>
      </c>
      <c r="S352" s="76">
        <f>STOCK[[#This Row],[Peso (g)]]*STOCK[[#This Row],[Precio Envío Kilogramo (USD)]]/1000</f>
        <v>0.3</v>
      </c>
      <c r="T352" s="76">
        <f>STOCK[[#This Row],[Costo Unitario (USD)]]+STOCK[[#This Row],[Costo Envío (USD)]]+STOCK[[#This Row],[Comisión 10%]]</f>
        <v>12.3333333333333</v>
      </c>
      <c r="U352" s="76">
        <f>STOCK[[#This Row],[Costo total]]*1.5</f>
        <v>18.5</v>
      </c>
      <c r="V352" s="76">
        <v>12</v>
      </c>
      <c r="W352" s="76">
        <f>STOCK[[#This Row],[Precio Final]]-STOCK[[#This Row],[Costo total]]</f>
        <v>-0.3333333333333</v>
      </c>
      <c r="X352" s="76">
        <f>STOCK[[#This Row],[Ganancia Unitaria]]*STOCK[[#This Row],[Salidas]]</f>
        <v>-0.3333333333333</v>
      </c>
      <c r="AA352" s="76">
        <f>STOCK[[#This Row],[Costo total]]*STOCK[[#This Row],[Entradas]]</f>
        <v>12.3333333333333</v>
      </c>
      <c r="AB352" s="76">
        <f>STOCK[[#This Row],[Stock Actual]]*STOCK[[#This Row],[Costo total]]</f>
        <v>0</v>
      </c>
    </row>
    <row r="353" s="77" customFormat="1" ht="50" hidden="1" customHeight="1" spans="1:28">
      <c r="A353" s="77" t="s">
        <v>740</v>
      </c>
      <c r="B353" s="6"/>
      <c r="C353" s="77" t="s">
        <v>30</v>
      </c>
      <c r="D353" s="77" t="s">
        <v>741</v>
      </c>
      <c r="E353" s="77" t="s">
        <v>742</v>
      </c>
      <c r="F353" s="77" t="s">
        <v>60</v>
      </c>
      <c r="G353" s="77" t="s">
        <v>702</v>
      </c>
      <c r="H353" s="77">
        <f>STOCK[[#This Row],[Precio Final]]</f>
        <v>30</v>
      </c>
      <c r="I353" s="77">
        <f>STOCK[[#This Row],[Precio Venta Ideal (x1.5)]]</f>
        <v>38.5</v>
      </c>
      <c r="J353" s="92">
        <v>0</v>
      </c>
      <c r="K353" s="92">
        <f>SUMIFS(VENTAS[Cantidad],VENTAS[Código del producto Vendido],STOCK[[#This Row],[Code]])</f>
        <v>0</v>
      </c>
      <c r="L353" s="92">
        <f>STOCK[[#This Row],[Entradas]]-STOCK[[#This Row],[Salidas]]</f>
        <v>0</v>
      </c>
      <c r="M353" s="77">
        <f>STOCK[[#This Row],[Precio Final]]*10%</f>
        <v>3</v>
      </c>
      <c r="N353" s="77">
        <v>345</v>
      </c>
      <c r="O353" s="77">
        <v>18</v>
      </c>
      <c r="P353" s="77">
        <v>19.1666666666667</v>
      </c>
      <c r="Q353" s="92">
        <v>350</v>
      </c>
      <c r="R353" s="77">
        <v>10</v>
      </c>
      <c r="S353" s="77">
        <f>STOCK[[#This Row],[Peso (g)]]*STOCK[[#This Row],[Precio Envío Kilogramo (USD)]]/1000</f>
        <v>3.5</v>
      </c>
      <c r="T353" s="76">
        <f>STOCK[[#This Row],[Costo Unitario (USD)]]+STOCK[[#This Row],[Costo Envío (USD)]]+STOCK[[#This Row],[Comisión 10%]]</f>
        <v>25.6666666666667</v>
      </c>
      <c r="U353" s="77">
        <f>STOCK[[#This Row],[Costo total]]*1.5</f>
        <v>38.5</v>
      </c>
      <c r="V353" s="77">
        <v>30</v>
      </c>
      <c r="W353" s="77">
        <f>STOCK[[#This Row],[Precio Final]]-STOCK[[#This Row],[Costo total]]</f>
        <v>4.3333333333333</v>
      </c>
      <c r="X353" s="77">
        <f>STOCK[[#This Row],[Ganancia Unitaria]]*STOCK[[#This Row],[Salidas]]</f>
        <v>0</v>
      </c>
      <c r="AA353" s="77">
        <f>STOCK[[#This Row],[Costo total]]*STOCK[[#This Row],[Entradas]]</f>
        <v>0</v>
      </c>
      <c r="AB353" s="77">
        <f>STOCK[[#This Row],[Stock Actual]]*STOCK[[#This Row],[Costo total]]</f>
        <v>0</v>
      </c>
    </row>
    <row r="354" s="76" customFormat="1" ht="50" hidden="1" customHeight="1" spans="1:28">
      <c r="A354" s="76" t="s">
        <v>743</v>
      </c>
      <c r="B354" s="6"/>
      <c r="C354" s="76" t="s">
        <v>30</v>
      </c>
      <c r="D354" s="76" t="s">
        <v>741</v>
      </c>
      <c r="E354" s="76" t="s">
        <v>744</v>
      </c>
      <c r="F354" s="76" t="s">
        <v>745</v>
      </c>
      <c r="G354" s="76" t="s">
        <v>702</v>
      </c>
      <c r="H354" s="76">
        <f>STOCK[[#This Row],[Precio Final]]</f>
        <v>35</v>
      </c>
      <c r="I354" s="76">
        <f>STOCK[[#This Row],[Precio Venta Ideal (x1.5)]]</f>
        <v>47.8333333333333</v>
      </c>
      <c r="J354" s="91">
        <v>1</v>
      </c>
      <c r="K354" s="91">
        <f>SUMIFS(VENTAS[Cantidad],VENTAS[Código del producto Vendido],STOCK[[#This Row],[Code]])</f>
        <v>1</v>
      </c>
      <c r="L354" s="91">
        <f>STOCK[[#This Row],[Entradas]]-STOCK[[#This Row],[Salidas]]</f>
        <v>0</v>
      </c>
      <c r="M354" s="76">
        <f>STOCK[[#This Row],[Precio Final]]*10%</f>
        <v>3.5</v>
      </c>
      <c r="N354" s="76">
        <v>430</v>
      </c>
      <c r="O354" s="76">
        <v>18</v>
      </c>
      <c r="P354" s="76">
        <v>23.8888888888889</v>
      </c>
      <c r="Q354" s="91">
        <v>450</v>
      </c>
      <c r="R354" s="76">
        <v>10</v>
      </c>
      <c r="S354" s="76">
        <f>STOCK[[#This Row],[Peso (g)]]*STOCK[[#This Row],[Precio Envío Kilogramo (USD)]]/1000</f>
        <v>4.5</v>
      </c>
      <c r="T354" s="76">
        <f>STOCK[[#This Row],[Costo Unitario (USD)]]+STOCK[[#This Row],[Costo Envío (USD)]]+STOCK[[#This Row],[Comisión 10%]]</f>
        <v>31.8888888888889</v>
      </c>
      <c r="U354" s="76">
        <f>STOCK[[#This Row],[Costo total]]*1.5</f>
        <v>47.8333333333333</v>
      </c>
      <c r="V354" s="76">
        <v>35</v>
      </c>
      <c r="W354" s="76">
        <f>STOCK[[#This Row],[Precio Final]]-STOCK[[#This Row],[Costo total]]</f>
        <v>3.1111111111111</v>
      </c>
      <c r="X354" s="76">
        <f>STOCK[[#This Row],[Ganancia Unitaria]]*STOCK[[#This Row],[Salidas]]</f>
        <v>3.1111111111111</v>
      </c>
      <c r="AA354" s="76">
        <f>STOCK[[#This Row],[Costo total]]*STOCK[[#This Row],[Entradas]]</f>
        <v>31.8888888888889</v>
      </c>
      <c r="AB354" s="76">
        <f>STOCK[[#This Row],[Stock Actual]]*STOCK[[#This Row],[Costo total]]</f>
        <v>0</v>
      </c>
    </row>
    <row r="355" s="77" customFormat="1" ht="50" hidden="1" customHeight="1" spans="1:28">
      <c r="A355" s="77" t="s">
        <v>746</v>
      </c>
      <c r="B355" s="6"/>
      <c r="C355" s="77" t="s">
        <v>30</v>
      </c>
      <c r="D355" s="77" t="s">
        <v>747</v>
      </c>
      <c r="E355" s="77" t="s">
        <v>748</v>
      </c>
      <c r="F355" s="77" t="s">
        <v>749</v>
      </c>
      <c r="G355" s="77" t="s">
        <v>702</v>
      </c>
      <c r="H355" s="77">
        <f>STOCK[[#This Row],[Precio Final]]</f>
        <v>35</v>
      </c>
      <c r="I355" s="77">
        <f>STOCK[[#This Row],[Precio Venta Ideal (x1.5)]]</f>
        <v>46.8666666666666</v>
      </c>
      <c r="J355" s="92">
        <v>1</v>
      </c>
      <c r="K355" s="92">
        <f>SUMIFS(VENTAS[Cantidad],VENTAS[Código del producto Vendido],STOCK[[#This Row],[Code]])</f>
        <v>0</v>
      </c>
      <c r="L355" s="92">
        <f>STOCK[[#This Row],[Entradas]]-STOCK[[#This Row],[Salidas]]</f>
        <v>1</v>
      </c>
      <c r="M355" s="77">
        <f>STOCK[[#This Row],[Precio Final]]*10%</f>
        <v>3.5</v>
      </c>
      <c r="N355" s="77">
        <v>395</v>
      </c>
      <c r="O355" s="77">
        <v>18</v>
      </c>
      <c r="P355" s="77">
        <v>21.9444444444444</v>
      </c>
      <c r="Q355" s="92">
        <v>580</v>
      </c>
      <c r="R355" s="77">
        <v>10</v>
      </c>
      <c r="S355" s="77">
        <f>STOCK[[#This Row],[Peso (g)]]*STOCK[[#This Row],[Precio Envío Kilogramo (USD)]]/1000</f>
        <v>5.8</v>
      </c>
      <c r="T355" s="76">
        <f>STOCK[[#This Row],[Costo Unitario (USD)]]+STOCK[[#This Row],[Costo Envío (USD)]]+STOCK[[#This Row],[Comisión 10%]]</f>
        <v>31.2444444444444</v>
      </c>
      <c r="U355" s="77">
        <f>STOCK[[#This Row],[Costo total]]*1.5</f>
        <v>46.8666666666666</v>
      </c>
      <c r="V355" s="77">
        <v>35</v>
      </c>
      <c r="W355" s="77">
        <f>STOCK[[#This Row],[Precio Final]]-STOCK[[#This Row],[Costo total]]</f>
        <v>3.7555555555556</v>
      </c>
      <c r="X355" s="77">
        <f>STOCK[[#This Row],[Ganancia Unitaria]]*STOCK[[#This Row],[Salidas]]</f>
        <v>0</v>
      </c>
      <c r="AA355" s="77">
        <f>STOCK[[#This Row],[Costo total]]*STOCK[[#This Row],[Entradas]]</f>
        <v>31.2444444444444</v>
      </c>
      <c r="AB355" s="77">
        <f>STOCK[[#This Row],[Stock Actual]]*STOCK[[#This Row],[Costo total]]</f>
        <v>31.2444444444444</v>
      </c>
    </row>
    <row r="356" s="76" customFormat="1" ht="50" hidden="1" customHeight="1" spans="1:28">
      <c r="A356" s="76" t="s">
        <v>750</v>
      </c>
      <c r="B356" s="6"/>
      <c r="C356" s="76" t="s">
        <v>30</v>
      </c>
      <c r="D356" s="76" t="s">
        <v>514</v>
      </c>
      <c r="E356" s="76" t="s">
        <v>751</v>
      </c>
      <c r="F356" s="76" t="s">
        <v>752</v>
      </c>
      <c r="G356" s="76" t="s">
        <v>702</v>
      </c>
      <c r="H356" s="76">
        <f>STOCK[[#This Row],[Precio Final]]</f>
        <v>35</v>
      </c>
      <c r="I356" s="76">
        <f>STOCK[[#This Row],[Precio Venta Ideal (x1.5)]]</f>
        <v>45.75</v>
      </c>
      <c r="J356" s="91">
        <v>3</v>
      </c>
      <c r="K356" s="91">
        <f>SUMIFS(VENTAS[Cantidad],VENTAS[Código del producto Vendido],STOCK[[#This Row],[Code]])</f>
        <v>3</v>
      </c>
      <c r="L356" s="91">
        <f>STOCK[[#This Row],[Entradas]]-STOCK[[#This Row],[Salidas]]</f>
        <v>0</v>
      </c>
      <c r="M356" s="76">
        <f>STOCK[[#This Row],[Precio Final]]*10%</f>
        <v>3.5</v>
      </c>
      <c r="N356" s="76">
        <v>360</v>
      </c>
      <c r="O356" s="76">
        <v>18</v>
      </c>
      <c r="P356" s="76">
        <v>20</v>
      </c>
      <c r="Q356" s="91">
        <v>700</v>
      </c>
      <c r="R356" s="76">
        <v>10</v>
      </c>
      <c r="S356" s="76">
        <f>STOCK[[#This Row],[Peso (g)]]*STOCK[[#This Row],[Precio Envío Kilogramo (USD)]]/1000</f>
        <v>7</v>
      </c>
      <c r="T356" s="76">
        <f>STOCK[[#This Row],[Costo Unitario (USD)]]+STOCK[[#This Row],[Costo Envío (USD)]]+STOCK[[#This Row],[Comisión 10%]]</f>
        <v>30.5</v>
      </c>
      <c r="U356" s="76">
        <f>STOCK[[#This Row],[Costo total]]*1.5</f>
        <v>45.75</v>
      </c>
      <c r="V356" s="76">
        <v>35</v>
      </c>
      <c r="W356" s="76">
        <f>STOCK[[#This Row],[Precio Final]]-STOCK[[#This Row],[Costo total]]</f>
        <v>4.5</v>
      </c>
      <c r="X356" s="76">
        <f>STOCK[[#This Row],[Ganancia Unitaria]]*STOCK[[#This Row],[Salidas]]</f>
        <v>13.5</v>
      </c>
      <c r="AA356" s="76">
        <f>STOCK[[#This Row],[Costo total]]*STOCK[[#This Row],[Entradas]]</f>
        <v>91.5</v>
      </c>
      <c r="AB356" s="76">
        <f>STOCK[[#This Row],[Stock Actual]]*STOCK[[#This Row],[Costo total]]</f>
        <v>0</v>
      </c>
    </row>
    <row r="357" s="77" customFormat="1" ht="50" hidden="1" customHeight="1" spans="1:28">
      <c r="A357" s="77" t="s">
        <v>753</v>
      </c>
      <c r="B357" s="6"/>
      <c r="C357" s="77" t="s">
        <v>30</v>
      </c>
      <c r="D357" s="77" t="s">
        <v>514</v>
      </c>
      <c r="E357" s="77" t="s">
        <v>754</v>
      </c>
      <c r="F357" s="77" t="s">
        <v>539</v>
      </c>
      <c r="G357" s="77" t="s">
        <v>702</v>
      </c>
      <c r="H357" s="77">
        <f>STOCK[[#This Row],[Precio Final]]</f>
        <v>35</v>
      </c>
      <c r="I357" s="77">
        <f>STOCK[[#This Row],[Precio Venta Ideal (x1.5)]]</f>
        <v>43.8333333333333</v>
      </c>
      <c r="J357" s="92">
        <v>2</v>
      </c>
      <c r="K357" s="92">
        <f>SUMIFS(VENTAS[Cantidad],VENTAS[Código del producto Vendido],STOCK[[#This Row],[Code]])</f>
        <v>2</v>
      </c>
      <c r="L357" s="92">
        <f>STOCK[[#This Row],[Entradas]]-STOCK[[#This Row],[Salidas]]</f>
        <v>0</v>
      </c>
      <c r="M357" s="77">
        <f>STOCK[[#This Row],[Precio Final]]*10%</f>
        <v>3.5</v>
      </c>
      <c r="N357" s="77">
        <v>400</v>
      </c>
      <c r="O357" s="77">
        <v>18</v>
      </c>
      <c r="P357" s="77">
        <v>22.2222222222222</v>
      </c>
      <c r="Q357" s="92">
        <v>350</v>
      </c>
      <c r="R357" s="77">
        <v>10</v>
      </c>
      <c r="S357" s="77">
        <f>STOCK[[#This Row],[Peso (g)]]*STOCK[[#This Row],[Precio Envío Kilogramo (USD)]]/1000</f>
        <v>3.5</v>
      </c>
      <c r="T357" s="76">
        <f>STOCK[[#This Row],[Costo Unitario (USD)]]+STOCK[[#This Row],[Costo Envío (USD)]]+STOCK[[#This Row],[Comisión 10%]]</f>
        <v>29.2222222222222</v>
      </c>
      <c r="U357" s="77">
        <f>STOCK[[#This Row],[Costo total]]*1.5</f>
        <v>43.8333333333333</v>
      </c>
      <c r="V357" s="77">
        <v>35</v>
      </c>
      <c r="W357" s="77">
        <f>STOCK[[#This Row],[Precio Final]]-STOCK[[#This Row],[Costo total]]</f>
        <v>5.7777777777778</v>
      </c>
      <c r="X357" s="77">
        <f>STOCK[[#This Row],[Ganancia Unitaria]]*STOCK[[#This Row],[Salidas]]</f>
        <v>11.5555555555556</v>
      </c>
      <c r="AA357" s="77">
        <f>STOCK[[#This Row],[Costo total]]*STOCK[[#This Row],[Entradas]]</f>
        <v>58.4444444444444</v>
      </c>
      <c r="AB357" s="77">
        <f>STOCK[[#This Row],[Stock Actual]]*STOCK[[#This Row],[Costo total]]</f>
        <v>0</v>
      </c>
    </row>
    <row r="358" s="76" customFormat="1" ht="50" hidden="1" customHeight="1" spans="1:28">
      <c r="A358" s="76" t="s">
        <v>755</v>
      </c>
      <c r="B358" s="6"/>
      <c r="C358" s="76" t="s">
        <v>30</v>
      </c>
      <c r="D358" s="76" t="s">
        <v>514</v>
      </c>
      <c r="E358" s="76" t="s">
        <v>756</v>
      </c>
      <c r="F358" s="76" t="s">
        <v>757</v>
      </c>
      <c r="G358" s="76" t="s">
        <v>702</v>
      </c>
      <c r="H358" s="76">
        <f>STOCK[[#This Row],[Precio Final]]</f>
        <v>35</v>
      </c>
      <c r="I358" s="76">
        <f>STOCK[[#This Row],[Precio Venta Ideal (x1.5)]]</f>
        <v>45.75</v>
      </c>
      <c r="J358" s="91">
        <v>1</v>
      </c>
      <c r="K358" s="91">
        <f>SUMIFS(VENTAS[Cantidad],VENTAS[Código del producto Vendido],STOCK[[#This Row],[Code]])</f>
        <v>1</v>
      </c>
      <c r="L358" s="91">
        <f>STOCK[[#This Row],[Entradas]]-STOCK[[#This Row],[Salidas]]</f>
        <v>0</v>
      </c>
      <c r="M358" s="76">
        <f>STOCK[[#This Row],[Precio Final]]*10%</f>
        <v>3.5</v>
      </c>
      <c r="N358" s="76">
        <v>360</v>
      </c>
      <c r="O358" s="76">
        <v>18</v>
      </c>
      <c r="P358" s="76">
        <v>20</v>
      </c>
      <c r="Q358" s="91">
        <v>700</v>
      </c>
      <c r="R358" s="76">
        <v>10</v>
      </c>
      <c r="S358" s="76">
        <f>STOCK[[#This Row],[Peso (g)]]*STOCK[[#This Row],[Precio Envío Kilogramo (USD)]]/1000</f>
        <v>7</v>
      </c>
      <c r="T358" s="76">
        <f>STOCK[[#This Row],[Costo Unitario (USD)]]+STOCK[[#This Row],[Costo Envío (USD)]]+STOCK[[#This Row],[Comisión 10%]]</f>
        <v>30.5</v>
      </c>
      <c r="U358" s="76">
        <f>STOCK[[#This Row],[Costo total]]*1.5</f>
        <v>45.75</v>
      </c>
      <c r="V358" s="76">
        <v>35</v>
      </c>
      <c r="W358" s="76">
        <f>STOCK[[#This Row],[Precio Final]]-STOCK[[#This Row],[Costo total]]</f>
        <v>4.5</v>
      </c>
      <c r="X358" s="76">
        <f>STOCK[[#This Row],[Ganancia Unitaria]]*STOCK[[#This Row],[Salidas]]</f>
        <v>4.5</v>
      </c>
      <c r="AA358" s="76">
        <f>STOCK[[#This Row],[Costo total]]*STOCK[[#This Row],[Entradas]]</f>
        <v>30.5</v>
      </c>
      <c r="AB358" s="76">
        <f>STOCK[[#This Row],[Stock Actual]]*STOCK[[#This Row],[Costo total]]</f>
        <v>0</v>
      </c>
    </row>
    <row r="359" s="77" customFormat="1" ht="50" hidden="1" customHeight="1" spans="1:28">
      <c r="A359" s="77" t="s">
        <v>758</v>
      </c>
      <c r="B359" s="6"/>
      <c r="C359" s="77" t="s">
        <v>30</v>
      </c>
      <c r="D359" s="77" t="s">
        <v>514</v>
      </c>
      <c r="E359" s="77" t="s">
        <v>756</v>
      </c>
      <c r="F359" s="77" t="s">
        <v>516</v>
      </c>
      <c r="G359" s="77" t="s">
        <v>702</v>
      </c>
      <c r="H359" s="77">
        <f>STOCK[[#This Row],[Precio Final]]</f>
        <v>35</v>
      </c>
      <c r="I359" s="77">
        <f>STOCK[[#This Row],[Precio Venta Ideal (x1.5)]]</f>
        <v>45.75</v>
      </c>
      <c r="J359" s="92">
        <v>1</v>
      </c>
      <c r="K359" s="92">
        <f>SUMIFS(VENTAS[Cantidad],VENTAS[Código del producto Vendido],STOCK[[#This Row],[Code]])</f>
        <v>1</v>
      </c>
      <c r="L359" s="92">
        <f>STOCK[[#This Row],[Entradas]]-STOCK[[#This Row],[Salidas]]</f>
        <v>0</v>
      </c>
      <c r="M359" s="77">
        <f>STOCK[[#This Row],[Precio Final]]*10%</f>
        <v>3.5</v>
      </c>
      <c r="N359" s="77">
        <v>360</v>
      </c>
      <c r="O359" s="77">
        <v>18</v>
      </c>
      <c r="P359" s="77">
        <v>20</v>
      </c>
      <c r="Q359" s="92">
        <v>700</v>
      </c>
      <c r="R359" s="77">
        <v>10</v>
      </c>
      <c r="S359" s="77">
        <f>STOCK[[#This Row],[Peso (g)]]*STOCK[[#This Row],[Precio Envío Kilogramo (USD)]]/1000</f>
        <v>7</v>
      </c>
      <c r="T359" s="76">
        <f>STOCK[[#This Row],[Costo Unitario (USD)]]+STOCK[[#This Row],[Costo Envío (USD)]]+STOCK[[#This Row],[Comisión 10%]]</f>
        <v>30.5</v>
      </c>
      <c r="U359" s="77">
        <f>STOCK[[#This Row],[Costo total]]*1.5</f>
        <v>45.75</v>
      </c>
      <c r="V359" s="77">
        <v>35</v>
      </c>
      <c r="W359" s="77">
        <f>STOCK[[#This Row],[Precio Final]]-STOCK[[#This Row],[Costo total]]</f>
        <v>4.5</v>
      </c>
      <c r="X359" s="77">
        <f>STOCK[[#This Row],[Ganancia Unitaria]]*STOCK[[#This Row],[Salidas]]</f>
        <v>4.5</v>
      </c>
      <c r="AA359" s="77">
        <f>STOCK[[#This Row],[Costo total]]*STOCK[[#This Row],[Entradas]]</f>
        <v>30.5</v>
      </c>
      <c r="AB359" s="77">
        <f>STOCK[[#This Row],[Stock Actual]]*STOCK[[#This Row],[Costo total]]</f>
        <v>0</v>
      </c>
    </row>
    <row r="360" s="76" customFormat="1" ht="50" hidden="1" customHeight="1" spans="1:29">
      <c r="A360" s="76" t="s">
        <v>759</v>
      </c>
      <c r="B360" s="6"/>
      <c r="C360" s="76" t="s">
        <v>30</v>
      </c>
      <c r="D360" s="76" t="s">
        <v>760</v>
      </c>
      <c r="E360" s="76" t="s">
        <v>761</v>
      </c>
      <c r="F360" s="76" t="s">
        <v>762</v>
      </c>
      <c r="G360" s="76" t="s">
        <v>702</v>
      </c>
      <c r="H360" s="76">
        <f>STOCK[[#This Row],[Precio Final]]</f>
        <v>35</v>
      </c>
      <c r="I360" s="76">
        <f>STOCK[[#This Row],[Precio Venta Ideal (x1.5)]]</f>
        <v>33.3333333333333</v>
      </c>
      <c r="J360" s="91">
        <v>2</v>
      </c>
      <c r="K360" s="91">
        <f>SUMIFS(VENTAS[Cantidad],VENTAS[Código del producto Vendido],STOCK[[#This Row],[Code]])</f>
        <v>0</v>
      </c>
      <c r="L360" s="91">
        <f>STOCK[[#This Row],[Entradas]]-STOCK[[#This Row],[Salidas]]</f>
        <v>2</v>
      </c>
      <c r="M360" s="76">
        <f>STOCK[[#This Row],[Precio Final]]*10%</f>
        <v>3.5</v>
      </c>
      <c r="N360" s="76">
        <v>265</v>
      </c>
      <c r="O360" s="76">
        <v>18</v>
      </c>
      <c r="P360" s="76">
        <v>14.7222222222222</v>
      </c>
      <c r="Q360" s="91">
        <v>400</v>
      </c>
      <c r="R360" s="76">
        <v>10</v>
      </c>
      <c r="S360" s="76">
        <f>STOCK[[#This Row],[Peso (g)]]*STOCK[[#This Row],[Precio Envío Kilogramo (USD)]]/1000</f>
        <v>4</v>
      </c>
      <c r="T360" s="76">
        <f>STOCK[[#This Row],[Costo Unitario (USD)]]+STOCK[[#This Row],[Costo Envío (USD)]]+STOCK[[#This Row],[Comisión 10%]]</f>
        <v>22.2222222222222</v>
      </c>
      <c r="U360" s="76">
        <f>STOCK[[#This Row],[Costo total]]*1.5</f>
        <v>33.3333333333333</v>
      </c>
      <c r="V360" s="76">
        <v>35</v>
      </c>
      <c r="W360" s="76">
        <f>STOCK[[#This Row],[Precio Final]]-STOCK[[#This Row],[Costo total]]</f>
        <v>12.7777777777778</v>
      </c>
      <c r="X360" s="76">
        <f>STOCK[[#This Row],[Ganancia Unitaria]]*STOCK[[#This Row],[Salidas]]</f>
        <v>0</v>
      </c>
      <c r="AA360" s="76">
        <f>STOCK[[#This Row],[Costo total]]*STOCK[[#This Row],[Entradas]]</f>
        <v>44.4444444444444</v>
      </c>
      <c r="AB360" s="76">
        <f>STOCK[[#This Row],[Stock Actual]]*STOCK[[#This Row],[Costo total]]</f>
        <v>44.4444444444444</v>
      </c>
      <c r="AC360" s="76">
        <v>27</v>
      </c>
    </row>
    <row r="361" s="77" customFormat="1" ht="50" hidden="1" customHeight="1" spans="1:29">
      <c r="A361" s="77" t="s">
        <v>763</v>
      </c>
      <c r="B361" s="6"/>
      <c r="C361" s="77" t="s">
        <v>30</v>
      </c>
      <c r="D361" s="76" t="s">
        <v>760</v>
      </c>
      <c r="E361" s="77" t="s">
        <v>761</v>
      </c>
      <c r="F361" s="77" t="s">
        <v>764</v>
      </c>
      <c r="G361" s="77" t="s">
        <v>702</v>
      </c>
      <c r="H361" s="77">
        <f>STOCK[[#This Row],[Precio Final]]</f>
        <v>35</v>
      </c>
      <c r="I361" s="77">
        <f>STOCK[[#This Row],[Precio Venta Ideal (x1.5)]]</f>
        <v>33.3333333333333</v>
      </c>
      <c r="J361" s="92">
        <v>2</v>
      </c>
      <c r="K361" s="92">
        <f>SUMIFS(VENTAS[Cantidad],VENTAS[Código del producto Vendido],STOCK[[#This Row],[Code]])</f>
        <v>1</v>
      </c>
      <c r="L361" s="92">
        <f>STOCK[[#This Row],[Entradas]]-STOCK[[#This Row],[Salidas]]</f>
        <v>1</v>
      </c>
      <c r="M361" s="77">
        <f>STOCK[[#This Row],[Precio Final]]*10%</f>
        <v>3.5</v>
      </c>
      <c r="N361" s="77">
        <v>265</v>
      </c>
      <c r="O361" s="77">
        <v>18</v>
      </c>
      <c r="P361" s="77">
        <v>14.7222222222222</v>
      </c>
      <c r="Q361" s="92">
        <v>400</v>
      </c>
      <c r="R361" s="77">
        <v>10</v>
      </c>
      <c r="S361" s="77">
        <f>STOCK[[#This Row],[Peso (g)]]*STOCK[[#This Row],[Precio Envío Kilogramo (USD)]]/1000</f>
        <v>4</v>
      </c>
      <c r="T361" s="76">
        <f>STOCK[[#This Row],[Costo Unitario (USD)]]+STOCK[[#This Row],[Costo Envío (USD)]]+STOCK[[#This Row],[Comisión 10%]]</f>
        <v>22.2222222222222</v>
      </c>
      <c r="U361" s="77">
        <f>STOCK[[#This Row],[Costo total]]*1.5</f>
        <v>33.3333333333333</v>
      </c>
      <c r="V361" s="77">
        <v>35</v>
      </c>
      <c r="W361" s="77">
        <f>STOCK[[#This Row],[Precio Final]]-STOCK[[#This Row],[Costo total]]</f>
        <v>12.7777777777778</v>
      </c>
      <c r="X361" s="77">
        <f>STOCK[[#This Row],[Ganancia Unitaria]]*STOCK[[#This Row],[Salidas]]</f>
        <v>12.7777777777778</v>
      </c>
      <c r="AA361" s="77">
        <f>STOCK[[#This Row],[Costo total]]*STOCK[[#This Row],[Entradas]]</f>
        <v>44.4444444444444</v>
      </c>
      <c r="AB361" s="77">
        <f>STOCK[[#This Row],[Stock Actual]]*STOCK[[#This Row],[Costo total]]</f>
        <v>22.2222222222222</v>
      </c>
      <c r="AC361" s="77">
        <v>27</v>
      </c>
    </row>
    <row r="362" s="76" customFormat="1" ht="50" hidden="1" customHeight="1" spans="1:29">
      <c r="A362" s="76" t="s">
        <v>765</v>
      </c>
      <c r="B362" s="6"/>
      <c r="C362" s="76" t="s">
        <v>30</v>
      </c>
      <c r="D362" s="76" t="s">
        <v>760</v>
      </c>
      <c r="E362" s="76" t="s">
        <v>761</v>
      </c>
      <c r="F362" s="76" t="s">
        <v>766</v>
      </c>
      <c r="G362" s="76" t="s">
        <v>702</v>
      </c>
      <c r="H362" s="76">
        <f>STOCK[[#This Row],[Precio Final]]</f>
        <v>35</v>
      </c>
      <c r="I362" s="76">
        <f>STOCK[[#This Row],[Precio Venta Ideal (x1.5)]]</f>
        <v>33.3333333333333</v>
      </c>
      <c r="J362" s="91">
        <v>1</v>
      </c>
      <c r="K362" s="91">
        <f>SUMIFS(VENTAS[Cantidad],VENTAS[Código del producto Vendido],STOCK[[#This Row],[Code]])</f>
        <v>0</v>
      </c>
      <c r="L362" s="91">
        <f>STOCK[[#This Row],[Entradas]]-STOCK[[#This Row],[Salidas]]</f>
        <v>1</v>
      </c>
      <c r="M362" s="76">
        <f>STOCK[[#This Row],[Precio Final]]*10%</f>
        <v>3.5</v>
      </c>
      <c r="N362" s="76">
        <v>265</v>
      </c>
      <c r="O362" s="76">
        <v>18</v>
      </c>
      <c r="P362" s="76">
        <v>14.7222222222222</v>
      </c>
      <c r="Q362" s="91">
        <v>400</v>
      </c>
      <c r="R362" s="76">
        <v>10</v>
      </c>
      <c r="S362" s="76">
        <f>STOCK[[#This Row],[Peso (g)]]*STOCK[[#This Row],[Precio Envío Kilogramo (USD)]]/1000</f>
        <v>4</v>
      </c>
      <c r="T362" s="76">
        <f>STOCK[[#This Row],[Costo Unitario (USD)]]+STOCK[[#This Row],[Costo Envío (USD)]]+STOCK[[#This Row],[Comisión 10%]]</f>
        <v>22.2222222222222</v>
      </c>
      <c r="U362" s="76">
        <f>STOCK[[#This Row],[Costo total]]*1.5</f>
        <v>33.3333333333333</v>
      </c>
      <c r="V362" s="76">
        <v>35</v>
      </c>
      <c r="W362" s="76">
        <f>STOCK[[#This Row],[Precio Final]]-STOCK[[#This Row],[Costo total]]</f>
        <v>12.7777777777778</v>
      </c>
      <c r="X362" s="76">
        <f>STOCK[[#This Row],[Ganancia Unitaria]]*STOCK[[#This Row],[Salidas]]</f>
        <v>0</v>
      </c>
      <c r="AA362" s="76">
        <f>STOCK[[#This Row],[Costo total]]*STOCK[[#This Row],[Entradas]]</f>
        <v>22.2222222222222</v>
      </c>
      <c r="AB362" s="76">
        <f>STOCK[[#This Row],[Stock Actual]]*STOCK[[#This Row],[Costo total]]</f>
        <v>22.2222222222222</v>
      </c>
      <c r="AC362" s="76">
        <v>27</v>
      </c>
    </row>
    <row r="363" s="77" customFormat="1" ht="50" hidden="1" customHeight="1" spans="1:29">
      <c r="A363" s="77" t="s">
        <v>767</v>
      </c>
      <c r="B363" s="6"/>
      <c r="C363" s="77" t="s">
        <v>30</v>
      </c>
      <c r="D363" s="77" t="s">
        <v>760</v>
      </c>
      <c r="E363" s="77" t="s">
        <v>768</v>
      </c>
      <c r="F363" s="77" t="s">
        <v>516</v>
      </c>
      <c r="G363" s="77" t="s">
        <v>702</v>
      </c>
      <c r="H363" s="77">
        <f>STOCK[[#This Row],[Precio Final]]</f>
        <v>25</v>
      </c>
      <c r="I363" s="77">
        <f>STOCK[[#This Row],[Precio Venta Ideal (x1.5)]]</f>
        <v>21.5833333333333</v>
      </c>
      <c r="J363" s="92">
        <v>2</v>
      </c>
      <c r="K363" s="92">
        <f>SUMIFS(VENTAS[Cantidad],VENTAS[Código del producto Vendido],STOCK[[#This Row],[Code]])</f>
        <v>1</v>
      </c>
      <c r="L363" s="92">
        <f>STOCK[[#This Row],[Entradas]]-STOCK[[#This Row],[Salidas]]</f>
        <v>1</v>
      </c>
      <c r="M363" s="77">
        <f>STOCK[[#This Row],[Precio Final]]*10%</f>
        <v>2.5</v>
      </c>
      <c r="N363" s="77">
        <v>169</v>
      </c>
      <c r="O363" s="77">
        <v>18</v>
      </c>
      <c r="P363" s="77">
        <v>9.38888888888889</v>
      </c>
      <c r="Q363" s="92">
        <v>250</v>
      </c>
      <c r="R363" s="77">
        <v>10</v>
      </c>
      <c r="S363" s="77">
        <f>STOCK[[#This Row],[Peso (g)]]*STOCK[[#This Row],[Precio Envío Kilogramo (USD)]]/1000</f>
        <v>2.5</v>
      </c>
      <c r="T363" s="76">
        <f>STOCK[[#This Row],[Costo Unitario (USD)]]+STOCK[[#This Row],[Costo Envío (USD)]]+STOCK[[#This Row],[Comisión 10%]]</f>
        <v>14.3888888888889</v>
      </c>
      <c r="U363" s="77">
        <f>STOCK[[#This Row],[Costo total]]*1.5</f>
        <v>21.5833333333333</v>
      </c>
      <c r="V363" s="77">
        <v>25</v>
      </c>
      <c r="W363" s="77">
        <f>STOCK[[#This Row],[Precio Final]]-STOCK[[#This Row],[Costo total]]</f>
        <v>10.6111111111111</v>
      </c>
      <c r="X363" s="77">
        <f>STOCK[[#This Row],[Ganancia Unitaria]]*STOCK[[#This Row],[Salidas]]</f>
        <v>10.6111111111111</v>
      </c>
      <c r="AA363" s="77">
        <f>STOCK[[#This Row],[Costo total]]*STOCK[[#This Row],[Entradas]]</f>
        <v>28.7777777777778</v>
      </c>
      <c r="AB363" s="77">
        <f>STOCK[[#This Row],[Stock Actual]]*STOCK[[#This Row],[Costo total]]</f>
        <v>14.3888888888889</v>
      </c>
      <c r="AC363" s="77">
        <v>18</v>
      </c>
    </row>
    <row r="364" s="76" customFormat="1" ht="50" hidden="1" customHeight="1" spans="1:28">
      <c r="A364" s="76" t="s">
        <v>769</v>
      </c>
      <c r="B364" s="6"/>
      <c r="C364" s="76" t="s">
        <v>30</v>
      </c>
      <c r="D364" s="76" t="s">
        <v>514</v>
      </c>
      <c r="E364" s="76" t="s">
        <v>770</v>
      </c>
      <c r="F364" s="76" t="s">
        <v>539</v>
      </c>
      <c r="G364" s="76" t="s">
        <v>702</v>
      </c>
      <c r="H364" s="76">
        <f>STOCK[[#This Row],[Precio Final]]</f>
        <v>39</v>
      </c>
      <c r="I364" s="76">
        <f>STOCK[[#This Row],[Precio Venta Ideal (x1.5)]]</f>
        <v>50.1</v>
      </c>
      <c r="J364" s="91">
        <v>1</v>
      </c>
      <c r="K364" s="91">
        <f>SUMIFS(VENTAS[Cantidad],VENTAS[Código del producto Vendido],STOCK[[#This Row],[Code]])</f>
        <v>1</v>
      </c>
      <c r="L364" s="91">
        <f>STOCK[[#This Row],[Entradas]]-STOCK[[#This Row],[Salidas]]</f>
        <v>0</v>
      </c>
      <c r="M364" s="76">
        <f>STOCK[[#This Row],[Precio Final]]*10%</f>
        <v>3.9</v>
      </c>
      <c r="N364" s="76">
        <v>396</v>
      </c>
      <c r="O364" s="76">
        <v>18</v>
      </c>
      <c r="P364" s="76">
        <v>25</v>
      </c>
      <c r="Q364" s="91">
        <v>450</v>
      </c>
      <c r="R364" s="76">
        <v>10</v>
      </c>
      <c r="S364" s="76">
        <f>STOCK[[#This Row],[Peso (g)]]*STOCK[[#This Row],[Precio Envío Kilogramo (USD)]]/1000</f>
        <v>4.5</v>
      </c>
      <c r="T364" s="76">
        <f>STOCK[[#This Row],[Costo Unitario (USD)]]+STOCK[[#This Row],[Costo Envío (USD)]]+STOCK[[#This Row],[Comisión 10%]]</f>
        <v>33.4</v>
      </c>
      <c r="U364" s="76">
        <f>STOCK[[#This Row],[Costo total]]*1.5</f>
        <v>50.1</v>
      </c>
      <c r="V364" s="76">
        <v>39</v>
      </c>
      <c r="W364" s="76">
        <f>STOCK[[#This Row],[Precio Final]]-STOCK[[#This Row],[Costo total]]</f>
        <v>5.6</v>
      </c>
      <c r="X364" s="76">
        <f>STOCK[[#This Row],[Ganancia Unitaria]]*STOCK[[#This Row],[Salidas]]</f>
        <v>5.6</v>
      </c>
      <c r="AA364" s="76">
        <f>STOCK[[#This Row],[Costo total]]*STOCK[[#This Row],[Entradas]]</f>
        <v>33.4</v>
      </c>
      <c r="AB364" s="76">
        <f>STOCK[[#This Row],[Stock Actual]]*STOCK[[#This Row],[Costo total]]</f>
        <v>0</v>
      </c>
    </row>
    <row r="365" s="77" customFormat="1" ht="50" hidden="1" customHeight="1" spans="1:28">
      <c r="A365" s="77" t="s">
        <v>771</v>
      </c>
      <c r="B365" s="6"/>
      <c r="C365" s="77" t="s">
        <v>30</v>
      </c>
      <c r="D365" s="77" t="s">
        <v>514</v>
      </c>
      <c r="E365" s="77" t="s">
        <v>772</v>
      </c>
      <c r="F365" s="77" t="s">
        <v>757</v>
      </c>
      <c r="G365" s="77" t="s">
        <v>702</v>
      </c>
      <c r="H365" s="77">
        <f>STOCK[[#This Row],[Precio Final]]</f>
        <v>35</v>
      </c>
      <c r="I365" s="77">
        <f>STOCK[[#This Row],[Precio Venta Ideal (x1.5)]]</f>
        <v>40.1666666666667</v>
      </c>
      <c r="J365" s="92">
        <v>1</v>
      </c>
      <c r="K365" s="92">
        <f>SUMIFS(VENTAS[Cantidad],VENTAS[Código del producto Vendido],STOCK[[#This Row],[Code]])</f>
        <v>1</v>
      </c>
      <c r="L365" s="92">
        <f>STOCK[[#This Row],[Entradas]]-STOCK[[#This Row],[Salidas]]</f>
        <v>0</v>
      </c>
      <c r="M365" s="77">
        <f>STOCK[[#This Row],[Precio Final]]*10%</f>
        <v>3.5</v>
      </c>
      <c r="N365" s="77">
        <v>356</v>
      </c>
      <c r="O365" s="77">
        <v>18</v>
      </c>
      <c r="P365" s="77">
        <v>19.7777777777778</v>
      </c>
      <c r="Q365" s="92">
        <v>350</v>
      </c>
      <c r="R365" s="77">
        <v>10</v>
      </c>
      <c r="S365" s="77">
        <f>STOCK[[#This Row],[Peso (g)]]*STOCK[[#This Row],[Precio Envío Kilogramo (USD)]]/1000</f>
        <v>3.5</v>
      </c>
      <c r="T365" s="76">
        <f>STOCK[[#This Row],[Costo Unitario (USD)]]+STOCK[[#This Row],[Costo Envío (USD)]]+STOCK[[#This Row],[Comisión 10%]]</f>
        <v>26.7777777777778</v>
      </c>
      <c r="U365" s="77">
        <f>STOCK[[#This Row],[Costo total]]*1.5</f>
        <v>40.1666666666667</v>
      </c>
      <c r="V365" s="77">
        <v>35</v>
      </c>
      <c r="W365" s="77">
        <f>STOCK[[#This Row],[Precio Final]]-STOCK[[#This Row],[Costo total]]</f>
        <v>8.2222222222222</v>
      </c>
      <c r="X365" s="77">
        <f>STOCK[[#This Row],[Ganancia Unitaria]]*STOCK[[#This Row],[Salidas]]</f>
        <v>8.2222222222222</v>
      </c>
      <c r="AA365" s="77">
        <f>STOCK[[#This Row],[Costo total]]*STOCK[[#This Row],[Entradas]]</f>
        <v>26.7777777777778</v>
      </c>
      <c r="AB365" s="77">
        <f>STOCK[[#This Row],[Stock Actual]]*STOCK[[#This Row],[Costo total]]</f>
        <v>0</v>
      </c>
    </row>
    <row r="366" s="76" customFormat="1" ht="50" hidden="1" customHeight="1" spans="1:28">
      <c r="A366" s="76" t="s">
        <v>773</v>
      </c>
      <c r="B366" s="6"/>
      <c r="C366" s="76" t="s">
        <v>30</v>
      </c>
      <c r="D366" s="76" t="s">
        <v>514</v>
      </c>
      <c r="E366" s="76" t="s">
        <v>772</v>
      </c>
      <c r="F366" s="76" t="s">
        <v>766</v>
      </c>
      <c r="G366" s="76" t="s">
        <v>702</v>
      </c>
      <c r="H366" s="76">
        <f>STOCK[[#This Row],[Precio Final]]</f>
        <v>30</v>
      </c>
      <c r="I366" s="76">
        <f>STOCK[[#This Row],[Precio Venta Ideal (x1.5)]]</f>
        <v>39.4166666666667</v>
      </c>
      <c r="J366" s="91">
        <v>1</v>
      </c>
      <c r="K366" s="91">
        <f>SUMIFS(VENTAS[Cantidad],VENTAS[Código del producto Vendido],STOCK[[#This Row],[Code]])</f>
        <v>1</v>
      </c>
      <c r="L366" s="91">
        <f>STOCK[[#This Row],[Entradas]]-STOCK[[#This Row],[Salidas]]</f>
        <v>0</v>
      </c>
      <c r="M366" s="76">
        <f>STOCK[[#This Row],[Precio Final]]*10%</f>
        <v>3</v>
      </c>
      <c r="N366" s="76">
        <v>356</v>
      </c>
      <c r="O366" s="76">
        <v>18</v>
      </c>
      <c r="P366" s="76">
        <v>19.7777777777778</v>
      </c>
      <c r="Q366" s="91">
        <v>350</v>
      </c>
      <c r="R366" s="76">
        <v>10</v>
      </c>
      <c r="S366" s="76">
        <f>STOCK[[#This Row],[Peso (g)]]*STOCK[[#This Row],[Precio Envío Kilogramo (USD)]]/1000</f>
        <v>3.5</v>
      </c>
      <c r="T366" s="76">
        <f>STOCK[[#This Row],[Costo Unitario (USD)]]+STOCK[[#This Row],[Costo Envío (USD)]]+STOCK[[#This Row],[Comisión 10%]]</f>
        <v>26.2777777777778</v>
      </c>
      <c r="U366" s="76">
        <f>STOCK[[#This Row],[Costo total]]*1.5</f>
        <v>39.4166666666667</v>
      </c>
      <c r="V366" s="76">
        <v>30</v>
      </c>
      <c r="W366" s="76">
        <f>STOCK[[#This Row],[Precio Final]]-STOCK[[#This Row],[Costo total]]</f>
        <v>3.7222222222222</v>
      </c>
      <c r="X366" s="76">
        <f>STOCK[[#This Row],[Ganancia Unitaria]]*STOCK[[#This Row],[Salidas]]</f>
        <v>3.7222222222222</v>
      </c>
      <c r="AA366" s="76">
        <f>STOCK[[#This Row],[Costo total]]*STOCK[[#This Row],[Entradas]]</f>
        <v>26.2777777777778</v>
      </c>
      <c r="AB366" s="76">
        <f>STOCK[[#This Row],[Stock Actual]]*STOCK[[#This Row],[Costo total]]</f>
        <v>0</v>
      </c>
    </row>
    <row r="367" s="77" customFormat="1" ht="50" hidden="1" customHeight="1" spans="1:28">
      <c r="A367" s="77" t="s">
        <v>774</v>
      </c>
      <c r="B367" s="6"/>
      <c r="C367" s="77" t="s">
        <v>30</v>
      </c>
      <c r="D367" s="77" t="s">
        <v>173</v>
      </c>
      <c r="E367" s="77" t="s">
        <v>775</v>
      </c>
      <c r="F367" s="77" t="s">
        <v>776</v>
      </c>
      <c r="G367" s="77" t="s">
        <v>702</v>
      </c>
      <c r="H367" s="77">
        <f>STOCK[[#This Row],[Precio Final]]</f>
        <v>10</v>
      </c>
      <c r="I367" s="77">
        <f>STOCK[[#This Row],[Precio Venta Ideal (x1.5)]]</f>
        <v>10.5833333333333</v>
      </c>
      <c r="J367" s="92">
        <v>3</v>
      </c>
      <c r="K367" s="92">
        <f>SUMIFS(VENTAS[Cantidad],VENTAS[Código del producto Vendido],STOCK[[#This Row],[Code]])</f>
        <v>3</v>
      </c>
      <c r="L367" s="92">
        <f>STOCK[[#This Row],[Entradas]]-STOCK[[#This Row],[Salidas]]</f>
        <v>0</v>
      </c>
      <c r="M367" s="77">
        <f>STOCK[[#This Row],[Precio Final]]*10%</f>
        <v>1</v>
      </c>
      <c r="N367" s="77">
        <v>100</v>
      </c>
      <c r="O367" s="77">
        <v>18</v>
      </c>
      <c r="P367" s="77">
        <v>5.55555555555556</v>
      </c>
      <c r="Q367" s="92">
        <v>50</v>
      </c>
      <c r="R367" s="77">
        <v>10</v>
      </c>
      <c r="S367" s="77">
        <f>STOCK[[#This Row],[Peso (g)]]*STOCK[[#This Row],[Precio Envío Kilogramo (USD)]]/1000</f>
        <v>0.5</v>
      </c>
      <c r="T367" s="76">
        <f>STOCK[[#This Row],[Costo Unitario (USD)]]+STOCK[[#This Row],[Costo Envío (USD)]]+STOCK[[#This Row],[Comisión 10%]]</f>
        <v>7.05555555555556</v>
      </c>
      <c r="U367" s="77">
        <f>STOCK[[#This Row],[Costo total]]*1.5</f>
        <v>10.5833333333333</v>
      </c>
      <c r="V367" s="77">
        <v>10</v>
      </c>
      <c r="W367" s="77">
        <f>STOCK[[#This Row],[Precio Final]]-STOCK[[#This Row],[Costo total]]</f>
        <v>2.94444444444444</v>
      </c>
      <c r="X367" s="77">
        <f>STOCK[[#This Row],[Ganancia Unitaria]]*STOCK[[#This Row],[Salidas]]</f>
        <v>8.83333333333332</v>
      </c>
      <c r="AA367" s="77">
        <f>STOCK[[#This Row],[Costo total]]*STOCK[[#This Row],[Entradas]]</f>
        <v>21.1666666666667</v>
      </c>
      <c r="AB367" s="77">
        <f>STOCK[[#This Row],[Stock Actual]]*STOCK[[#This Row],[Costo total]]</f>
        <v>0</v>
      </c>
    </row>
    <row r="368" s="76" customFormat="1" ht="50" hidden="1" customHeight="1" spans="1:28">
      <c r="A368" s="76" t="s">
        <v>777</v>
      </c>
      <c r="B368" s="6"/>
      <c r="C368" s="76" t="s">
        <v>30</v>
      </c>
      <c r="D368" s="76" t="s">
        <v>778</v>
      </c>
      <c r="E368" s="76" t="s">
        <v>775</v>
      </c>
      <c r="F368" s="76" t="s">
        <v>38</v>
      </c>
      <c r="G368" s="76" t="s">
        <v>702</v>
      </c>
      <c r="H368" s="76">
        <f>STOCK[[#This Row],[Precio Final]]</f>
        <v>10</v>
      </c>
      <c r="I368" s="76">
        <f>STOCK[[#This Row],[Precio Venta Ideal (x1.5)]]</f>
        <v>10.5833333333333</v>
      </c>
      <c r="J368" s="91">
        <v>2</v>
      </c>
      <c r="K368" s="91">
        <f>SUMIFS(VENTAS[Cantidad],VENTAS[Código del producto Vendido],STOCK[[#This Row],[Code]])</f>
        <v>1</v>
      </c>
      <c r="L368" s="91">
        <f>STOCK[[#This Row],[Entradas]]-STOCK[[#This Row],[Salidas]]</f>
        <v>1</v>
      </c>
      <c r="M368" s="76">
        <f>STOCK[[#This Row],[Precio Final]]*10%</f>
        <v>1</v>
      </c>
      <c r="N368" s="76">
        <v>100</v>
      </c>
      <c r="O368" s="76">
        <v>18</v>
      </c>
      <c r="P368" s="76">
        <v>5.55555555555556</v>
      </c>
      <c r="Q368" s="91">
        <v>50</v>
      </c>
      <c r="R368" s="76">
        <v>10</v>
      </c>
      <c r="S368" s="76">
        <f>STOCK[[#This Row],[Peso (g)]]*STOCK[[#This Row],[Precio Envío Kilogramo (USD)]]/1000</f>
        <v>0.5</v>
      </c>
      <c r="T368" s="76">
        <f>STOCK[[#This Row],[Costo Unitario (USD)]]+STOCK[[#This Row],[Costo Envío (USD)]]+STOCK[[#This Row],[Comisión 10%]]</f>
        <v>7.05555555555556</v>
      </c>
      <c r="U368" s="76">
        <f>STOCK[[#This Row],[Costo total]]*1.5</f>
        <v>10.5833333333333</v>
      </c>
      <c r="V368" s="76">
        <v>10</v>
      </c>
      <c r="W368" s="76">
        <f>STOCK[[#This Row],[Precio Final]]-STOCK[[#This Row],[Costo total]]</f>
        <v>2.94444444444444</v>
      </c>
      <c r="X368" s="76">
        <f>STOCK[[#This Row],[Ganancia Unitaria]]*STOCK[[#This Row],[Salidas]]</f>
        <v>2.94444444444444</v>
      </c>
      <c r="AA368" s="76">
        <f>STOCK[[#This Row],[Costo total]]*STOCK[[#This Row],[Entradas]]</f>
        <v>14.1111111111111</v>
      </c>
      <c r="AB368" s="76">
        <f>STOCK[[#This Row],[Stock Actual]]*STOCK[[#This Row],[Costo total]]</f>
        <v>7.05555555555556</v>
      </c>
    </row>
    <row r="369" s="77" customFormat="1" ht="50" hidden="1" customHeight="1" spans="1:28">
      <c r="A369" s="77" t="s">
        <v>779</v>
      </c>
      <c r="B369" s="6"/>
      <c r="C369" s="77" t="s">
        <v>30</v>
      </c>
      <c r="D369" s="77" t="s">
        <v>778</v>
      </c>
      <c r="E369" s="77" t="s">
        <v>780</v>
      </c>
      <c r="F369" s="77" t="s">
        <v>38</v>
      </c>
      <c r="G369" s="77" t="s">
        <v>702</v>
      </c>
      <c r="H369" s="77">
        <f>STOCK[[#This Row],[Precio Final]]</f>
        <v>10</v>
      </c>
      <c r="I369" s="77">
        <f>STOCK[[#This Row],[Precio Venta Ideal (x1.5)]]</f>
        <v>10.5833333333333</v>
      </c>
      <c r="J369" s="92">
        <v>2</v>
      </c>
      <c r="K369" s="92">
        <f>SUMIFS(VENTAS[Cantidad],VENTAS[Código del producto Vendido],STOCK[[#This Row],[Code]])</f>
        <v>0</v>
      </c>
      <c r="L369" s="92">
        <f>STOCK[[#This Row],[Entradas]]-STOCK[[#This Row],[Salidas]]</f>
        <v>2</v>
      </c>
      <c r="M369" s="77">
        <f>STOCK[[#This Row],[Precio Final]]*10%</f>
        <v>1</v>
      </c>
      <c r="N369" s="77">
        <v>100</v>
      </c>
      <c r="O369" s="77">
        <v>18</v>
      </c>
      <c r="P369" s="77">
        <v>5.55555555555556</v>
      </c>
      <c r="Q369" s="92">
        <v>50</v>
      </c>
      <c r="R369" s="77">
        <v>10</v>
      </c>
      <c r="S369" s="77">
        <f>STOCK[[#This Row],[Peso (g)]]*STOCK[[#This Row],[Precio Envío Kilogramo (USD)]]/1000</f>
        <v>0.5</v>
      </c>
      <c r="T369" s="76">
        <f>STOCK[[#This Row],[Costo Unitario (USD)]]+STOCK[[#This Row],[Costo Envío (USD)]]+STOCK[[#This Row],[Comisión 10%]]</f>
        <v>7.05555555555556</v>
      </c>
      <c r="U369" s="77">
        <f>STOCK[[#This Row],[Costo total]]*1.5</f>
        <v>10.5833333333333</v>
      </c>
      <c r="V369" s="77">
        <v>10</v>
      </c>
      <c r="W369" s="77">
        <f>STOCK[[#This Row],[Precio Final]]-STOCK[[#This Row],[Costo total]]</f>
        <v>2.94444444444444</v>
      </c>
      <c r="X369" s="77">
        <f>STOCK[[#This Row],[Ganancia Unitaria]]*STOCK[[#This Row],[Salidas]]</f>
        <v>0</v>
      </c>
      <c r="AA369" s="77">
        <f>STOCK[[#This Row],[Costo total]]*STOCK[[#This Row],[Entradas]]</f>
        <v>14.1111111111111</v>
      </c>
      <c r="AB369" s="77">
        <f>STOCK[[#This Row],[Stock Actual]]*STOCK[[#This Row],[Costo total]]</f>
        <v>14.1111111111111</v>
      </c>
    </row>
    <row r="370" s="76" customFormat="1" ht="50" hidden="1" customHeight="1" spans="1:28">
      <c r="A370" s="76" t="s">
        <v>781</v>
      </c>
      <c r="B370" s="6"/>
      <c r="C370" s="76" t="s">
        <v>30</v>
      </c>
      <c r="D370" s="76" t="s">
        <v>173</v>
      </c>
      <c r="E370" s="76" t="s">
        <v>780</v>
      </c>
      <c r="F370" s="76" t="s">
        <v>776</v>
      </c>
      <c r="G370" s="76" t="s">
        <v>702</v>
      </c>
      <c r="H370" s="76">
        <f>STOCK[[#This Row],[Precio Final]]</f>
        <v>10</v>
      </c>
      <c r="I370" s="76">
        <f>STOCK[[#This Row],[Precio Venta Ideal (x1.5)]]</f>
        <v>10.5833333333333</v>
      </c>
      <c r="J370" s="91">
        <v>1</v>
      </c>
      <c r="K370" s="91">
        <f>SUMIFS(VENTAS[Cantidad],VENTAS[Código del producto Vendido],STOCK[[#This Row],[Code]])</f>
        <v>1</v>
      </c>
      <c r="L370" s="91">
        <f>STOCK[[#This Row],[Entradas]]-STOCK[[#This Row],[Salidas]]</f>
        <v>0</v>
      </c>
      <c r="M370" s="76">
        <f>STOCK[[#This Row],[Precio Final]]*10%</f>
        <v>1</v>
      </c>
      <c r="N370" s="76">
        <v>100</v>
      </c>
      <c r="O370" s="76">
        <v>18</v>
      </c>
      <c r="P370" s="76">
        <v>5.55555555555556</v>
      </c>
      <c r="Q370" s="91">
        <v>50</v>
      </c>
      <c r="R370" s="76">
        <v>10</v>
      </c>
      <c r="S370" s="76">
        <f>STOCK[[#This Row],[Peso (g)]]*STOCK[[#This Row],[Precio Envío Kilogramo (USD)]]/1000</f>
        <v>0.5</v>
      </c>
      <c r="T370" s="76">
        <f>STOCK[[#This Row],[Costo Unitario (USD)]]+STOCK[[#This Row],[Costo Envío (USD)]]+STOCK[[#This Row],[Comisión 10%]]</f>
        <v>7.05555555555556</v>
      </c>
      <c r="U370" s="76">
        <f>STOCK[[#This Row],[Costo total]]*1.5</f>
        <v>10.5833333333333</v>
      </c>
      <c r="V370" s="76">
        <v>10</v>
      </c>
      <c r="W370" s="76">
        <f>STOCK[[#This Row],[Precio Final]]-STOCK[[#This Row],[Costo total]]</f>
        <v>2.94444444444444</v>
      </c>
      <c r="X370" s="76">
        <f>STOCK[[#This Row],[Ganancia Unitaria]]*STOCK[[#This Row],[Salidas]]</f>
        <v>2.94444444444444</v>
      </c>
      <c r="AA370" s="76">
        <f>STOCK[[#This Row],[Costo total]]*STOCK[[#This Row],[Entradas]]</f>
        <v>7.05555555555556</v>
      </c>
      <c r="AB370" s="76">
        <f>STOCK[[#This Row],[Stock Actual]]*STOCK[[#This Row],[Costo total]]</f>
        <v>0</v>
      </c>
    </row>
    <row r="371" s="77" customFormat="1" ht="50" hidden="1" customHeight="1" spans="1:28">
      <c r="A371" s="77" t="s">
        <v>782</v>
      </c>
      <c r="B371" s="6"/>
      <c r="C371" s="77" t="s">
        <v>30</v>
      </c>
      <c r="D371" s="77" t="s">
        <v>778</v>
      </c>
      <c r="E371" s="77" t="s">
        <v>783</v>
      </c>
      <c r="F371" s="77" t="s">
        <v>38</v>
      </c>
      <c r="G371" s="77" t="s">
        <v>702</v>
      </c>
      <c r="H371" s="77">
        <f>STOCK[[#This Row],[Precio Final]]</f>
        <v>10</v>
      </c>
      <c r="I371" s="77">
        <f>STOCK[[#This Row],[Precio Venta Ideal (x1.5)]]</f>
        <v>10.5833333333333</v>
      </c>
      <c r="J371" s="92">
        <v>2</v>
      </c>
      <c r="K371" s="92">
        <f>SUMIFS(VENTAS[Cantidad],VENTAS[Código del producto Vendido],STOCK[[#This Row],[Code]])</f>
        <v>1</v>
      </c>
      <c r="L371" s="92">
        <f>STOCK[[#This Row],[Entradas]]-STOCK[[#This Row],[Salidas]]</f>
        <v>1</v>
      </c>
      <c r="M371" s="77">
        <f>STOCK[[#This Row],[Precio Final]]*10%</f>
        <v>1</v>
      </c>
      <c r="N371" s="77">
        <v>100</v>
      </c>
      <c r="O371" s="77">
        <v>18</v>
      </c>
      <c r="P371" s="77">
        <v>5.55555555555556</v>
      </c>
      <c r="Q371" s="92">
        <v>50</v>
      </c>
      <c r="R371" s="77">
        <v>10</v>
      </c>
      <c r="S371" s="77">
        <f>STOCK[[#This Row],[Peso (g)]]*STOCK[[#This Row],[Precio Envío Kilogramo (USD)]]/1000</f>
        <v>0.5</v>
      </c>
      <c r="T371" s="76">
        <f>STOCK[[#This Row],[Costo Unitario (USD)]]+STOCK[[#This Row],[Costo Envío (USD)]]+STOCK[[#This Row],[Comisión 10%]]</f>
        <v>7.05555555555556</v>
      </c>
      <c r="U371" s="77">
        <f>STOCK[[#This Row],[Costo total]]*1.5</f>
        <v>10.5833333333333</v>
      </c>
      <c r="V371" s="77">
        <v>10</v>
      </c>
      <c r="W371" s="77">
        <f>STOCK[[#This Row],[Precio Final]]-STOCK[[#This Row],[Costo total]]</f>
        <v>2.94444444444444</v>
      </c>
      <c r="X371" s="77">
        <f>STOCK[[#This Row],[Ganancia Unitaria]]*STOCK[[#This Row],[Salidas]]</f>
        <v>2.94444444444444</v>
      </c>
      <c r="AA371" s="77">
        <f>STOCK[[#This Row],[Costo total]]*STOCK[[#This Row],[Entradas]]</f>
        <v>14.1111111111111</v>
      </c>
      <c r="AB371" s="77">
        <f>STOCK[[#This Row],[Stock Actual]]*STOCK[[#This Row],[Costo total]]</f>
        <v>7.05555555555556</v>
      </c>
    </row>
    <row r="372" s="76" customFormat="1" ht="50" hidden="1" customHeight="1" spans="1:28">
      <c r="A372" s="76" t="s">
        <v>784</v>
      </c>
      <c r="B372" s="6"/>
      <c r="C372" s="76" t="s">
        <v>30</v>
      </c>
      <c r="D372" s="76" t="s">
        <v>173</v>
      </c>
      <c r="E372" s="76" t="s">
        <v>785</v>
      </c>
      <c r="F372" s="76" t="s">
        <v>60</v>
      </c>
      <c r="G372" s="76" t="s">
        <v>702</v>
      </c>
      <c r="H372" s="76">
        <f>STOCK[[#This Row],[Precio Final]]</f>
        <v>10</v>
      </c>
      <c r="I372" s="76">
        <f>STOCK[[#This Row],[Precio Venta Ideal (x1.5)]]</f>
        <v>10.5833333333333</v>
      </c>
      <c r="J372" s="91">
        <v>1</v>
      </c>
      <c r="K372" s="91">
        <f>SUMIFS(VENTAS[Cantidad],VENTAS[Código del producto Vendido],STOCK[[#This Row],[Code]])</f>
        <v>1</v>
      </c>
      <c r="L372" s="91">
        <f>STOCK[[#This Row],[Entradas]]-STOCK[[#This Row],[Salidas]]</f>
        <v>0</v>
      </c>
      <c r="M372" s="76">
        <f>STOCK[[#This Row],[Precio Final]]*10%</f>
        <v>1</v>
      </c>
      <c r="N372" s="76">
        <v>100</v>
      </c>
      <c r="O372" s="76">
        <v>18</v>
      </c>
      <c r="P372" s="76">
        <v>5.55555555555556</v>
      </c>
      <c r="Q372" s="91">
        <v>50</v>
      </c>
      <c r="R372" s="76">
        <v>10</v>
      </c>
      <c r="S372" s="76">
        <f>STOCK[[#This Row],[Peso (g)]]*STOCK[[#This Row],[Precio Envío Kilogramo (USD)]]/1000</f>
        <v>0.5</v>
      </c>
      <c r="T372" s="76">
        <f>STOCK[[#This Row],[Costo Unitario (USD)]]+STOCK[[#This Row],[Costo Envío (USD)]]+STOCK[[#This Row],[Comisión 10%]]</f>
        <v>7.05555555555556</v>
      </c>
      <c r="U372" s="76">
        <f>STOCK[[#This Row],[Costo total]]*1.5</f>
        <v>10.5833333333333</v>
      </c>
      <c r="V372" s="76">
        <v>10</v>
      </c>
      <c r="W372" s="76">
        <f>STOCK[[#This Row],[Precio Final]]-STOCK[[#This Row],[Costo total]]</f>
        <v>2.94444444444444</v>
      </c>
      <c r="X372" s="76">
        <f>STOCK[[#This Row],[Ganancia Unitaria]]*STOCK[[#This Row],[Salidas]]</f>
        <v>2.94444444444444</v>
      </c>
      <c r="AA372" s="76">
        <f>STOCK[[#This Row],[Costo total]]*STOCK[[#This Row],[Entradas]]</f>
        <v>7.05555555555556</v>
      </c>
      <c r="AB372" s="76">
        <f>STOCK[[#This Row],[Stock Actual]]*STOCK[[#This Row],[Costo total]]</f>
        <v>0</v>
      </c>
    </row>
    <row r="373" s="77" customFormat="1" ht="50" hidden="1" customHeight="1" spans="1:28">
      <c r="A373" s="77" t="s">
        <v>786</v>
      </c>
      <c r="B373" s="6"/>
      <c r="C373" s="77" t="s">
        <v>30</v>
      </c>
      <c r="D373" s="77" t="s">
        <v>350</v>
      </c>
      <c r="E373" s="77" t="s">
        <v>787</v>
      </c>
      <c r="F373" s="77" t="s">
        <v>393</v>
      </c>
      <c r="G373" s="77" t="s">
        <v>702</v>
      </c>
      <c r="H373" s="77">
        <f>STOCK[[#This Row],[Precio Final]]</f>
        <v>0</v>
      </c>
      <c r="I373" s="77">
        <f>STOCK[[#This Row],[Precio Venta Ideal (x1.5)]]</f>
        <v>17.3333333333334</v>
      </c>
      <c r="J373" s="92">
        <v>0</v>
      </c>
      <c r="K373" s="92">
        <f>SUMIFS(VENTAS[Cantidad],VENTAS[Código del producto Vendido],STOCK[[#This Row],[Code]])</f>
        <v>0</v>
      </c>
      <c r="L373" s="92">
        <f>STOCK[[#This Row],[Entradas]]-STOCK[[#This Row],[Salidas]]</f>
        <v>0</v>
      </c>
      <c r="M373" s="77">
        <f>STOCK[[#This Row],[Precio Final]]*10%</f>
        <v>0</v>
      </c>
      <c r="N373" s="77">
        <v>199</v>
      </c>
      <c r="O373" s="77">
        <v>18</v>
      </c>
      <c r="P373" s="77">
        <v>11.0555555555556</v>
      </c>
      <c r="Q373" s="92">
        <v>50</v>
      </c>
      <c r="R373" s="77">
        <v>10</v>
      </c>
      <c r="S373" s="77">
        <f>STOCK[[#This Row],[Peso (g)]]*STOCK[[#This Row],[Precio Envío Kilogramo (USD)]]/1000</f>
        <v>0.5</v>
      </c>
      <c r="T373" s="76">
        <f>STOCK[[#This Row],[Costo Unitario (USD)]]+STOCK[[#This Row],[Costo Envío (USD)]]+STOCK[[#This Row],[Comisión 10%]]</f>
        <v>11.5555555555556</v>
      </c>
      <c r="U373" s="77">
        <f>STOCK[[#This Row],[Costo total]]*1.5</f>
        <v>17.3333333333334</v>
      </c>
      <c r="V373" s="77">
        <v>0</v>
      </c>
      <c r="W373" s="77">
        <f>STOCK[[#This Row],[Precio Final]]-STOCK[[#This Row],[Costo total]]</f>
        <v>-11.5555555555556</v>
      </c>
      <c r="X373" s="77">
        <f>STOCK[[#This Row],[Ganancia Unitaria]]*STOCK[[#This Row],[Salidas]]</f>
        <v>0</v>
      </c>
      <c r="AA373" s="77">
        <f>STOCK[[#This Row],[Costo total]]*STOCK[[#This Row],[Entradas]]</f>
        <v>0</v>
      </c>
      <c r="AB373" s="77">
        <f>STOCK[[#This Row],[Stock Actual]]*STOCK[[#This Row],[Costo total]]</f>
        <v>0</v>
      </c>
    </row>
    <row r="374" s="76" customFormat="1" ht="50" hidden="1" customHeight="1" spans="1:28">
      <c r="A374" s="76" t="s">
        <v>788</v>
      </c>
      <c r="B374" s="6"/>
      <c r="C374" s="76" t="s">
        <v>30</v>
      </c>
      <c r="D374" s="76" t="s">
        <v>350</v>
      </c>
      <c r="E374" s="76" t="s">
        <v>789</v>
      </c>
      <c r="F374" s="76" t="s">
        <v>524</v>
      </c>
      <c r="G374" s="76" t="s">
        <v>702</v>
      </c>
      <c r="H374" s="76">
        <f>STOCK[[#This Row],[Precio Final]]</f>
        <v>15</v>
      </c>
      <c r="I374" s="76">
        <f>STOCK[[#This Row],[Precio Venta Ideal (x1.5)]]</f>
        <v>19.5833333333334</v>
      </c>
      <c r="J374" s="91">
        <v>2</v>
      </c>
      <c r="K374" s="91">
        <f>SUMIFS(VENTAS[Cantidad],VENTAS[Código del producto Vendido],STOCK[[#This Row],[Code]])</f>
        <v>2</v>
      </c>
      <c r="L374" s="91">
        <f>STOCK[[#This Row],[Entradas]]-STOCK[[#This Row],[Salidas]]</f>
        <v>0</v>
      </c>
      <c r="M374" s="76">
        <f>STOCK[[#This Row],[Precio Final]]*10%</f>
        <v>1.5</v>
      </c>
      <c r="N374" s="76">
        <v>199</v>
      </c>
      <c r="O374" s="76">
        <v>18</v>
      </c>
      <c r="P374" s="76">
        <v>11.0555555555556</v>
      </c>
      <c r="Q374" s="91">
        <v>50</v>
      </c>
      <c r="R374" s="76">
        <v>10</v>
      </c>
      <c r="S374" s="76">
        <f>STOCK[[#This Row],[Peso (g)]]*STOCK[[#This Row],[Precio Envío Kilogramo (USD)]]/1000</f>
        <v>0.5</v>
      </c>
      <c r="T374" s="76">
        <f>STOCK[[#This Row],[Costo Unitario (USD)]]+STOCK[[#This Row],[Costo Envío (USD)]]+STOCK[[#This Row],[Comisión 10%]]</f>
        <v>13.0555555555556</v>
      </c>
      <c r="U374" s="76">
        <f>STOCK[[#This Row],[Costo total]]*1.5</f>
        <v>19.5833333333334</v>
      </c>
      <c r="V374" s="76">
        <v>15</v>
      </c>
      <c r="W374" s="76">
        <f>STOCK[[#This Row],[Precio Final]]-STOCK[[#This Row],[Costo total]]</f>
        <v>1.9444444444444</v>
      </c>
      <c r="X374" s="76">
        <f>STOCK[[#This Row],[Ganancia Unitaria]]*STOCK[[#This Row],[Salidas]]</f>
        <v>3.8888888888888</v>
      </c>
      <c r="AA374" s="76">
        <f>STOCK[[#This Row],[Costo total]]*STOCK[[#This Row],[Entradas]]</f>
        <v>26.1111111111112</v>
      </c>
      <c r="AB374" s="76">
        <f>STOCK[[#This Row],[Stock Actual]]*STOCK[[#This Row],[Costo total]]</f>
        <v>0</v>
      </c>
    </row>
    <row r="375" s="77" customFormat="1" ht="50" hidden="1" customHeight="1" spans="1:28">
      <c r="A375" s="77" t="s">
        <v>790</v>
      </c>
      <c r="B375" s="6"/>
      <c r="C375" s="77" t="s">
        <v>30</v>
      </c>
      <c r="D375" s="77" t="s">
        <v>151</v>
      </c>
      <c r="E375" s="77" t="s">
        <v>791</v>
      </c>
      <c r="F375" s="77" t="s">
        <v>47</v>
      </c>
      <c r="G375" s="77" t="s">
        <v>702</v>
      </c>
      <c r="H375" s="77">
        <f>STOCK[[#This Row],[Precio Final]]</f>
        <v>19</v>
      </c>
      <c r="I375" s="77">
        <f>STOCK[[#This Row],[Precio Venta Ideal (x1.5)]]</f>
        <v>22.4333333333334</v>
      </c>
      <c r="J375" s="92">
        <v>1</v>
      </c>
      <c r="K375" s="92">
        <f>SUMIFS(VENTAS[Cantidad],VENTAS[Código del producto Vendido],STOCK[[#This Row],[Code]])</f>
        <v>1</v>
      </c>
      <c r="L375" s="92">
        <f>STOCK[[#This Row],[Entradas]]-STOCK[[#This Row],[Salidas]]</f>
        <v>0</v>
      </c>
      <c r="M375" s="77">
        <f>STOCK[[#This Row],[Precio Final]]*10%</f>
        <v>1.9</v>
      </c>
      <c r="N375" s="77">
        <v>199</v>
      </c>
      <c r="O375" s="77">
        <v>18</v>
      </c>
      <c r="P375" s="77">
        <v>11.0555555555556</v>
      </c>
      <c r="Q375" s="92">
        <v>200</v>
      </c>
      <c r="R375" s="77">
        <v>10</v>
      </c>
      <c r="S375" s="77">
        <f>STOCK[[#This Row],[Peso (g)]]*STOCK[[#This Row],[Precio Envío Kilogramo (USD)]]/1000</f>
        <v>2</v>
      </c>
      <c r="T375" s="76">
        <f>STOCK[[#This Row],[Costo Unitario (USD)]]+STOCK[[#This Row],[Costo Envío (USD)]]+STOCK[[#This Row],[Comisión 10%]]</f>
        <v>14.9555555555556</v>
      </c>
      <c r="U375" s="77">
        <f>STOCK[[#This Row],[Costo total]]*1.5</f>
        <v>22.4333333333334</v>
      </c>
      <c r="V375" s="77">
        <v>19</v>
      </c>
      <c r="W375" s="77">
        <f>STOCK[[#This Row],[Precio Final]]-STOCK[[#This Row],[Costo total]]</f>
        <v>4.0444444444444</v>
      </c>
      <c r="X375" s="77">
        <f>STOCK[[#This Row],[Ganancia Unitaria]]*STOCK[[#This Row],[Salidas]]</f>
        <v>4.0444444444444</v>
      </c>
      <c r="AA375" s="77">
        <f>STOCK[[#This Row],[Costo total]]*STOCK[[#This Row],[Entradas]]</f>
        <v>14.9555555555556</v>
      </c>
      <c r="AB375" s="77">
        <f>STOCK[[#This Row],[Stock Actual]]*STOCK[[#This Row],[Costo total]]</f>
        <v>0</v>
      </c>
    </row>
    <row r="376" s="76" customFormat="1" ht="50" hidden="1" customHeight="1" spans="1:28">
      <c r="A376" s="76" t="s">
        <v>792</v>
      </c>
      <c r="B376" s="6"/>
      <c r="C376" s="76" t="s">
        <v>30</v>
      </c>
      <c r="D376" s="76" t="s">
        <v>151</v>
      </c>
      <c r="E376" s="76" t="s">
        <v>791</v>
      </c>
      <c r="F376" s="76" t="s">
        <v>776</v>
      </c>
      <c r="G376" s="76" t="s">
        <v>702</v>
      </c>
      <c r="H376" s="76">
        <f>STOCK[[#This Row],[Precio Final]]</f>
        <v>0</v>
      </c>
      <c r="I376" s="76">
        <f>STOCK[[#This Row],[Precio Venta Ideal (x1.5)]]</f>
        <v>40.5</v>
      </c>
      <c r="J376" s="91">
        <v>0</v>
      </c>
      <c r="K376" s="91">
        <f>SUMIFS(VENTAS[Cantidad],VENTAS[Código del producto Vendido],STOCK[[#This Row],[Code]])</f>
        <v>0</v>
      </c>
      <c r="L376" s="91">
        <f>STOCK[[#This Row],[Entradas]]-STOCK[[#This Row],[Salidas]]</f>
        <v>0</v>
      </c>
      <c r="M376" s="76">
        <f>STOCK[[#This Row],[Precio Final]]*10%</f>
        <v>0</v>
      </c>
      <c r="N376" s="76">
        <v>450</v>
      </c>
      <c r="O376" s="76">
        <v>18</v>
      </c>
      <c r="P376" s="76">
        <v>25</v>
      </c>
      <c r="Q376" s="91">
        <v>200</v>
      </c>
      <c r="R376" s="76">
        <v>10</v>
      </c>
      <c r="S376" s="76">
        <f>STOCK[[#This Row],[Peso (g)]]*STOCK[[#This Row],[Precio Envío Kilogramo (USD)]]/1000</f>
        <v>2</v>
      </c>
      <c r="T376" s="76">
        <f>STOCK[[#This Row],[Costo Unitario (USD)]]+STOCK[[#This Row],[Costo Envío (USD)]]+STOCK[[#This Row],[Comisión 10%]]</f>
        <v>27</v>
      </c>
      <c r="U376" s="76">
        <f>STOCK[[#This Row],[Costo total]]*1.5</f>
        <v>40.5</v>
      </c>
      <c r="V376" s="76">
        <v>0</v>
      </c>
      <c r="W376" s="76">
        <f>STOCK[[#This Row],[Precio Final]]-STOCK[[#This Row],[Costo total]]</f>
        <v>-27</v>
      </c>
      <c r="X376" s="76">
        <f>STOCK[[#This Row],[Ganancia Unitaria]]*STOCK[[#This Row],[Salidas]]</f>
        <v>0</v>
      </c>
      <c r="AA376" s="76">
        <f>STOCK[[#This Row],[Costo total]]*STOCK[[#This Row],[Entradas]]</f>
        <v>0</v>
      </c>
      <c r="AB376" s="76">
        <f>STOCK[[#This Row],[Stock Actual]]*STOCK[[#This Row],[Costo total]]</f>
        <v>0</v>
      </c>
    </row>
    <row r="377" s="77" customFormat="1" ht="50" hidden="1" customHeight="1" spans="1:28">
      <c r="A377" s="77" t="s">
        <v>793</v>
      </c>
      <c r="B377" s="6"/>
      <c r="C377" s="77" t="s">
        <v>30</v>
      </c>
      <c r="D377" s="77" t="s">
        <v>36</v>
      </c>
      <c r="E377" s="77" t="s">
        <v>794</v>
      </c>
      <c r="F377" s="77" t="s">
        <v>44</v>
      </c>
      <c r="G377" s="77" t="s">
        <v>34</v>
      </c>
      <c r="H377" s="77">
        <f>STOCK[[#This Row],[Precio Final]]</f>
        <v>20</v>
      </c>
      <c r="I377" s="77">
        <f>STOCK[[#This Row],[Precio Venta Ideal (x1.5)]]</f>
        <v>22.25</v>
      </c>
      <c r="J377" s="92">
        <v>1</v>
      </c>
      <c r="K377" s="92">
        <f>SUMIFS(VENTAS[Cantidad],VENTAS[Código del producto Vendido],STOCK[[#This Row],[Code]])</f>
        <v>1</v>
      </c>
      <c r="L377" s="92">
        <f>STOCK[[#This Row],[Entradas]]-STOCK[[#This Row],[Salidas]]</f>
        <v>0</v>
      </c>
      <c r="M377" s="77">
        <f>STOCK[[#This Row],[Precio Final]]*10%</f>
        <v>2</v>
      </c>
      <c r="N377" s="77">
        <v>195</v>
      </c>
      <c r="O377" s="77">
        <v>18</v>
      </c>
      <c r="P377" s="77">
        <v>10.8333333333333</v>
      </c>
      <c r="Q377" s="92">
        <v>200</v>
      </c>
      <c r="R377" s="77">
        <v>10</v>
      </c>
      <c r="S377" s="77">
        <f>STOCK[[#This Row],[Peso (g)]]*STOCK[[#This Row],[Precio Envío Kilogramo (USD)]]/1000</f>
        <v>2</v>
      </c>
      <c r="T377" s="76">
        <f>STOCK[[#This Row],[Costo Unitario (USD)]]+STOCK[[#This Row],[Costo Envío (USD)]]+STOCK[[#This Row],[Comisión 10%]]</f>
        <v>14.8333333333333</v>
      </c>
      <c r="U377" s="77">
        <f>STOCK[[#This Row],[Costo total]]*1.5</f>
        <v>22.25</v>
      </c>
      <c r="V377" s="77">
        <v>20</v>
      </c>
      <c r="W377" s="77">
        <f>STOCK[[#This Row],[Precio Final]]-STOCK[[#This Row],[Costo total]]</f>
        <v>5.1666666666667</v>
      </c>
      <c r="X377" s="77">
        <f>STOCK[[#This Row],[Ganancia Unitaria]]*STOCK[[#This Row],[Salidas]]</f>
        <v>5.1666666666667</v>
      </c>
      <c r="AA377" s="77">
        <f>STOCK[[#This Row],[Costo total]]*STOCK[[#This Row],[Entradas]]</f>
        <v>14.8333333333333</v>
      </c>
      <c r="AB377" s="77">
        <f>STOCK[[#This Row],[Stock Actual]]*STOCK[[#This Row],[Costo total]]</f>
        <v>0</v>
      </c>
    </row>
    <row r="378" s="76" customFormat="1" ht="50" hidden="1" customHeight="1" spans="1:28">
      <c r="A378" s="76" t="s">
        <v>795</v>
      </c>
      <c r="B378" s="6"/>
      <c r="C378" s="76" t="s">
        <v>30</v>
      </c>
      <c r="D378" s="76" t="s">
        <v>36</v>
      </c>
      <c r="E378" s="76" t="s">
        <v>796</v>
      </c>
      <c r="F378" s="76" t="s">
        <v>44</v>
      </c>
      <c r="G378" s="76" t="s">
        <v>34</v>
      </c>
      <c r="H378" s="76">
        <f>STOCK[[#This Row],[Precio Final]]</f>
        <v>20</v>
      </c>
      <c r="I378" s="76">
        <f>STOCK[[#This Row],[Precio Venta Ideal (x1.5)]]</f>
        <v>20.5833333333333</v>
      </c>
      <c r="J378" s="91">
        <v>1</v>
      </c>
      <c r="K378" s="91">
        <f>SUMIFS(VENTAS[Cantidad],VENTAS[Código del producto Vendido],STOCK[[#This Row],[Code]])</f>
        <v>1</v>
      </c>
      <c r="L378" s="91">
        <f>STOCK[[#This Row],[Entradas]]-STOCK[[#This Row],[Salidas]]</f>
        <v>0</v>
      </c>
      <c r="M378" s="76">
        <f>STOCK[[#This Row],[Precio Final]]*10%</f>
        <v>2</v>
      </c>
      <c r="N378" s="76">
        <v>175</v>
      </c>
      <c r="O378" s="76">
        <v>18</v>
      </c>
      <c r="P378" s="76">
        <v>9.72222222222222</v>
      </c>
      <c r="Q378" s="91">
        <v>200</v>
      </c>
      <c r="R378" s="76">
        <v>10</v>
      </c>
      <c r="S378" s="76">
        <f>STOCK[[#This Row],[Peso (g)]]*STOCK[[#This Row],[Precio Envío Kilogramo (USD)]]/1000</f>
        <v>2</v>
      </c>
      <c r="T378" s="76">
        <f>STOCK[[#This Row],[Costo Unitario (USD)]]+STOCK[[#This Row],[Costo Envío (USD)]]+STOCK[[#This Row],[Comisión 10%]]</f>
        <v>13.7222222222222</v>
      </c>
      <c r="U378" s="76">
        <f>STOCK[[#This Row],[Costo total]]*1.5</f>
        <v>20.5833333333333</v>
      </c>
      <c r="V378" s="76">
        <v>20</v>
      </c>
      <c r="W378" s="76">
        <f>STOCK[[#This Row],[Precio Final]]-STOCK[[#This Row],[Costo total]]</f>
        <v>6.27777777777778</v>
      </c>
      <c r="X378" s="76">
        <f>STOCK[[#This Row],[Ganancia Unitaria]]*STOCK[[#This Row],[Salidas]]</f>
        <v>6.27777777777778</v>
      </c>
      <c r="AA378" s="76">
        <f>STOCK[[#This Row],[Costo total]]*STOCK[[#This Row],[Entradas]]</f>
        <v>13.7222222222222</v>
      </c>
      <c r="AB378" s="76">
        <f>STOCK[[#This Row],[Stock Actual]]*STOCK[[#This Row],[Costo total]]</f>
        <v>0</v>
      </c>
    </row>
    <row r="379" s="77" customFormat="1" ht="50" hidden="1" customHeight="1" spans="1:29">
      <c r="A379" s="77" t="s">
        <v>797</v>
      </c>
      <c r="B379" s="6"/>
      <c r="C379" s="77" t="s">
        <v>30</v>
      </c>
      <c r="D379" s="77" t="s">
        <v>483</v>
      </c>
      <c r="E379" s="77" t="s">
        <v>798</v>
      </c>
      <c r="F379" s="77" t="s">
        <v>60</v>
      </c>
      <c r="G379" s="77" t="s">
        <v>34</v>
      </c>
      <c r="H379" s="77">
        <f>STOCK[[#This Row],[Precio Final]]</f>
        <v>18</v>
      </c>
      <c r="I379" s="77">
        <f>STOCK[[#This Row],[Precio Venta Ideal (x1.5)]]</f>
        <v>13.6166666666667</v>
      </c>
      <c r="J379" s="92">
        <v>3</v>
      </c>
      <c r="K379" s="92">
        <f>SUMIFS(VENTAS[Cantidad],VENTAS[Código del producto Vendido],STOCK[[#This Row],[Code]])</f>
        <v>0</v>
      </c>
      <c r="L379" s="92">
        <f>STOCK[[#This Row],[Entradas]]-STOCK[[#This Row],[Salidas]]</f>
        <v>3</v>
      </c>
      <c r="M379" s="77">
        <f>STOCK[[#This Row],[Precio Final]]*10%</f>
        <v>1.8</v>
      </c>
      <c r="N379" s="77">
        <v>95</v>
      </c>
      <c r="O379" s="77">
        <v>18</v>
      </c>
      <c r="P379" s="77">
        <v>5.27777777777778</v>
      </c>
      <c r="Q379" s="92">
        <v>200</v>
      </c>
      <c r="R379" s="77">
        <v>10</v>
      </c>
      <c r="S379" s="77">
        <f>STOCK[[#This Row],[Peso (g)]]*STOCK[[#This Row],[Precio Envío Kilogramo (USD)]]/1000</f>
        <v>2</v>
      </c>
      <c r="T379" s="76">
        <f>STOCK[[#This Row],[Costo Unitario (USD)]]+STOCK[[#This Row],[Costo Envío (USD)]]+STOCK[[#This Row],[Comisión 10%]]</f>
        <v>9.07777777777778</v>
      </c>
      <c r="U379" s="77">
        <f>STOCK[[#This Row],[Costo total]]*1.5</f>
        <v>13.6166666666667</v>
      </c>
      <c r="V379" s="77">
        <v>18</v>
      </c>
      <c r="W379" s="77">
        <f>STOCK[[#This Row],[Precio Final]]-STOCK[[#This Row],[Costo total]]</f>
        <v>8.92222222222222</v>
      </c>
      <c r="X379" s="77">
        <f>STOCK[[#This Row],[Ganancia Unitaria]]*STOCK[[#This Row],[Salidas]]</f>
        <v>0</v>
      </c>
      <c r="AA379" s="77">
        <f>STOCK[[#This Row],[Costo total]]*STOCK[[#This Row],[Entradas]]</f>
        <v>27.2333333333333</v>
      </c>
      <c r="AB379" s="77">
        <f>STOCK[[#This Row],[Stock Actual]]*STOCK[[#This Row],[Costo total]]</f>
        <v>27.2333333333333</v>
      </c>
      <c r="AC379" s="77">
        <v>12</v>
      </c>
    </row>
    <row r="380" s="76" customFormat="1" ht="50" hidden="1" customHeight="1" spans="1:28">
      <c r="A380" s="76" t="s">
        <v>799</v>
      </c>
      <c r="B380" s="6"/>
      <c r="C380" s="76" t="s">
        <v>30</v>
      </c>
      <c r="D380" s="76" t="s">
        <v>800</v>
      </c>
      <c r="E380" s="76" t="s">
        <v>801</v>
      </c>
      <c r="F380" s="76" t="s">
        <v>186</v>
      </c>
      <c r="G380" s="76" t="s">
        <v>34</v>
      </c>
      <c r="H380" s="76">
        <f>STOCK[[#This Row],[Precio Final]]</f>
        <v>15</v>
      </c>
      <c r="I380" s="76">
        <f>STOCK[[#This Row],[Precio Venta Ideal (x1.5)]]</f>
        <v>15.6666666666667</v>
      </c>
      <c r="J380" s="91">
        <v>1</v>
      </c>
      <c r="K380" s="91">
        <f>SUMIFS(VENTAS[Cantidad],VENTAS[Código del producto Vendido],STOCK[[#This Row],[Code]])</f>
        <v>1</v>
      </c>
      <c r="L380" s="91">
        <f>STOCK[[#This Row],[Entradas]]-STOCK[[#This Row],[Salidas]]</f>
        <v>0</v>
      </c>
      <c r="M380" s="76">
        <f>STOCK[[#This Row],[Precio Final]]*10%</f>
        <v>1.5</v>
      </c>
      <c r="N380" s="76">
        <v>125</v>
      </c>
      <c r="O380" s="76">
        <v>18</v>
      </c>
      <c r="P380" s="76">
        <v>6.94444444444444</v>
      </c>
      <c r="Q380" s="91">
        <v>200</v>
      </c>
      <c r="R380" s="76">
        <v>10</v>
      </c>
      <c r="S380" s="76">
        <f>STOCK[[#This Row],[Peso (g)]]*STOCK[[#This Row],[Precio Envío Kilogramo (USD)]]/1000</f>
        <v>2</v>
      </c>
      <c r="T380" s="76">
        <f>STOCK[[#This Row],[Costo Unitario (USD)]]+STOCK[[#This Row],[Costo Envío (USD)]]+STOCK[[#This Row],[Comisión 10%]]</f>
        <v>10.4444444444444</v>
      </c>
      <c r="U380" s="76">
        <f>STOCK[[#This Row],[Costo total]]*1.5</f>
        <v>15.6666666666667</v>
      </c>
      <c r="V380" s="76">
        <v>15</v>
      </c>
      <c r="W380" s="76">
        <f>STOCK[[#This Row],[Precio Final]]-STOCK[[#This Row],[Costo total]]</f>
        <v>4.55555555555556</v>
      </c>
      <c r="X380" s="76">
        <f>STOCK[[#This Row],[Ganancia Unitaria]]*STOCK[[#This Row],[Salidas]]</f>
        <v>4.55555555555556</v>
      </c>
      <c r="AA380" s="76">
        <f>STOCK[[#This Row],[Costo total]]*STOCK[[#This Row],[Entradas]]</f>
        <v>10.4444444444444</v>
      </c>
      <c r="AB380" s="76">
        <f>STOCK[[#This Row],[Stock Actual]]*STOCK[[#This Row],[Costo total]]</f>
        <v>0</v>
      </c>
    </row>
    <row r="381" s="77" customFormat="1" ht="50" hidden="1" customHeight="1" spans="1:29">
      <c r="A381" s="77" t="s">
        <v>802</v>
      </c>
      <c r="B381" s="6"/>
      <c r="C381" s="77" t="s">
        <v>30</v>
      </c>
      <c r="D381" s="77" t="s">
        <v>42</v>
      </c>
      <c r="E381" s="77" t="s">
        <v>803</v>
      </c>
      <c r="F381" s="77" t="s">
        <v>47</v>
      </c>
      <c r="G381" s="77" t="s">
        <v>34</v>
      </c>
      <c r="H381" s="77">
        <f>STOCK[[#This Row],[Precio Final]]</f>
        <v>20</v>
      </c>
      <c r="I381" s="77">
        <f>STOCK[[#This Row],[Precio Venta Ideal (x1.5)]]</f>
        <v>15.75</v>
      </c>
      <c r="J381" s="92">
        <v>3</v>
      </c>
      <c r="K381" s="92">
        <f>SUMIFS(VENTAS[Cantidad],VENTAS[Código del producto Vendido],STOCK[[#This Row],[Code]])</f>
        <v>1</v>
      </c>
      <c r="L381" s="92">
        <f>STOCK[[#This Row],[Entradas]]-STOCK[[#This Row],[Salidas]]</f>
        <v>2</v>
      </c>
      <c r="M381" s="77">
        <f>STOCK[[#This Row],[Precio Final]]*10%</f>
        <v>2</v>
      </c>
      <c r="N381" s="77">
        <v>135</v>
      </c>
      <c r="O381" s="77">
        <v>18</v>
      </c>
      <c r="P381" s="77">
        <v>7.5</v>
      </c>
      <c r="Q381" s="92">
        <v>100</v>
      </c>
      <c r="R381" s="77">
        <v>10</v>
      </c>
      <c r="S381" s="77">
        <f>STOCK[[#This Row],[Peso (g)]]*STOCK[[#This Row],[Precio Envío Kilogramo (USD)]]/1000</f>
        <v>1</v>
      </c>
      <c r="T381" s="76">
        <f>STOCK[[#This Row],[Costo Unitario (USD)]]+STOCK[[#This Row],[Costo Envío (USD)]]+STOCK[[#This Row],[Comisión 10%]]</f>
        <v>10.5</v>
      </c>
      <c r="U381" s="77">
        <f>STOCK[[#This Row],[Costo total]]*1.5</f>
        <v>15.75</v>
      </c>
      <c r="V381" s="77">
        <v>20</v>
      </c>
      <c r="W381" s="77">
        <f>STOCK[[#This Row],[Precio Final]]-STOCK[[#This Row],[Costo total]]</f>
        <v>9.5</v>
      </c>
      <c r="X381" s="77">
        <f>STOCK[[#This Row],[Ganancia Unitaria]]*STOCK[[#This Row],[Salidas]]</f>
        <v>9.5</v>
      </c>
      <c r="AA381" s="77">
        <f>STOCK[[#This Row],[Costo total]]*STOCK[[#This Row],[Entradas]]</f>
        <v>31.5</v>
      </c>
      <c r="AB381" s="77">
        <f>STOCK[[#This Row],[Stock Actual]]*STOCK[[#This Row],[Costo total]]</f>
        <v>21</v>
      </c>
      <c r="AC381" s="77">
        <v>15</v>
      </c>
    </row>
    <row r="382" s="76" customFormat="1" ht="50" hidden="1" customHeight="1" spans="1:28">
      <c r="A382" s="76" t="s">
        <v>804</v>
      </c>
      <c r="B382" s="6"/>
      <c r="C382" s="76" t="s">
        <v>30</v>
      </c>
      <c r="D382" s="76" t="s">
        <v>36</v>
      </c>
      <c r="E382" s="76" t="s">
        <v>805</v>
      </c>
      <c r="F382" s="76" t="s">
        <v>47</v>
      </c>
      <c r="G382" s="76" t="s">
        <v>34</v>
      </c>
      <c r="H382" s="76">
        <f>STOCK[[#This Row],[Precio Final]]</f>
        <v>20</v>
      </c>
      <c r="I382" s="76">
        <f>STOCK[[#This Row],[Precio Venta Ideal (x1.5)]]</f>
        <v>26.3333333333334</v>
      </c>
      <c r="J382" s="91">
        <v>3</v>
      </c>
      <c r="K382" s="91">
        <f>SUMIFS(VENTAS[Cantidad],VENTAS[Código del producto Vendido],STOCK[[#This Row],[Code]])</f>
        <v>3</v>
      </c>
      <c r="L382" s="91">
        <f>STOCK[[#This Row],[Entradas]]-STOCK[[#This Row],[Salidas]]</f>
        <v>0</v>
      </c>
      <c r="M382" s="76">
        <f>STOCK[[#This Row],[Precio Final]]*10%</f>
        <v>2</v>
      </c>
      <c r="N382" s="76">
        <v>235</v>
      </c>
      <c r="O382" s="76">
        <v>18</v>
      </c>
      <c r="P382" s="76">
        <v>13.0555555555556</v>
      </c>
      <c r="Q382" s="91">
        <v>250</v>
      </c>
      <c r="R382" s="76">
        <v>10</v>
      </c>
      <c r="S382" s="76">
        <f>STOCK[[#This Row],[Peso (g)]]*STOCK[[#This Row],[Precio Envío Kilogramo (USD)]]/1000</f>
        <v>2.5</v>
      </c>
      <c r="T382" s="76">
        <f>STOCK[[#This Row],[Costo Unitario (USD)]]+STOCK[[#This Row],[Costo Envío (USD)]]+STOCK[[#This Row],[Comisión 10%]]</f>
        <v>17.5555555555556</v>
      </c>
      <c r="U382" s="76">
        <f>STOCK[[#This Row],[Costo total]]*1.5</f>
        <v>26.3333333333334</v>
      </c>
      <c r="V382" s="76">
        <v>20</v>
      </c>
      <c r="W382" s="76">
        <f>STOCK[[#This Row],[Precio Final]]-STOCK[[#This Row],[Costo total]]</f>
        <v>2.4444444444444</v>
      </c>
      <c r="X382" s="76">
        <f>STOCK[[#This Row],[Ganancia Unitaria]]*STOCK[[#This Row],[Salidas]]</f>
        <v>7.3333333333332</v>
      </c>
      <c r="AA382" s="76">
        <f>STOCK[[#This Row],[Costo total]]*STOCK[[#This Row],[Entradas]]</f>
        <v>52.6666666666668</v>
      </c>
      <c r="AB382" s="76">
        <f>STOCK[[#This Row],[Stock Actual]]*STOCK[[#This Row],[Costo total]]</f>
        <v>0</v>
      </c>
    </row>
    <row r="383" s="77" customFormat="1" ht="50" hidden="1" customHeight="1" spans="1:28">
      <c r="A383" s="77" t="s">
        <v>806</v>
      </c>
      <c r="B383" s="6"/>
      <c r="C383" s="77" t="s">
        <v>30</v>
      </c>
      <c r="D383" s="77" t="s">
        <v>36</v>
      </c>
      <c r="E383" s="77" t="s">
        <v>807</v>
      </c>
      <c r="F383" s="77" t="s">
        <v>60</v>
      </c>
      <c r="G383" s="77" t="s">
        <v>34</v>
      </c>
      <c r="H383" s="77">
        <f>STOCK[[#This Row],[Precio Final]]</f>
        <v>18</v>
      </c>
      <c r="I383" s="77">
        <f>STOCK[[#This Row],[Precio Venta Ideal (x1.5)]]</f>
        <v>16.95</v>
      </c>
      <c r="J383" s="92">
        <v>2</v>
      </c>
      <c r="K383" s="92">
        <f>SUMIFS(VENTAS[Cantidad],VENTAS[Código del producto Vendido],STOCK[[#This Row],[Code]])</f>
        <v>2</v>
      </c>
      <c r="L383" s="92">
        <f>STOCK[[#This Row],[Entradas]]-STOCK[[#This Row],[Salidas]]</f>
        <v>0</v>
      </c>
      <c r="M383" s="77">
        <f>STOCK[[#This Row],[Precio Final]]*10%</f>
        <v>1.8</v>
      </c>
      <c r="N383" s="77">
        <v>126</v>
      </c>
      <c r="O383" s="77">
        <v>18</v>
      </c>
      <c r="P383" s="77">
        <v>7</v>
      </c>
      <c r="Q383" s="92">
        <v>250</v>
      </c>
      <c r="R383" s="77">
        <v>10</v>
      </c>
      <c r="S383" s="77">
        <f>STOCK[[#This Row],[Peso (g)]]*STOCK[[#This Row],[Precio Envío Kilogramo (USD)]]/1000</f>
        <v>2.5</v>
      </c>
      <c r="T383" s="76">
        <f>STOCK[[#This Row],[Costo Unitario (USD)]]+STOCK[[#This Row],[Costo Envío (USD)]]+STOCK[[#This Row],[Comisión 10%]]</f>
        <v>11.3</v>
      </c>
      <c r="U383" s="77">
        <f>STOCK[[#This Row],[Costo total]]*1.5</f>
        <v>16.95</v>
      </c>
      <c r="V383" s="77">
        <v>18</v>
      </c>
      <c r="W383" s="77">
        <f>STOCK[[#This Row],[Precio Final]]-STOCK[[#This Row],[Costo total]]</f>
        <v>6.7</v>
      </c>
      <c r="X383" s="77">
        <f>STOCK[[#This Row],[Ganancia Unitaria]]*STOCK[[#This Row],[Salidas]]</f>
        <v>13.4</v>
      </c>
      <c r="AA383" s="77">
        <f>STOCK[[#This Row],[Costo total]]*STOCK[[#This Row],[Entradas]]</f>
        <v>22.6</v>
      </c>
      <c r="AB383" s="77">
        <f>STOCK[[#This Row],[Stock Actual]]*STOCK[[#This Row],[Costo total]]</f>
        <v>0</v>
      </c>
    </row>
    <row r="384" s="76" customFormat="1" ht="50" hidden="1" customHeight="1" spans="1:29">
      <c r="A384" s="76" t="s">
        <v>808</v>
      </c>
      <c r="B384" s="6"/>
      <c r="C384" s="76" t="s">
        <v>30</v>
      </c>
      <c r="D384" s="76" t="s">
        <v>483</v>
      </c>
      <c r="E384" s="76" t="s">
        <v>809</v>
      </c>
      <c r="F384" s="76" t="s">
        <v>38</v>
      </c>
      <c r="G384" s="76" t="s">
        <v>34</v>
      </c>
      <c r="H384" s="76">
        <f>STOCK[[#This Row],[Precio Final]]</f>
        <v>18</v>
      </c>
      <c r="I384" s="76">
        <f>STOCK[[#This Row],[Precio Venta Ideal (x1.5)]]</f>
        <v>14.45</v>
      </c>
      <c r="J384" s="91">
        <v>3</v>
      </c>
      <c r="K384" s="91">
        <f>SUMIFS(VENTAS[Cantidad],VENTAS[Código del producto Vendido],STOCK[[#This Row],[Code]])</f>
        <v>2</v>
      </c>
      <c r="L384" s="91">
        <f>STOCK[[#This Row],[Entradas]]-STOCK[[#This Row],[Salidas]]</f>
        <v>1</v>
      </c>
      <c r="M384" s="76">
        <f>STOCK[[#This Row],[Precio Final]]*10%</f>
        <v>1.8</v>
      </c>
      <c r="N384" s="76">
        <v>96</v>
      </c>
      <c r="O384" s="76">
        <v>18</v>
      </c>
      <c r="P384" s="76">
        <v>5.33333333333333</v>
      </c>
      <c r="Q384" s="91">
        <v>250</v>
      </c>
      <c r="R384" s="76">
        <v>10</v>
      </c>
      <c r="S384" s="76">
        <f>STOCK[[#This Row],[Peso (g)]]*STOCK[[#This Row],[Precio Envío Kilogramo (USD)]]/1000</f>
        <v>2.5</v>
      </c>
      <c r="T384" s="76">
        <f>STOCK[[#This Row],[Costo Unitario (USD)]]+STOCK[[#This Row],[Costo Envío (USD)]]+STOCK[[#This Row],[Comisión 10%]]</f>
        <v>9.63333333333333</v>
      </c>
      <c r="U384" s="76">
        <f>STOCK[[#This Row],[Costo total]]*1.5</f>
        <v>14.45</v>
      </c>
      <c r="V384" s="76">
        <v>18</v>
      </c>
      <c r="W384" s="76">
        <f>STOCK[[#This Row],[Precio Final]]-STOCK[[#This Row],[Costo total]]</f>
        <v>8.36666666666667</v>
      </c>
      <c r="X384" s="76">
        <f>STOCK[[#This Row],[Ganancia Unitaria]]*STOCK[[#This Row],[Salidas]]</f>
        <v>16.7333333333333</v>
      </c>
      <c r="AA384" s="76">
        <f>STOCK[[#This Row],[Costo total]]*STOCK[[#This Row],[Entradas]]</f>
        <v>28.9</v>
      </c>
      <c r="AB384" s="76">
        <f>STOCK[[#This Row],[Stock Actual]]*STOCK[[#This Row],[Costo total]]</f>
        <v>9.63333333333333</v>
      </c>
      <c r="AC384" s="76">
        <v>12</v>
      </c>
    </row>
    <row r="385" s="77" customFormat="1" ht="50" hidden="1" customHeight="1" spans="1:29">
      <c r="A385" s="77" t="s">
        <v>810</v>
      </c>
      <c r="B385" s="6"/>
      <c r="C385" s="77" t="s">
        <v>30</v>
      </c>
      <c r="D385" s="77" t="s">
        <v>215</v>
      </c>
      <c r="E385" s="77" t="s">
        <v>811</v>
      </c>
      <c r="F385" s="77" t="s">
        <v>44</v>
      </c>
      <c r="G385" s="77" t="s">
        <v>34</v>
      </c>
      <c r="H385" s="77">
        <f>STOCK[[#This Row],[Precio Final]]</f>
        <v>12</v>
      </c>
      <c r="I385" s="77">
        <f>STOCK[[#This Row],[Precio Venta Ideal (x1.5)]]</f>
        <v>11.9666666666667</v>
      </c>
      <c r="J385" s="92">
        <v>2</v>
      </c>
      <c r="K385" s="92">
        <f>SUMIFS(VENTAS[Cantidad],VENTAS[Código del producto Vendido],STOCK[[#This Row],[Code]])</f>
        <v>1</v>
      </c>
      <c r="L385" s="92">
        <f>STOCK[[#This Row],[Entradas]]-STOCK[[#This Row],[Salidas]]</f>
        <v>1</v>
      </c>
      <c r="M385" s="77">
        <f>STOCK[[#This Row],[Precio Final]]*10%</f>
        <v>1.2</v>
      </c>
      <c r="N385" s="77">
        <v>95</v>
      </c>
      <c r="O385" s="77">
        <v>18</v>
      </c>
      <c r="P385" s="77">
        <v>5.27777777777778</v>
      </c>
      <c r="Q385" s="92">
        <v>150</v>
      </c>
      <c r="R385" s="77">
        <v>10</v>
      </c>
      <c r="S385" s="77">
        <f>STOCK[[#This Row],[Peso (g)]]*STOCK[[#This Row],[Precio Envío Kilogramo (USD)]]/1000</f>
        <v>1.5</v>
      </c>
      <c r="T385" s="76">
        <f>STOCK[[#This Row],[Costo Unitario (USD)]]+STOCK[[#This Row],[Costo Envío (USD)]]+STOCK[[#This Row],[Comisión 10%]]</f>
        <v>7.97777777777778</v>
      </c>
      <c r="U385" s="77">
        <f>STOCK[[#This Row],[Costo total]]*1.5</f>
        <v>11.9666666666667</v>
      </c>
      <c r="V385" s="77">
        <v>12</v>
      </c>
      <c r="W385" s="77">
        <f>STOCK[[#This Row],[Precio Final]]-STOCK[[#This Row],[Costo total]]</f>
        <v>4.02222222222222</v>
      </c>
      <c r="X385" s="77">
        <f>STOCK[[#This Row],[Ganancia Unitaria]]*STOCK[[#This Row],[Salidas]]</f>
        <v>4.02222222222222</v>
      </c>
      <c r="AA385" s="77">
        <f>STOCK[[#This Row],[Costo total]]*STOCK[[#This Row],[Entradas]]</f>
        <v>15.9555555555556</v>
      </c>
      <c r="AB385" s="77">
        <f>STOCK[[#This Row],[Stock Actual]]*STOCK[[#This Row],[Costo total]]</f>
        <v>7.97777777777778</v>
      </c>
      <c r="AC385" s="77">
        <v>8</v>
      </c>
    </row>
    <row r="386" s="76" customFormat="1" ht="50" hidden="1" customHeight="1" spans="1:28">
      <c r="A386" s="76" t="s">
        <v>812</v>
      </c>
      <c r="B386" s="6"/>
      <c r="C386" s="76" t="s">
        <v>30</v>
      </c>
      <c r="D386" s="76" t="s">
        <v>813</v>
      </c>
      <c r="E386" s="76" t="s">
        <v>814</v>
      </c>
      <c r="F386" s="76" t="s">
        <v>86</v>
      </c>
      <c r="G386" s="76" t="s">
        <v>34</v>
      </c>
      <c r="H386" s="76">
        <f>STOCK[[#This Row],[Precio Final]]</f>
        <v>10</v>
      </c>
      <c r="I386" s="76">
        <f>STOCK[[#This Row],[Precio Venta Ideal (x1.5)]]</f>
        <v>10.8333333333333</v>
      </c>
      <c r="J386" s="91">
        <v>1</v>
      </c>
      <c r="K386" s="91">
        <f>SUMIFS(VENTAS[Cantidad],VENTAS[Código del producto Vendido],STOCK[[#This Row],[Code]])</f>
        <v>1</v>
      </c>
      <c r="L386" s="91">
        <f>STOCK[[#This Row],[Entradas]]-STOCK[[#This Row],[Salidas]]</f>
        <v>0</v>
      </c>
      <c r="M386" s="76">
        <f>STOCK[[#This Row],[Precio Final]]*10%</f>
        <v>1</v>
      </c>
      <c r="N386" s="76">
        <v>103</v>
      </c>
      <c r="O386" s="76">
        <v>18</v>
      </c>
      <c r="P386" s="76">
        <v>5.72222222222222</v>
      </c>
      <c r="Q386" s="91">
        <v>50</v>
      </c>
      <c r="R386" s="76">
        <v>10</v>
      </c>
      <c r="S386" s="76">
        <f>STOCK[[#This Row],[Peso (g)]]*STOCK[[#This Row],[Precio Envío Kilogramo (USD)]]/1000</f>
        <v>0.5</v>
      </c>
      <c r="T386" s="76">
        <f>STOCK[[#This Row],[Costo Unitario (USD)]]+STOCK[[#This Row],[Costo Envío (USD)]]+STOCK[[#This Row],[Comisión 10%]]</f>
        <v>7.22222222222222</v>
      </c>
      <c r="U386" s="76">
        <f>STOCK[[#This Row],[Costo total]]*1.5</f>
        <v>10.8333333333333</v>
      </c>
      <c r="V386" s="76">
        <v>10</v>
      </c>
      <c r="W386" s="76">
        <f>STOCK[[#This Row],[Precio Final]]-STOCK[[#This Row],[Costo total]]</f>
        <v>2.77777777777778</v>
      </c>
      <c r="X386" s="76">
        <f>STOCK[[#This Row],[Ganancia Unitaria]]*STOCK[[#This Row],[Salidas]]</f>
        <v>2.77777777777778</v>
      </c>
      <c r="AA386" s="76">
        <f>STOCK[[#This Row],[Costo total]]*STOCK[[#This Row],[Entradas]]</f>
        <v>7.22222222222222</v>
      </c>
      <c r="AB386" s="76">
        <f>STOCK[[#This Row],[Stock Actual]]*STOCK[[#This Row],[Costo total]]</f>
        <v>0</v>
      </c>
    </row>
    <row r="387" s="77" customFormat="1" ht="50" hidden="1" customHeight="1" spans="1:28">
      <c r="A387" s="77" t="s">
        <v>815</v>
      </c>
      <c r="B387" s="6"/>
      <c r="C387" s="77" t="s">
        <v>30</v>
      </c>
      <c r="D387" s="77" t="s">
        <v>679</v>
      </c>
      <c r="E387" s="77" t="s">
        <v>816</v>
      </c>
      <c r="F387" s="77" t="s">
        <v>817</v>
      </c>
      <c r="G387" s="77" t="s">
        <v>34</v>
      </c>
      <c r="H387" s="77">
        <f>STOCK[[#This Row],[Precio Final]]</f>
        <v>10</v>
      </c>
      <c r="I387" s="77">
        <f>STOCK[[#This Row],[Precio Venta Ideal (x1.5)]]</f>
        <v>11.6666666666667</v>
      </c>
      <c r="J387" s="92">
        <v>3</v>
      </c>
      <c r="K387" s="92">
        <f>SUMIFS(VENTAS[Cantidad],VENTAS[Código del producto Vendido],STOCK[[#This Row],[Code]])</f>
        <v>3</v>
      </c>
      <c r="L387" s="92">
        <f>STOCK[[#This Row],[Entradas]]-STOCK[[#This Row],[Salidas]]</f>
        <v>0</v>
      </c>
      <c r="M387" s="77">
        <f>STOCK[[#This Row],[Precio Final]]*10%</f>
        <v>1</v>
      </c>
      <c r="N387" s="77">
        <v>113</v>
      </c>
      <c r="O387" s="77">
        <v>18</v>
      </c>
      <c r="P387" s="77">
        <v>6.27777777777778</v>
      </c>
      <c r="Q387" s="92">
        <v>50</v>
      </c>
      <c r="R387" s="77">
        <v>10</v>
      </c>
      <c r="S387" s="77">
        <f>STOCK[[#This Row],[Peso (g)]]*STOCK[[#This Row],[Precio Envío Kilogramo (USD)]]/1000</f>
        <v>0.5</v>
      </c>
      <c r="T387" s="76">
        <f>STOCK[[#This Row],[Costo Unitario (USD)]]+STOCK[[#This Row],[Costo Envío (USD)]]+STOCK[[#This Row],[Comisión 10%]]</f>
        <v>7.77777777777778</v>
      </c>
      <c r="U387" s="77">
        <f>STOCK[[#This Row],[Costo total]]*1.5</f>
        <v>11.6666666666667</v>
      </c>
      <c r="V387" s="77">
        <v>10</v>
      </c>
      <c r="W387" s="77">
        <f>STOCK[[#This Row],[Precio Final]]-STOCK[[#This Row],[Costo total]]</f>
        <v>2.22222222222222</v>
      </c>
      <c r="X387" s="77">
        <f>STOCK[[#This Row],[Ganancia Unitaria]]*STOCK[[#This Row],[Salidas]]</f>
        <v>6.66666666666666</v>
      </c>
      <c r="AA387" s="77">
        <f>STOCK[[#This Row],[Costo total]]*STOCK[[#This Row],[Entradas]]</f>
        <v>23.3333333333333</v>
      </c>
      <c r="AB387" s="77">
        <f>STOCK[[#This Row],[Stock Actual]]*STOCK[[#This Row],[Costo total]]</f>
        <v>0</v>
      </c>
    </row>
    <row r="388" s="76" customFormat="1" ht="50" hidden="1" customHeight="1" spans="1:28">
      <c r="A388" s="76" t="s">
        <v>818</v>
      </c>
      <c r="B388" s="6"/>
      <c r="C388" s="76" t="s">
        <v>30</v>
      </c>
      <c r="D388" s="76" t="s">
        <v>819</v>
      </c>
      <c r="E388" s="76" t="s">
        <v>820</v>
      </c>
      <c r="F388" s="76" t="s">
        <v>60</v>
      </c>
      <c r="G388" s="76" t="s">
        <v>34</v>
      </c>
      <c r="H388" s="76">
        <f>STOCK[[#This Row],[Precio Final]]</f>
        <v>10</v>
      </c>
      <c r="I388" s="76">
        <f>STOCK[[#This Row],[Precio Venta Ideal (x1.5)]]</f>
        <v>13.5</v>
      </c>
      <c r="J388" s="91">
        <v>1</v>
      </c>
      <c r="K388" s="91">
        <f>SUMIFS(VENTAS[Cantidad],VENTAS[Código del producto Vendido],STOCK[[#This Row],[Code]])</f>
        <v>1</v>
      </c>
      <c r="L388" s="91">
        <f>STOCK[[#This Row],[Entradas]]-STOCK[[#This Row],[Salidas]]</f>
        <v>0</v>
      </c>
      <c r="M388" s="76">
        <f>STOCK[[#This Row],[Precio Final]]*10%</f>
        <v>1</v>
      </c>
      <c r="N388" s="76">
        <v>135</v>
      </c>
      <c r="O388" s="76">
        <v>18</v>
      </c>
      <c r="P388" s="76">
        <v>7.5</v>
      </c>
      <c r="Q388" s="91">
        <v>50</v>
      </c>
      <c r="R388" s="76">
        <v>10</v>
      </c>
      <c r="S388" s="76">
        <f>STOCK[[#This Row],[Peso (g)]]*STOCK[[#This Row],[Precio Envío Kilogramo (USD)]]/1000</f>
        <v>0.5</v>
      </c>
      <c r="T388" s="76">
        <f>STOCK[[#This Row],[Costo Unitario (USD)]]+STOCK[[#This Row],[Costo Envío (USD)]]+STOCK[[#This Row],[Comisión 10%]]</f>
        <v>9</v>
      </c>
      <c r="U388" s="76">
        <f>STOCK[[#This Row],[Costo total]]*1.5</f>
        <v>13.5</v>
      </c>
      <c r="V388" s="76">
        <v>10</v>
      </c>
      <c r="W388" s="76">
        <f>STOCK[[#This Row],[Precio Final]]-STOCK[[#This Row],[Costo total]]</f>
        <v>1</v>
      </c>
      <c r="X388" s="76">
        <f>STOCK[[#This Row],[Ganancia Unitaria]]*STOCK[[#This Row],[Salidas]]</f>
        <v>1</v>
      </c>
      <c r="AA388" s="76">
        <f>STOCK[[#This Row],[Costo total]]*STOCK[[#This Row],[Entradas]]</f>
        <v>9</v>
      </c>
      <c r="AB388" s="76">
        <f>STOCK[[#This Row],[Stock Actual]]*STOCK[[#This Row],[Costo total]]</f>
        <v>0</v>
      </c>
    </row>
    <row r="389" s="77" customFormat="1" ht="50" hidden="1" customHeight="1" spans="1:29">
      <c r="A389" s="77" t="s">
        <v>821</v>
      </c>
      <c r="B389" s="6"/>
      <c r="C389" s="77" t="s">
        <v>30</v>
      </c>
      <c r="D389" s="77" t="s">
        <v>293</v>
      </c>
      <c r="E389" s="77" t="s">
        <v>822</v>
      </c>
      <c r="F389" s="77" t="s">
        <v>60</v>
      </c>
      <c r="G389" s="77" t="s">
        <v>34</v>
      </c>
      <c r="H389" s="77">
        <f>STOCK[[#This Row],[Precio Final]]</f>
        <v>15</v>
      </c>
      <c r="I389" s="77">
        <f>STOCK[[#This Row],[Precio Venta Ideal (x1.5)]]</f>
        <v>12.4166666666667</v>
      </c>
      <c r="J389" s="92">
        <v>1</v>
      </c>
      <c r="K389" s="92">
        <f>SUMIFS(VENTAS[Cantidad],VENTAS[Código del producto Vendido],STOCK[[#This Row],[Code]])</f>
        <v>0</v>
      </c>
      <c r="L389" s="92">
        <f>STOCK[[#This Row],[Entradas]]-STOCK[[#This Row],[Salidas]]</f>
        <v>1</v>
      </c>
      <c r="M389" s="77">
        <f>STOCK[[#This Row],[Precio Final]]*10%</f>
        <v>1.5</v>
      </c>
      <c r="N389" s="77">
        <v>113</v>
      </c>
      <c r="O389" s="77">
        <v>18</v>
      </c>
      <c r="P389" s="77">
        <v>6.27777777777778</v>
      </c>
      <c r="Q389" s="92">
        <v>50</v>
      </c>
      <c r="R389" s="77">
        <v>10</v>
      </c>
      <c r="S389" s="77">
        <f>STOCK[[#This Row],[Peso (g)]]*STOCK[[#This Row],[Precio Envío Kilogramo (USD)]]/1000</f>
        <v>0.5</v>
      </c>
      <c r="T389" s="76">
        <f>STOCK[[#This Row],[Costo Unitario (USD)]]+STOCK[[#This Row],[Costo Envío (USD)]]+STOCK[[#This Row],[Comisión 10%]]</f>
        <v>8.27777777777778</v>
      </c>
      <c r="U389" s="77">
        <f>STOCK[[#This Row],[Costo total]]*1.5</f>
        <v>12.4166666666667</v>
      </c>
      <c r="V389" s="77">
        <v>15</v>
      </c>
      <c r="W389" s="77">
        <f>STOCK[[#This Row],[Precio Final]]-STOCK[[#This Row],[Costo total]]</f>
        <v>6.72222222222222</v>
      </c>
      <c r="X389" s="77">
        <f>STOCK[[#This Row],[Ganancia Unitaria]]*STOCK[[#This Row],[Salidas]]</f>
        <v>0</v>
      </c>
      <c r="AA389" s="77">
        <f>STOCK[[#This Row],[Costo total]]*STOCK[[#This Row],[Entradas]]</f>
        <v>8.27777777777778</v>
      </c>
      <c r="AB389" s="77">
        <f>STOCK[[#This Row],[Stock Actual]]*STOCK[[#This Row],[Costo total]]</f>
        <v>8.27777777777778</v>
      </c>
      <c r="AC389" s="77">
        <v>10</v>
      </c>
    </row>
    <row r="390" s="76" customFormat="1" ht="50" hidden="1" customHeight="1" spans="1:29">
      <c r="A390" s="76" t="s">
        <v>823</v>
      </c>
      <c r="B390" s="6"/>
      <c r="C390" s="76" t="s">
        <v>30</v>
      </c>
      <c r="D390" s="76" t="s">
        <v>483</v>
      </c>
      <c r="E390" s="76" t="s">
        <v>824</v>
      </c>
      <c r="F390" s="76" t="s">
        <v>38</v>
      </c>
      <c r="G390" s="76" t="s">
        <v>34</v>
      </c>
      <c r="H390" s="76">
        <f>STOCK[[#This Row],[Precio Final]]</f>
        <v>20</v>
      </c>
      <c r="I390" s="76">
        <f>STOCK[[#This Row],[Precio Venta Ideal (x1.5)]]</f>
        <v>12.8333333333333</v>
      </c>
      <c r="J390" s="91">
        <v>1</v>
      </c>
      <c r="K390" s="91">
        <f>SUMIFS(VENTAS[Cantidad],VENTAS[Código del producto Vendido],STOCK[[#This Row],[Code]])</f>
        <v>1</v>
      </c>
      <c r="L390" s="91">
        <f>STOCK[[#This Row],[Entradas]]-STOCK[[#This Row],[Salidas]]</f>
        <v>0</v>
      </c>
      <c r="M390" s="76">
        <f>STOCK[[#This Row],[Precio Final]]*10%</f>
        <v>2</v>
      </c>
      <c r="N390" s="76">
        <v>109</v>
      </c>
      <c r="O390" s="76">
        <v>18</v>
      </c>
      <c r="P390" s="76">
        <v>6.05555555555556</v>
      </c>
      <c r="Q390" s="91">
        <v>50</v>
      </c>
      <c r="R390" s="76">
        <v>10</v>
      </c>
      <c r="S390" s="76">
        <f>STOCK[[#This Row],[Peso (g)]]*STOCK[[#This Row],[Precio Envío Kilogramo (USD)]]/1000</f>
        <v>0.5</v>
      </c>
      <c r="T390" s="76">
        <f>STOCK[[#This Row],[Costo Unitario (USD)]]+STOCK[[#This Row],[Costo Envío (USD)]]+STOCK[[#This Row],[Comisión 10%]]</f>
        <v>8.55555555555556</v>
      </c>
      <c r="U390" s="76">
        <f>STOCK[[#This Row],[Costo total]]*1.5</f>
        <v>12.8333333333333</v>
      </c>
      <c r="V390" s="76">
        <v>20</v>
      </c>
      <c r="W390" s="76">
        <f>STOCK[[#This Row],[Precio Final]]-STOCK[[#This Row],[Costo total]]</f>
        <v>11.4444444444444</v>
      </c>
      <c r="X390" s="76">
        <f>STOCK[[#This Row],[Ganancia Unitaria]]*STOCK[[#This Row],[Salidas]]</f>
        <v>11.4444444444444</v>
      </c>
      <c r="AA390" s="76">
        <f>STOCK[[#This Row],[Costo total]]*STOCK[[#This Row],[Entradas]]</f>
        <v>8.55555555555556</v>
      </c>
      <c r="AB390" s="76">
        <f>STOCK[[#This Row],[Stock Actual]]*STOCK[[#This Row],[Costo total]]</f>
        <v>0</v>
      </c>
      <c r="AC390" s="76">
        <v>15</v>
      </c>
    </row>
    <row r="391" s="77" customFormat="1" ht="50" hidden="1" customHeight="1" spans="1:28">
      <c r="A391" s="77" t="s">
        <v>825</v>
      </c>
      <c r="B391" s="6"/>
      <c r="C391" s="77" t="s">
        <v>30</v>
      </c>
      <c r="D391" s="77" t="s">
        <v>826</v>
      </c>
      <c r="E391" s="77" t="s">
        <v>827</v>
      </c>
      <c r="F391" s="77" t="s">
        <v>44</v>
      </c>
      <c r="G391" s="77" t="s">
        <v>34</v>
      </c>
      <c r="H391" s="77">
        <f>STOCK[[#This Row],[Precio Final]]</f>
        <v>12</v>
      </c>
      <c r="I391" s="77">
        <f>STOCK[[#This Row],[Precio Venta Ideal (x1.5)]]</f>
        <v>12.3833333333333</v>
      </c>
      <c r="J391" s="92">
        <v>1</v>
      </c>
      <c r="K391" s="92">
        <f>SUMIFS(VENTAS[Cantidad],VENTAS[Código del producto Vendido],STOCK[[#This Row],[Code]])</f>
        <v>1</v>
      </c>
      <c r="L391" s="92">
        <f>STOCK[[#This Row],[Entradas]]-STOCK[[#This Row],[Salidas]]</f>
        <v>0</v>
      </c>
      <c r="M391" s="77">
        <f>STOCK[[#This Row],[Precio Final]]*10%</f>
        <v>1.2</v>
      </c>
      <c r="N391" s="77">
        <v>109</v>
      </c>
      <c r="O391" s="77">
        <v>18</v>
      </c>
      <c r="P391" s="77">
        <v>6.05555555555556</v>
      </c>
      <c r="Q391" s="92">
        <v>100</v>
      </c>
      <c r="R391" s="77">
        <v>10</v>
      </c>
      <c r="S391" s="77">
        <f>STOCK[[#This Row],[Peso (g)]]*STOCK[[#This Row],[Precio Envío Kilogramo (USD)]]/1000</f>
        <v>1</v>
      </c>
      <c r="T391" s="76">
        <f>STOCK[[#This Row],[Costo Unitario (USD)]]+STOCK[[#This Row],[Costo Envío (USD)]]+STOCK[[#This Row],[Comisión 10%]]</f>
        <v>8.25555555555556</v>
      </c>
      <c r="U391" s="77">
        <f>STOCK[[#This Row],[Costo total]]*1.5</f>
        <v>12.3833333333333</v>
      </c>
      <c r="V391" s="77">
        <v>12</v>
      </c>
      <c r="W391" s="77">
        <f>STOCK[[#This Row],[Precio Final]]-STOCK[[#This Row],[Costo total]]</f>
        <v>3.74444444444444</v>
      </c>
      <c r="X391" s="77">
        <f>STOCK[[#This Row],[Ganancia Unitaria]]*STOCK[[#This Row],[Salidas]]</f>
        <v>3.74444444444444</v>
      </c>
      <c r="AA391" s="77">
        <f>STOCK[[#This Row],[Costo total]]*STOCK[[#This Row],[Entradas]]</f>
        <v>8.25555555555556</v>
      </c>
      <c r="AB391" s="77">
        <f>STOCK[[#This Row],[Stock Actual]]*STOCK[[#This Row],[Costo total]]</f>
        <v>0</v>
      </c>
    </row>
    <row r="392" s="76" customFormat="1" ht="50" hidden="1" customHeight="1" spans="1:28">
      <c r="A392" s="76" t="s">
        <v>828</v>
      </c>
      <c r="B392" s="6"/>
      <c r="C392" s="76" t="s">
        <v>30</v>
      </c>
      <c r="D392" s="77" t="s">
        <v>36</v>
      </c>
      <c r="E392" s="76" t="s">
        <v>829</v>
      </c>
      <c r="F392" s="76" t="s">
        <v>60</v>
      </c>
      <c r="G392" s="76" t="s">
        <v>34</v>
      </c>
      <c r="H392" s="76">
        <f>STOCK[[#This Row],[Precio Final]]</f>
        <v>15</v>
      </c>
      <c r="I392" s="76">
        <f>STOCK[[#This Row],[Precio Venta Ideal (x1.5)]]</f>
        <v>16.0833333333333</v>
      </c>
      <c r="J392" s="91">
        <v>1</v>
      </c>
      <c r="K392" s="91">
        <f>SUMIFS(VENTAS[Cantidad],VENTAS[Código del producto Vendido],STOCK[[#This Row],[Code]])</f>
        <v>1</v>
      </c>
      <c r="L392" s="91">
        <f>STOCK[[#This Row],[Entradas]]-STOCK[[#This Row],[Salidas]]</f>
        <v>0</v>
      </c>
      <c r="M392" s="76">
        <f>STOCK[[#This Row],[Precio Final]]*10%</f>
        <v>1.5</v>
      </c>
      <c r="N392" s="76">
        <v>148</v>
      </c>
      <c r="O392" s="76">
        <v>18</v>
      </c>
      <c r="P392" s="76">
        <v>8.22222222222222</v>
      </c>
      <c r="Q392" s="91">
        <v>100</v>
      </c>
      <c r="R392" s="76">
        <v>10</v>
      </c>
      <c r="S392" s="76">
        <f>STOCK[[#This Row],[Peso (g)]]*STOCK[[#This Row],[Precio Envío Kilogramo (USD)]]/1000</f>
        <v>1</v>
      </c>
      <c r="T392" s="76">
        <f>STOCK[[#This Row],[Costo Unitario (USD)]]+STOCK[[#This Row],[Costo Envío (USD)]]+STOCK[[#This Row],[Comisión 10%]]</f>
        <v>10.7222222222222</v>
      </c>
      <c r="U392" s="76">
        <f>STOCK[[#This Row],[Costo total]]*1.5</f>
        <v>16.0833333333333</v>
      </c>
      <c r="V392" s="76">
        <v>15</v>
      </c>
      <c r="W392" s="76">
        <f>STOCK[[#This Row],[Precio Final]]-STOCK[[#This Row],[Costo total]]</f>
        <v>4.27777777777778</v>
      </c>
      <c r="X392" s="76">
        <f>STOCK[[#This Row],[Ganancia Unitaria]]*STOCK[[#This Row],[Salidas]]</f>
        <v>4.27777777777778</v>
      </c>
      <c r="AA392" s="76">
        <f>STOCK[[#This Row],[Costo total]]*STOCK[[#This Row],[Entradas]]</f>
        <v>10.7222222222222</v>
      </c>
      <c r="AB392" s="76">
        <f>STOCK[[#This Row],[Stock Actual]]*STOCK[[#This Row],[Costo total]]</f>
        <v>0</v>
      </c>
    </row>
    <row r="393" s="77" customFormat="1" ht="50" hidden="1" customHeight="1" spans="1:29">
      <c r="A393" s="77" t="s">
        <v>830</v>
      </c>
      <c r="B393" s="6"/>
      <c r="C393" s="77" t="s">
        <v>30</v>
      </c>
      <c r="D393" s="77" t="s">
        <v>215</v>
      </c>
      <c r="E393" s="77" t="s">
        <v>831</v>
      </c>
      <c r="F393" s="77" t="s">
        <v>38</v>
      </c>
      <c r="G393" s="77" t="s">
        <v>34</v>
      </c>
      <c r="H393" s="77">
        <f>STOCK[[#This Row],[Precio Final]]</f>
        <v>25</v>
      </c>
      <c r="I393" s="77">
        <f>STOCK[[#This Row],[Precio Venta Ideal (x1.5)]]</f>
        <v>17.75</v>
      </c>
      <c r="J393" s="92">
        <v>3</v>
      </c>
      <c r="K393" s="92">
        <f>SUMIFS(VENTAS[Cantidad],VENTAS[Código del producto Vendido],STOCK[[#This Row],[Code]])</f>
        <v>1</v>
      </c>
      <c r="L393" s="92">
        <f>STOCK[[#This Row],[Entradas]]-STOCK[[#This Row],[Salidas]]</f>
        <v>2</v>
      </c>
      <c r="M393" s="77">
        <f>STOCK[[#This Row],[Precio Final]]*10%</f>
        <v>2.5</v>
      </c>
      <c r="N393" s="77">
        <v>150</v>
      </c>
      <c r="O393" s="77">
        <v>18</v>
      </c>
      <c r="P393" s="77">
        <v>8.33333333333333</v>
      </c>
      <c r="Q393" s="92">
        <v>100</v>
      </c>
      <c r="R393" s="77">
        <v>10</v>
      </c>
      <c r="S393" s="77">
        <f>STOCK[[#This Row],[Peso (g)]]*STOCK[[#This Row],[Precio Envío Kilogramo (USD)]]/1000</f>
        <v>1</v>
      </c>
      <c r="T393" s="76">
        <f>STOCK[[#This Row],[Costo Unitario (USD)]]+STOCK[[#This Row],[Costo Envío (USD)]]+STOCK[[#This Row],[Comisión 10%]]</f>
        <v>11.8333333333333</v>
      </c>
      <c r="U393" s="77">
        <f>STOCK[[#This Row],[Costo total]]*1.5</f>
        <v>17.75</v>
      </c>
      <c r="V393" s="77">
        <v>25</v>
      </c>
      <c r="W393" s="77">
        <f>STOCK[[#This Row],[Precio Final]]-STOCK[[#This Row],[Costo total]]</f>
        <v>13.1666666666667</v>
      </c>
      <c r="X393" s="77">
        <f>STOCK[[#This Row],[Ganancia Unitaria]]*STOCK[[#This Row],[Salidas]]</f>
        <v>13.1666666666667</v>
      </c>
      <c r="AA393" s="77">
        <f>STOCK[[#This Row],[Costo total]]*STOCK[[#This Row],[Entradas]]</f>
        <v>35.5</v>
      </c>
      <c r="AB393" s="77">
        <f>STOCK[[#This Row],[Stock Actual]]*STOCK[[#This Row],[Costo total]]</f>
        <v>23.6666666666667</v>
      </c>
      <c r="AC393" s="77">
        <v>18</v>
      </c>
    </row>
    <row r="394" s="76" customFormat="1" ht="50" hidden="1" customHeight="1" spans="1:28">
      <c r="A394" s="76" t="s">
        <v>832</v>
      </c>
      <c r="B394" s="6"/>
      <c r="C394" s="76" t="s">
        <v>30</v>
      </c>
      <c r="D394" s="76" t="s">
        <v>833</v>
      </c>
      <c r="E394" s="76" t="s">
        <v>834</v>
      </c>
      <c r="F394" s="76" t="s">
        <v>524</v>
      </c>
      <c r="G394" s="76" t="s">
        <v>34</v>
      </c>
      <c r="H394" s="76">
        <f>STOCK[[#This Row],[Precio Final]]</f>
        <v>10</v>
      </c>
      <c r="I394" s="76">
        <f>STOCK[[#This Row],[Precio Venta Ideal (x1.5)]]</f>
        <v>8</v>
      </c>
      <c r="J394" s="91">
        <v>2</v>
      </c>
      <c r="K394" s="91">
        <f>SUMIFS(VENTAS[Cantidad],VENTAS[Código del producto Vendido],STOCK[[#This Row],[Code]])</f>
        <v>1</v>
      </c>
      <c r="L394" s="91">
        <f>STOCK[[#This Row],[Entradas]]-STOCK[[#This Row],[Salidas]]</f>
        <v>1</v>
      </c>
      <c r="M394" s="76">
        <f>STOCK[[#This Row],[Precio Final]]*10%</f>
        <v>1</v>
      </c>
      <c r="N394" s="76">
        <v>69</v>
      </c>
      <c r="O394" s="76">
        <v>18</v>
      </c>
      <c r="P394" s="76">
        <v>3.83333333333333</v>
      </c>
      <c r="Q394" s="91">
        <v>50</v>
      </c>
      <c r="R394" s="76">
        <v>10</v>
      </c>
      <c r="S394" s="76">
        <f>STOCK[[#This Row],[Peso (g)]]*STOCK[[#This Row],[Precio Envío Kilogramo (USD)]]/1000</f>
        <v>0.5</v>
      </c>
      <c r="T394" s="76">
        <f>STOCK[[#This Row],[Costo Unitario (USD)]]+STOCK[[#This Row],[Costo Envío (USD)]]+STOCK[[#This Row],[Comisión 10%]]</f>
        <v>5.33333333333333</v>
      </c>
      <c r="U394" s="76">
        <f>STOCK[[#This Row],[Costo total]]*1.5</f>
        <v>8</v>
      </c>
      <c r="V394" s="76">
        <v>10</v>
      </c>
      <c r="W394" s="76">
        <f>STOCK[[#This Row],[Precio Final]]-STOCK[[#This Row],[Costo total]]</f>
        <v>4.66666666666667</v>
      </c>
      <c r="X394" s="76">
        <f>STOCK[[#This Row],[Ganancia Unitaria]]*STOCK[[#This Row],[Salidas]]</f>
        <v>4.66666666666667</v>
      </c>
      <c r="AA394" s="76">
        <f>STOCK[[#This Row],[Costo total]]*STOCK[[#This Row],[Entradas]]</f>
        <v>10.6666666666667</v>
      </c>
      <c r="AB394" s="76">
        <f>STOCK[[#This Row],[Stock Actual]]*STOCK[[#This Row],[Costo total]]</f>
        <v>5.33333333333333</v>
      </c>
    </row>
    <row r="395" s="77" customFormat="1" ht="50" hidden="1" customHeight="1" spans="1:28">
      <c r="A395" s="77" t="s">
        <v>835</v>
      </c>
      <c r="B395" s="6"/>
      <c r="C395" s="77" t="s">
        <v>30</v>
      </c>
      <c r="D395" s="77" t="s">
        <v>42</v>
      </c>
      <c r="E395" s="77" t="s">
        <v>836</v>
      </c>
      <c r="F395" s="77" t="s">
        <v>38</v>
      </c>
      <c r="G395" s="77" t="s">
        <v>34</v>
      </c>
      <c r="H395" s="77">
        <f>STOCK[[#This Row],[Precio Final]]</f>
        <v>35</v>
      </c>
      <c r="I395" s="77">
        <f>STOCK[[#This Row],[Precio Venta Ideal (x1.5)]]</f>
        <v>44.8333333333333</v>
      </c>
      <c r="J395" s="92">
        <v>1</v>
      </c>
      <c r="K395" s="92">
        <f>SUMIFS(VENTAS[Cantidad],VENTAS[Código del producto Vendido],STOCK[[#This Row],[Code]])</f>
        <v>1</v>
      </c>
      <c r="L395" s="92">
        <f>STOCK[[#This Row],[Entradas]]-STOCK[[#This Row],[Salidas]]</f>
        <v>0</v>
      </c>
      <c r="M395" s="77">
        <f>STOCK[[#This Row],[Precio Final]]*10%</f>
        <v>3.5</v>
      </c>
      <c r="N395" s="77">
        <v>385</v>
      </c>
      <c r="O395" s="77">
        <v>18</v>
      </c>
      <c r="P395" s="77">
        <v>21.3888888888889</v>
      </c>
      <c r="Q395" s="92">
        <v>500</v>
      </c>
      <c r="R395" s="77">
        <v>10</v>
      </c>
      <c r="S395" s="77">
        <f>STOCK[[#This Row],[Peso (g)]]*STOCK[[#This Row],[Precio Envío Kilogramo (USD)]]/1000</f>
        <v>5</v>
      </c>
      <c r="T395" s="76">
        <f>STOCK[[#This Row],[Costo Unitario (USD)]]+STOCK[[#This Row],[Costo Envío (USD)]]+STOCK[[#This Row],[Comisión 10%]]</f>
        <v>29.8888888888889</v>
      </c>
      <c r="U395" s="77">
        <f>STOCK[[#This Row],[Costo total]]*1.5</f>
        <v>44.8333333333333</v>
      </c>
      <c r="V395" s="77">
        <v>35</v>
      </c>
      <c r="W395" s="77">
        <f>STOCK[[#This Row],[Precio Final]]-STOCK[[#This Row],[Costo total]]</f>
        <v>5.1111111111111</v>
      </c>
      <c r="X395" s="77">
        <f>STOCK[[#This Row],[Ganancia Unitaria]]*STOCK[[#This Row],[Salidas]]</f>
        <v>5.1111111111111</v>
      </c>
      <c r="AA395" s="77">
        <f>STOCK[[#This Row],[Costo total]]*STOCK[[#This Row],[Entradas]]</f>
        <v>29.8888888888889</v>
      </c>
      <c r="AB395" s="77">
        <f>STOCK[[#This Row],[Stock Actual]]*STOCK[[#This Row],[Costo total]]</f>
        <v>0</v>
      </c>
    </row>
    <row r="396" s="76" customFormat="1" ht="50" hidden="1" customHeight="1" spans="1:28">
      <c r="A396" s="76" t="s">
        <v>837</v>
      </c>
      <c r="B396" s="6"/>
      <c r="C396" s="76" t="s">
        <v>30</v>
      </c>
      <c r="D396" s="76" t="s">
        <v>293</v>
      </c>
      <c r="E396" s="76" t="s">
        <v>838</v>
      </c>
      <c r="F396" s="76" t="s">
        <v>60</v>
      </c>
      <c r="G396" s="76" t="s">
        <v>34</v>
      </c>
      <c r="H396" s="76">
        <f>STOCK[[#This Row],[Precio Final]]</f>
        <v>9</v>
      </c>
      <c r="I396" s="76">
        <f>STOCK[[#This Row],[Precio Venta Ideal (x1.5)]]</f>
        <v>7.35</v>
      </c>
      <c r="J396" s="91">
        <v>1</v>
      </c>
      <c r="K396" s="91">
        <f>SUMIFS(VENTAS[Cantidad],VENTAS[Código del producto Vendido],STOCK[[#This Row],[Code]])</f>
        <v>0</v>
      </c>
      <c r="L396" s="91">
        <f>STOCK[[#This Row],[Entradas]]-STOCK[[#This Row],[Salidas]]</f>
        <v>1</v>
      </c>
      <c r="M396" s="76">
        <f>STOCK[[#This Row],[Precio Final]]*10%</f>
        <v>0.9</v>
      </c>
      <c r="N396" s="76">
        <v>63</v>
      </c>
      <c r="O396" s="76">
        <v>18</v>
      </c>
      <c r="P396" s="76">
        <v>3.5</v>
      </c>
      <c r="Q396" s="91">
        <v>50</v>
      </c>
      <c r="R396" s="76">
        <v>10</v>
      </c>
      <c r="S396" s="76">
        <f>STOCK[[#This Row],[Peso (g)]]*STOCK[[#This Row],[Precio Envío Kilogramo (USD)]]/1000</f>
        <v>0.5</v>
      </c>
      <c r="T396" s="76">
        <f>STOCK[[#This Row],[Costo Unitario (USD)]]+STOCK[[#This Row],[Costo Envío (USD)]]+STOCK[[#This Row],[Comisión 10%]]</f>
        <v>4.9</v>
      </c>
      <c r="U396" s="76">
        <f>STOCK[[#This Row],[Costo total]]*1.5</f>
        <v>7.35</v>
      </c>
      <c r="V396" s="76">
        <v>9</v>
      </c>
      <c r="W396" s="76">
        <f>STOCK[[#This Row],[Precio Final]]-STOCK[[#This Row],[Costo total]]</f>
        <v>4.1</v>
      </c>
      <c r="X396" s="76">
        <f>STOCK[[#This Row],[Ganancia Unitaria]]*STOCK[[#This Row],[Salidas]]</f>
        <v>0</v>
      </c>
      <c r="AA396" s="76">
        <f>STOCK[[#This Row],[Costo total]]*STOCK[[#This Row],[Entradas]]</f>
        <v>4.9</v>
      </c>
      <c r="AB396" s="76">
        <f>STOCK[[#This Row],[Stock Actual]]*STOCK[[#This Row],[Costo total]]</f>
        <v>4.9</v>
      </c>
    </row>
    <row r="397" s="77" customFormat="1" ht="50" hidden="1" customHeight="1" spans="1:28">
      <c r="A397" s="77" t="s">
        <v>839</v>
      </c>
      <c r="B397" s="6"/>
      <c r="C397" s="77" t="s">
        <v>30</v>
      </c>
      <c r="D397" s="77" t="s">
        <v>36</v>
      </c>
      <c r="E397" s="77" t="s">
        <v>840</v>
      </c>
      <c r="F397" s="77" t="s">
        <v>60</v>
      </c>
      <c r="G397" s="77" t="s">
        <v>34</v>
      </c>
      <c r="H397" s="77">
        <f>STOCK[[#This Row],[Precio Final]]</f>
        <v>10</v>
      </c>
      <c r="I397" s="77">
        <f>STOCK[[#This Row],[Precio Venta Ideal (x1.5)]]</f>
        <v>7.01666666666667</v>
      </c>
      <c r="J397" s="92">
        <v>1</v>
      </c>
      <c r="K397" s="92">
        <f>SUMIFS(VENTAS[Cantidad],VENTAS[Código del producto Vendido],STOCK[[#This Row],[Code]])</f>
        <v>1</v>
      </c>
      <c r="L397" s="92">
        <f>STOCK[[#This Row],[Entradas]]-STOCK[[#This Row],[Salidas]]</f>
        <v>0</v>
      </c>
      <c r="M397" s="77">
        <f>STOCK[[#This Row],[Precio Final]]*10%</f>
        <v>1</v>
      </c>
      <c r="N397" s="77">
        <v>59</v>
      </c>
      <c r="O397" s="77">
        <v>18</v>
      </c>
      <c r="P397" s="77">
        <v>3.27777777777778</v>
      </c>
      <c r="Q397" s="92">
        <v>40</v>
      </c>
      <c r="R397" s="77">
        <v>10</v>
      </c>
      <c r="S397" s="77">
        <f>STOCK[[#This Row],[Peso (g)]]*STOCK[[#This Row],[Precio Envío Kilogramo (USD)]]/1000</f>
        <v>0.4</v>
      </c>
      <c r="T397" s="76">
        <f>STOCK[[#This Row],[Costo Unitario (USD)]]+STOCK[[#This Row],[Costo Envío (USD)]]+STOCK[[#This Row],[Comisión 10%]]</f>
        <v>4.67777777777778</v>
      </c>
      <c r="U397" s="77">
        <f>STOCK[[#This Row],[Costo total]]*1.5</f>
        <v>7.01666666666667</v>
      </c>
      <c r="V397" s="77">
        <v>10</v>
      </c>
      <c r="W397" s="77">
        <f>STOCK[[#This Row],[Precio Final]]-STOCK[[#This Row],[Costo total]]</f>
        <v>5.32222222222222</v>
      </c>
      <c r="X397" s="77">
        <f>STOCK[[#This Row],[Ganancia Unitaria]]*STOCK[[#This Row],[Salidas]]</f>
        <v>5.32222222222222</v>
      </c>
      <c r="AA397" s="77">
        <f>STOCK[[#This Row],[Costo total]]*STOCK[[#This Row],[Entradas]]</f>
        <v>4.67777777777778</v>
      </c>
      <c r="AB397" s="77">
        <f>STOCK[[#This Row],[Stock Actual]]*STOCK[[#This Row],[Costo total]]</f>
        <v>0</v>
      </c>
    </row>
    <row r="398" s="76" customFormat="1" ht="50" hidden="1" customHeight="1" spans="1:28">
      <c r="A398" s="76" t="s">
        <v>841</v>
      </c>
      <c r="B398" s="6"/>
      <c r="C398" s="76" t="s">
        <v>30</v>
      </c>
      <c r="D398" s="76" t="s">
        <v>173</v>
      </c>
      <c r="E398" s="76" t="s">
        <v>842</v>
      </c>
      <c r="F398" s="76" t="s">
        <v>44</v>
      </c>
      <c r="G398" s="76" t="s">
        <v>34</v>
      </c>
      <c r="H398" s="76">
        <f>STOCK[[#This Row],[Precio Final]]</f>
        <v>9</v>
      </c>
      <c r="I398" s="76">
        <f>STOCK[[#This Row],[Precio Venta Ideal (x1.5)]]</f>
        <v>6.53333333333334</v>
      </c>
      <c r="J398" s="91">
        <v>1</v>
      </c>
      <c r="K398" s="91">
        <f>SUMIFS(VENTAS[Cantidad],VENTAS[Código del producto Vendido],STOCK[[#This Row],[Code]])</f>
        <v>1</v>
      </c>
      <c r="L398" s="91">
        <f>STOCK[[#This Row],[Entradas]]-STOCK[[#This Row],[Salidas]]</f>
        <v>0</v>
      </c>
      <c r="M398" s="76">
        <f>STOCK[[#This Row],[Precio Final]]*10%</f>
        <v>0.9</v>
      </c>
      <c r="N398" s="76">
        <v>55</v>
      </c>
      <c r="O398" s="76">
        <v>18</v>
      </c>
      <c r="P398" s="76">
        <v>3.05555555555556</v>
      </c>
      <c r="Q398" s="91">
        <v>40</v>
      </c>
      <c r="R398" s="76">
        <v>10</v>
      </c>
      <c r="S398" s="76">
        <f>STOCK[[#This Row],[Peso (g)]]*STOCK[[#This Row],[Precio Envío Kilogramo (USD)]]/1000</f>
        <v>0.4</v>
      </c>
      <c r="T398" s="76">
        <f>STOCK[[#This Row],[Costo Unitario (USD)]]+STOCK[[#This Row],[Costo Envío (USD)]]+STOCK[[#This Row],[Comisión 10%]]</f>
        <v>4.35555555555556</v>
      </c>
      <c r="U398" s="76">
        <f>STOCK[[#This Row],[Costo total]]*1.5</f>
        <v>6.53333333333334</v>
      </c>
      <c r="V398" s="76">
        <v>9</v>
      </c>
      <c r="W398" s="76">
        <f>STOCK[[#This Row],[Precio Final]]-STOCK[[#This Row],[Costo total]]</f>
        <v>4.64444444444444</v>
      </c>
      <c r="X398" s="76">
        <f>STOCK[[#This Row],[Ganancia Unitaria]]*STOCK[[#This Row],[Salidas]]</f>
        <v>4.64444444444444</v>
      </c>
      <c r="AA398" s="76">
        <f>STOCK[[#This Row],[Costo total]]*STOCK[[#This Row],[Entradas]]</f>
        <v>4.35555555555556</v>
      </c>
      <c r="AB398" s="76">
        <f>STOCK[[#This Row],[Stock Actual]]*STOCK[[#This Row],[Costo total]]</f>
        <v>0</v>
      </c>
    </row>
    <row r="399" s="77" customFormat="1" ht="50" hidden="1" customHeight="1" spans="1:29">
      <c r="A399" s="77" t="s">
        <v>843</v>
      </c>
      <c r="B399" s="6"/>
      <c r="C399" s="77" t="s">
        <v>30</v>
      </c>
      <c r="D399" s="77" t="s">
        <v>293</v>
      </c>
      <c r="E399" s="77" t="s">
        <v>844</v>
      </c>
      <c r="F399" s="77" t="s">
        <v>47</v>
      </c>
      <c r="G399" s="77" t="s">
        <v>34</v>
      </c>
      <c r="H399" s="77">
        <f>STOCK[[#This Row],[Precio Final]]</f>
        <v>12</v>
      </c>
      <c r="I399" s="77">
        <f>STOCK[[#This Row],[Precio Venta Ideal (x1.5)]]</f>
        <v>8.11666666666666</v>
      </c>
      <c r="J399" s="92">
        <v>1</v>
      </c>
      <c r="K399" s="92">
        <f>SUMIFS(VENTAS[Cantidad],VENTAS[Código del producto Vendido],STOCK[[#This Row],[Code]])</f>
        <v>0</v>
      </c>
      <c r="L399" s="92">
        <f>STOCK[[#This Row],[Entradas]]-STOCK[[#This Row],[Salidas]]</f>
        <v>1</v>
      </c>
      <c r="M399" s="77">
        <f>STOCK[[#This Row],[Precio Final]]*10%</f>
        <v>1.2</v>
      </c>
      <c r="N399" s="77">
        <v>65</v>
      </c>
      <c r="O399" s="77">
        <v>18</v>
      </c>
      <c r="P399" s="77">
        <v>3.61111111111111</v>
      </c>
      <c r="Q399" s="92">
        <v>60</v>
      </c>
      <c r="R399" s="77">
        <v>10</v>
      </c>
      <c r="S399" s="77">
        <f>STOCK[[#This Row],[Peso (g)]]*STOCK[[#This Row],[Precio Envío Kilogramo (USD)]]/1000</f>
        <v>0.6</v>
      </c>
      <c r="T399" s="76">
        <f>STOCK[[#This Row],[Costo Unitario (USD)]]+STOCK[[#This Row],[Costo Envío (USD)]]+STOCK[[#This Row],[Comisión 10%]]</f>
        <v>5.41111111111111</v>
      </c>
      <c r="U399" s="77">
        <f>STOCK[[#This Row],[Costo total]]*1.5</f>
        <v>8.11666666666666</v>
      </c>
      <c r="V399" s="77">
        <v>12</v>
      </c>
      <c r="W399" s="77">
        <f>STOCK[[#This Row],[Precio Final]]-STOCK[[#This Row],[Costo total]]</f>
        <v>6.58888888888889</v>
      </c>
      <c r="X399" s="77">
        <f>STOCK[[#This Row],[Ganancia Unitaria]]*STOCK[[#This Row],[Salidas]]</f>
        <v>0</v>
      </c>
      <c r="AA399" s="77">
        <f>STOCK[[#This Row],[Costo total]]*STOCK[[#This Row],[Entradas]]</f>
        <v>5.41111111111111</v>
      </c>
      <c r="AB399" s="77">
        <f>STOCK[[#This Row],[Stock Actual]]*STOCK[[#This Row],[Costo total]]</f>
        <v>5.41111111111111</v>
      </c>
      <c r="AC399" s="77">
        <v>9</v>
      </c>
    </row>
    <row r="400" s="76" customFormat="1" ht="50" hidden="1" customHeight="1" spans="1:29">
      <c r="A400" s="76" t="s">
        <v>845</v>
      </c>
      <c r="B400" s="6"/>
      <c r="C400" s="76" t="s">
        <v>30</v>
      </c>
      <c r="D400" s="76" t="s">
        <v>293</v>
      </c>
      <c r="E400" s="76" t="s">
        <v>844</v>
      </c>
      <c r="F400" s="76" t="s">
        <v>60</v>
      </c>
      <c r="G400" s="76" t="s">
        <v>34</v>
      </c>
      <c r="H400" s="76">
        <f>STOCK[[#This Row],[Precio Final]]</f>
        <v>12</v>
      </c>
      <c r="I400" s="76">
        <f>STOCK[[#This Row],[Precio Venta Ideal (x1.5)]]</f>
        <v>8.11666666666666</v>
      </c>
      <c r="J400" s="91">
        <v>1</v>
      </c>
      <c r="K400" s="91">
        <f>SUMIFS(VENTAS[Cantidad],VENTAS[Código del producto Vendido],STOCK[[#This Row],[Code]])</f>
        <v>0</v>
      </c>
      <c r="L400" s="91">
        <f>STOCK[[#This Row],[Entradas]]-STOCK[[#This Row],[Salidas]]</f>
        <v>1</v>
      </c>
      <c r="M400" s="76">
        <f>STOCK[[#This Row],[Precio Final]]*10%</f>
        <v>1.2</v>
      </c>
      <c r="N400" s="76">
        <v>65</v>
      </c>
      <c r="O400" s="76">
        <v>18</v>
      </c>
      <c r="P400" s="76">
        <v>3.61111111111111</v>
      </c>
      <c r="Q400" s="91">
        <v>60</v>
      </c>
      <c r="R400" s="76">
        <v>10</v>
      </c>
      <c r="S400" s="76">
        <f>STOCK[[#This Row],[Peso (g)]]*STOCK[[#This Row],[Precio Envío Kilogramo (USD)]]/1000</f>
        <v>0.6</v>
      </c>
      <c r="T400" s="76">
        <f>STOCK[[#This Row],[Costo Unitario (USD)]]+STOCK[[#This Row],[Costo Envío (USD)]]+STOCK[[#This Row],[Comisión 10%]]</f>
        <v>5.41111111111111</v>
      </c>
      <c r="U400" s="76">
        <f>STOCK[[#This Row],[Costo total]]*1.5</f>
        <v>8.11666666666666</v>
      </c>
      <c r="V400" s="76">
        <v>12</v>
      </c>
      <c r="W400" s="76">
        <f>STOCK[[#This Row],[Precio Final]]-STOCK[[#This Row],[Costo total]]</f>
        <v>6.58888888888889</v>
      </c>
      <c r="X400" s="76">
        <f>STOCK[[#This Row],[Ganancia Unitaria]]*STOCK[[#This Row],[Salidas]]</f>
        <v>0</v>
      </c>
      <c r="AA400" s="76">
        <f>STOCK[[#This Row],[Costo total]]*STOCK[[#This Row],[Entradas]]</f>
        <v>5.41111111111111</v>
      </c>
      <c r="AB400" s="76">
        <f>STOCK[[#This Row],[Stock Actual]]*STOCK[[#This Row],[Costo total]]</f>
        <v>5.41111111111111</v>
      </c>
      <c r="AC400" s="76">
        <v>9</v>
      </c>
    </row>
    <row r="401" s="77" customFormat="1" ht="50" hidden="1" customHeight="1" spans="1:29">
      <c r="A401" s="77" t="s">
        <v>846</v>
      </c>
      <c r="B401" s="6"/>
      <c r="C401" s="77" t="s">
        <v>30</v>
      </c>
      <c r="D401" s="77" t="s">
        <v>151</v>
      </c>
      <c r="E401" s="77" t="s">
        <v>847</v>
      </c>
      <c r="F401" s="77" t="s">
        <v>44</v>
      </c>
      <c r="G401" s="77" t="s">
        <v>34</v>
      </c>
      <c r="H401" s="77">
        <f>STOCK[[#This Row],[Precio Final]]</f>
        <v>12</v>
      </c>
      <c r="I401" s="77">
        <f>STOCK[[#This Row],[Precio Venta Ideal (x1.5)]]</f>
        <v>8.59999999999999</v>
      </c>
      <c r="J401" s="92">
        <v>1</v>
      </c>
      <c r="K401" s="92">
        <f>SUMIFS(VENTAS[Cantidad],VENTAS[Código del producto Vendido],STOCK[[#This Row],[Code]])</f>
        <v>0</v>
      </c>
      <c r="L401" s="92">
        <f>STOCK[[#This Row],[Entradas]]-STOCK[[#This Row],[Salidas]]</f>
        <v>1</v>
      </c>
      <c r="M401" s="77">
        <f>STOCK[[#This Row],[Precio Final]]*10%</f>
        <v>1.2</v>
      </c>
      <c r="N401" s="77">
        <v>69</v>
      </c>
      <c r="O401" s="77">
        <v>18</v>
      </c>
      <c r="P401" s="77">
        <v>3.83333333333333</v>
      </c>
      <c r="Q401" s="92">
        <v>70</v>
      </c>
      <c r="R401" s="77">
        <v>10</v>
      </c>
      <c r="S401" s="77">
        <f>STOCK[[#This Row],[Peso (g)]]*STOCK[[#This Row],[Precio Envío Kilogramo (USD)]]/1000</f>
        <v>0.7</v>
      </c>
      <c r="T401" s="76">
        <f>STOCK[[#This Row],[Costo Unitario (USD)]]+STOCK[[#This Row],[Costo Envío (USD)]]+STOCK[[#This Row],[Comisión 10%]]</f>
        <v>5.73333333333333</v>
      </c>
      <c r="U401" s="77">
        <f>STOCK[[#This Row],[Costo total]]*1.5</f>
        <v>8.59999999999999</v>
      </c>
      <c r="V401" s="77">
        <v>12</v>
      </c>
      <c r="W401" s="77">
        <f>STOCK[[#This Row],[Precio Final]]-STOCK[[#This Row],[Costo total]]</f>
        <v>6.26666666666667</v>
      </c>
      <c r="X401" s="77">
        <f>STOCK[[#This Row],[Ganancia Unitaria]]*STOCK[[#This Row],[Salidas]]</f>
        <v>0</v>
      </c>
      <c r="AA401" s="77">
        <f>STOCK[[#This Row],[Costo total]]*STOCK[[#This Row],[Entradas]]</f>
        <v>5.73333333333333</v>
      </c>
      <c r="AB401" s="77">
        <f>STOCK[[#This Row],[Stock Actual]]*STOCK[[#This Row],[Costo total]]</f>
        <v>5.73333333333333</v>
      </c>
      <c r="AC401" s="77">
        <v>9</v>
      </c>
    </row>
    <row r="402" s="76" customFormat="1" ht="50" hidden="1" customHeight="1" spans="1:28">
      <c r="A402" s="76" t="s">
        <v>848</v>
      </c>
      <c r="B402" s="6"/>
      <c r="C402" s="76" t="s">
        <v>30</v>
      </c>
      <c r="D402" s="76" t="s">
        <v>36</v>
      </c>
      <c r="E402" s="76" t="s">
        <v>849</v>
      </c>
      <c r="F402" s="76" t="s">
        <v>47</v>
      </c>
      <c r="G402" s="76" t="s">
        <v>34</v>
      </c>
      <c r="H402" s="76">
        <f>STOCK[[#This Row],[Precio Final]]</f>
        <v>30</v>
      </c>
      <c r="I402" s="76">
        <f>STOCK[[#This Row],[Precio Venta Ideal (x1.5)]]</f>
        <v>34.5833333333334</v>
      </c>
      <c r="J402" s="91">
        <v>1</v>
      </c>
      <c r="K402" s="91">
        <f>SUMIFS(VENTAS[Cantidad],VENTAS[Código del producto Vendido],STOCK[[#This Row],[Code]])</f>
        <v>1</v>
      </c>
      <c r="L402" s="91">
        <f>STOCK[[#This Row],[Entradas]]-STOCK[[#This Row],[Salidas]]</f>
        <v>0</v>
      </c>
      <c r="M402" s="76">
        <f>STOCK[[#This Row],[Precio Final]]*10%</f>
        <v>3</v>
      </c>
      <c r="N402" s="76">
        <v>289</v>
      </c>
      <c r="O402" s="76">
        <v>18</v>
      </c>
      <c r="P402" s="76">
        <v>16.0555555555556</v>
      </c>
      <c r="Q402" s="91">
        <v>400</v>
      </c>
      <c r="R402" s="76">
        <v>10</v>
      </c>
      <c r="S402" s="76">
        <f>STOCK[[#This Row],[Peso (g)]]*STOCK[[#This Row],[Precio Envío Kilogramo (USD)]]/1000</f>
        <v>4</v>
      </c>
      <c r="T402" s="76">
        <f>STOCK[[#This Row],[Costo Unitario (USD)]]+STOCK[[#This Row],[Costo Envío (USD)]]+STOCK[[#This Row],[Comisión 10%]]</f>
        <v>23.0555555555556</v>
      </c>
      <c r="U402" s="76">
        <f>STOCK[[#This Row],[Costo total]]*1.5</f>
        <v>34.5833333333334</v>
      </c>
      <c r="V402" s="76">
        <v>30</v>
      </c>
      <c r="W402" s="76">
        <f>STOCK[[#This Row],[Precio Final]]-STOCK[[#This Row],[Costo total]]</f>
        <v>6.9444444444444</v>
      </c>
      <c r="X402" s="76">
        <f>STOCK[[#This Row],[Ganancia Unitaria]]*STOCK[[#This Row],[Salidas]]</f>
        <v>6.9444444444444</v>
      </c>
      <c r="AA402" s="76">
        <f>STOCK[[#This Row],[Costo total]]*STOCK[[#This Row],[Entradas]]</f>
        <v>23.0555555555556</v>
      </c>
      <c r="AB402" s="76">
        <f>STOCK[[#This Row],[Stock Actual]]*STOCK[[#This Row],[Costo total]]</f>
        <v>0</v>
      </c>
    </row>
    <row r="403" s="77" customFormat="1" ht="50" hidden="1" customHeight="1" spans="1:28">
      <c r="A403" s="77" t="s">
        <v>850</v>
      </c>
      <c r="B403" s="6"/>
      <c r="C403" s="77" t="s">
        <v>30</v>
      </c>
      <c r="D403" s="77" t="s">
        <v>42</v>
      </c>
      <c r="E403" s="77" t="s">
        <v>851</v>
      </c>
      <c r="F403" s="77" t="s">
        <v>60</v>
      </c>
      <c r="G403" s="77" t="s">
        <v>34</v>
      </c>
      <c r="H403" s="77">
        <f>STOCK[[#This Row],[Precio Final]]</f>
        <v>25</v>
      </c>
      <c r="I403" s="77">
        <f>STOCK[[#This Row],[Precio Venta Ideal (x1.5)]]</f>
        <v>28.9166666666667</v>
      </c>
      <c r="J403" s="92">
        <v>1</v>
      </c>
      <c r="K403" s="92">
        <f>SUMIFS(VENTAS[Cantidad],VENTAS[Código del producto Vendido],STOCK[[#This Row],[Code]])</f>
        <v>1</v>
      </c>
      <c r="L403" s="92">
        <f>STOCK[[#This Row],[Entradas]]-STOCK[[#This Row],[Salidas]]</f>
        <v>0</v>
      </c>
      <c r="M403" s="77">
        <f>STOCK[[#This Row],[Precio Final]]*10%</f>
        <v>2.5</v>
      </c>
      <c r="N403" s="77">
        <v>275</v>
      </c>
      <c r="O403" s="77">
        <v>18</v>
      </c>
      <c r="P403" s="77">
        <v>15.2777777777778</v>
      </c>
      <c r="Q403" s="92">
        <v>150</v>
      </c>
      <c r="R403" s="77">
        <v>10</v>
      </c>
      <c r="S403" s="77">
        <f>STOCK[[#This Row],[Peso (g)]]*STOCK[[#This Row],[Precio Envío Kilogramo (USD)]]/1000</f>
        <v>1.5</v>
      </c>
      <c r="T403" s="76">
        <f>STOCK[[#This Row],[Costo Unitario (USD)]]+STOCK[[#This Row],[Costo Envío (USD)]]+STOCK[[#This Row],[Comisión 10%]]</f>
        <v>19.2777777777778</v>
      </c>
      <c r="U403" s="77">
        <f>STOCK[[#This Row],[Costo total]]*1.5</f>
        <v>28.9166666666667</v>
      </c>
      <c r="V403" s="77">
        <v>25</v>
      </c>
      <c r="W403" s="77">
        <f>STOCK[[#This Row],[Precio Final]]-STOCK[[#This Row],[Costo total]]</f>
        <v>5.7222222222222</v>
      </c>
      <c r="X403" s="77">
        <f>STOCK[[#This Row],[Ganancia Unitaria]]*STOCK[[#This Row],[Salidas]]</f>
        <v>5.7222222222222</v>
      </c>
      <c r="AA403" s="77">
        <f>STOCK[[#This Row],[Costo total]]*STOCK[[#This Row],[Entradas]]</f>
        <v>19.2777777777778</v>
      </c>
      <c r="AB403" s="77">
        <f>STOCK[[#This Row],[Stock Actual]]*STOCK[[#This Row],[Costo total]]</f>
        <v>0</v>
      </c>
    </row>
    <row r="404" s="76" customFormat="1" ht="50" hidden="1" customHeight="1" spans="1:28">
      <c r="A404" s="76" t="s">
        <v>852</v>
      </c>
      <c r="B404" s="6"/>
      <c r="C404" s="76" t="s">
        <v>30</v>
      </c>
      <c r="D404" s="76" t="s">
        <v>350</v>
      </c>
      <c r="E404" s="76" t="s">
        <v>853</v>
      </c>
      <c r="F404" s="76" t="s">
        <v>44</v>
      </c>
      <c r="G404" s="76" t="s">
        <v>34</v>
      </c>
      <c r="H404" s="76">
        <f>STOCK[[#This Row],[Precio Final]]</f>
        <v>10</v>
      </c>
      <c r="I404" s="76">
        <f>STOCK[[#This Row],[Precio Venta Ideal (x1.5)]]</f>
        <v>7.36666666666666</v>
      </c>
      <c r="J404" s="91">
        <v>0</v>
      </c>
      <c r="K404" s="91">
        <f>SUMIFS(VENTAS[Cantidad],VENTAS[Código del producto Vendido],STOCK[[#This Row],[Code]])</f>
        <v>0</v>
      </c>
      <c r="L404" s="91">
        <f>STOCK[[#This Row],[Entradas]]-STOCK[[#This Row],[Salidas]]</f>
        <v>0</v>
      </c>
      <c r="M404" s="76">
        <f>STOCK[[#This Row],[Precio Final]]*10%</f>
        <v>1</v>
      </c>
      <c r="N404" s="76">
        <v>65</v>
      </c>
      <c r="O404" s="76">
        <v>18</v>
      </c>
      <c r="P404" s="76">
        <v>3.61111111111111</v>
      </c>
      <c r="Q404" s="91">
        <v>30</v>
      </c>
      <c r="R404" s="76">
        <v>10</v>
      </c>
      <c r="S404" s="76">
        <f>STOCK[[#This Row],[Peso (g)]]*STOCK[[#This Row],[Precio Envío Kilogramo (USD)]]/1000</f>
        <v>0.3</v>
      </c>
      <c r="T404" s="76">
        <f>STOCK[[#This Row],[Costo Unitario (USD)]]+STOCK[[#This Row],[Costo Envío (USD)]]+STOCK[[#This Row],[Comisión 10%]]</f>
        <v>4.91111111111111</v>
      </c>
      <c r="U404" s="76">
        <f>STOCK[[#This Row],[Costo total]]*1.5</f>
        <v>7.36666666666666</v>
      </c>
      <c r="V404" s="76">
        <v>10</v>
      </c>
      <c r="W404" s="76">
        <f>STOCK[[#This Row],[Precio Final]]-STOCK[[#This Row],[Costo total]]</f>
        <v>5.08888888888889</v>
      </c>
      <c r="X404" s="76">
        <f>STOCK[[#This Row],[Ganancia Unitaria]]*STOCK[[#This Row],[Salidas]]</f>
        <v>0</v>
      </c>
      <c r="AA404" s="76">
        <f>STOCK[[#This Row],[Costo total]]*STOCK[[#This Row],[Entradas]]</f>
        <v>0</v>
      </c>
      <c r="AB404" s="76">
        <f>STOCK[[#This Row],[Stock Actual]]*STOCK[[#This Row],[Costo total]]</f>
        <v>0</v>
      </c>
    </row>
    <row r="405" s="77" customFormat="1" ht="50" hidden="1" customHeight="1" spans="1:28">
      <c r="A405" s="77" t="s">
        <v>854</v>
      </c>
      <c r="B405" s="6"/>
      <c r="C405" s="77" t="s">
        <v>30</v>
      </c>
      <c r="D405" s="77" t="s">
        <v>855</v>
      </c>
      <c r="E405" s="77" t="s">
        <v>856</v>
      </c>
      <c r="F405" s="77" t="s">
        <v>524</v>
      </c>
      <c r="G405" s="77" t="s">
        <v>34</v>
      </c>
      <c r="H405" s="77">
        <f>STOCK[[#This Row],[Precio Final]]</f>
        <v>7</v>
      </c>
      <c r="I405" s="77">
        <f>STOCK[[#This Row],[Precio Venta Ideal (x1.5)]]</f>
        <v>5.66666666666667</v>
      </c>
      <c r="J405" s="92">
        <v>1</v>
      </c>
      <c r="K405" s="92">
        <f>SUMIFS(VENTAS[Cantidad],VENTAS[Código del producto Vendido],STOCK[[#This Row],[Code]])</f>
        <v>0</v>
      </c>
      <c r="L405" s="92">
        <f>STOCK[[#This Row],[Entradas]]-STOCK[[#This Row],[Salidas]]</f>
        <v>1</v>
      </c>
      <c r="M405" s="77">
        <f>STOCK[[#This Row],[Precio Final]]*10%</f>
        <v>0.7</v>
      </c>
      <c r="N405" s="77">
        <v>50</v>
      </c>
      <c r="O405" s="77">
        <v>18</v>
      </c>
      <c r="P405" s="77">
        <v>2.77777777777778</v>
      </c>
      <c r="Q405" s="92">
        <v>30</v>
      </c>
      <c r="R405" s="77">
        <v>10</v>
      </c>
      <c r="S405" s="77">
        <f>STOCK[[#This Row],[Peso (g)]]*STOCK[[#This Row],[Precio Envío Kilogramo (USD)]]/1000</f>
        <v>0.3</v>
      </c>
      <c r="T405" s="76">
        <f>STOCK[[#This Row],[Costo Unitario (USD)]]+STOCK[[#This Row],[Costo Envío (USD)]]+STOCK[[#This Row],[Comisión 10%]]</f>
        <v>3.77777777777778</v>
      </c>
      <c r="U405" s="77">
        <f>STOCK[[#This Row],[Costo total]]*1.5</f>
        <v>5.66666666666667</v>
      </c>
      <c r="V405" s="77">
        <v>7</v>
      </c>
      <c r="W405" s="77">
        <f>STOCK[[#This Row],[Precio Final]]-STOCK[[#This Row],[Costo total]]</f>
        <v>3.22222222222222</v>
      </c>
      <c r="X405" s="77">
        <f>STOCK[[#This Row],[Ganancia Unitaria]]*STOCK[[#This Row],[Salidas]]</f>
        <v>0</v>
      </c>
      <c r="AA405" s="77">
        <f>STOCK[[#This Row],[Costo total]]*STOCK[[#This Row],[Entradas]]</f>
        <v>3.77777777777778</v>
      </c>
      <c r="AB405" s="77">
        <f>STOCK[[#This Row],[Stock Actual]]*STOCK[[#This Row],[Costo total]]</f>
        <v>3.77777777777778</v>
      </c>
    </row>
    <row r="406" s="76" customFormat="1" ht="50" hidden="1" customHeight="1" spans="1:28">
      <c r="A406" s="76" t="s">
        <v>857</v>
      </c>
      <c r="B406" s="6"/>
      <c r="C406" s="76" t="s">
        <v>30</v>
      </c>
      <c r="D406" s="76" t="s">
        <v>42</v>
      </c>
      <c r="E406" s="76" t="s">
        <v>858</v>
      </c>
      <c r="F406" s="76" t="s">
        <v>60</v>
      </c>
      <c r="G406" s="76" t="s">
        <v>34</v>
      </c>
      <c r="H406" s="76">
        <f>STOCK[[#This Row],[Precio Final]]</f>
        <v>16</v>
      </c>
      <c r="I406" s="76">
        <f>STOCK[[#This Row],[Precio Venta Ideal (x1.5)]]</f>
        <v>16.0666666666667</v>
      </c>
      <c r="J406" s="91">
        <v>1</v>
      </c>
      <c r="K406" s="91">
        <f>SUMIFS(VENTAS[Cantidad],VENTAS[Código del producto Vendido],STOCK[[#This Row],[Code]])</f>
        <v>1</v>
      </c>
      <c r="L406" s="91">
        <f>STOCK[[#This Row],[Entradas]]-STOCK[[#This Row],[Salidas]]</f>
        <v>0</v>
      </c>
      <c r="M406" s="76">
        <f>STOCK[[#This Row],[Precio Final]]*10%</f>
        <v>1.6</v>
      </c>
      <c r="N406" s="76">
        <v>110</v>
      </c>
      <c r="O406" s="76">
        <v>18</v>
      </c>
      <c r="P406" s="76">
        <v>6.11111111111111</v>
      </c>
      <c r="Q406" s="91">
        <v>300</v>
      </c>
      <c r="R406" s="76">
        <v>10</v>
      </c>
      <c r="S406" s="76">
        <f>STOCK[[#This Row],[Peso (g)]]*STOCK[[#This Row],[Precio Envío Kilogramo (USD)]]/1000</f>
        <v>3</v>
      </c>
      <c r="T406" s="76">
        <f>STOCK[[#This Row],[Costo Unitario (USD)]]+STOCK[[#This Row],[Costo Envío (USD)]]+STOCK[[#This Row],[Comisión 10%]]</f>
        <v>10.7111111111111</v>
      </c>
      <c r="U406" s="76">
        <f>STOCK[[#This Row],[Costo total]]*1.5</f>
        <v>16.0666666666667</v>
      </c>
      <c r="V406" s="76">
        <v>16</v>
      </c>
      <c r="W406" s="76">
        <f>STOCK[[#This Row],[Precio Final]]-STOCK[[#This Row],[Costo total]]</f>
        <v>5.28888888888889</v>
      </c>
      <c r="X406" s="76">
        <f>STOCK[[#This Row],[Ganancia Unitaria]]*STOCK[[#This Row],[Salidas]]</f>
        <v>5.28888888888889</v>
      </c>
      <c r="AA406" s="76">
        <f>STOCK[[#This Row],[Costo total]]*STOCK[[#This Row],[Entradas]]</f>
        <v>10.7111111111111</v>
      </c>
      <c r="AB406" s="76">
        <f>STOCK[[#This Row],[Stock Actual]]*STOCK[[#This Row],[Costo total]]</f>
        <v>0</v>
      </c>
    </row>
    <row r="407" s="77" customFormat="1" ht="50" hidden="1" customHeight="1" spans="1:28">
      <c r="A407" s="77" t="s">
        <v>859</v>
      </c>
      <c r="B407" s="6"/>
      <c r="C407" s="77" t="s">
        <v>30</v>
      </c>
      <c r="D407" s="77" t="s">
        <v>42</v>
      </c>
      <c r="E407" s="77" t="s">
        <v>860</v>
      </c>
      <c r="F407" s="77" t="s">
        <v>210</v>
      </c>
      <c r="G407" s="77" t="s">
        <v>34</v>
      </c>
      <c r="H407" s="77">
        <f>STOCK[[#This Row],[Precio Final]]</f>
        <v>18</v>
      </c>
      <c r="I407" s="77">
        <f>STOCK[[#This Row],[Precio Venta Ideal (x1.5)]]</f>
        <v>16.3666666666667</v>
      </c>
      <c r="J407" s="92">
        <v>2</v>
      </c>
      <c r="K407" s="92">
        <f>SUMIFS(VENTAS[Cantidad],VENTAS[Código del producto Vendido],STOCK[[#This Row],[Code]])</f>
        <v>2</v>
      </c>
      <c r="L407" s="92">
        <f>STOCK[[#This Row],[Entradas]]-STOCK[[#This Row],[Salidas]]</f>
        <v>0</v>
      </c>
      <c r="M407" s="77">
        <f>STOCK[[#This Row],[Precio Final]]*10%</f>
        <v>1.8</v>
      </c>
      <c r="N407" s="77">
        <v>110</v>
      </c>
      <c r="O407" s="77">
        <v>18</v>
      </c>
      <c r="P407" s="77">
        <v>6.11111111111111</v>
      </c>
      <c r="Q407" s="92">
        <v>300</v>
      </c>
      <c r="R407" s="77">
        <v>10</v>
      </c>
      <c r="S407" s="77">
        <f>STOCK[[#This Row],[Peso (g)]]*STOCK[[#This Row],[Precio Envío Kilogramo (USD)]]/1000</f>
        <v>3</v>
      </c>
      <c r="T407" s="76">
        <f>STOCK[[#This Row],[Costo Unitario (USD)]]+STOCK[[#This Row],[Costo Envío (USD)]]+STOCK[[#This Row],[Comisión 10%]]</f>
        <v>10.9111111111111</v>
      </c>
      <c r="U407" s="77">
        <f>STOCK[[#This Row],[Costo total]]*1.5</f>
        <v>16.3666666666667</v>
      </c>
      <c r="V407" s="77">
        <v>18</v>
      </c>
      <c r="W407" s="77">
        <f>STOCK[[#This Row],[Precio Final]]-STOCK[[#This Row],[Costo total]]</f>
        <v>7.08888888888889</v>
      </c>
      <c r="X407" s="77">
        <f>STOCK[[#This Row],[Ganancia Unitaria]]*STOCK[[#This Row],[Salidas]]</f>
        <v>14.1777777777778</v>
      </c>
      <c r="AA407" s="77">
        <f>STOCK[[#This Row],[Costo total]]*STOCK[[#This Row],[Entradas]]</f>
        <v>21.8222222222222</v>
      </c>
      <c r="AB407" s="77">
        <f>STOCK[[#This Row],[Stock Actual]]*STOCK[[#This Row],[Costo total]]</f>
        <v>0</v>
      </c>
    </row>
    <row r="408" s="76" customFormat="1" ht="50" hidden="1" customHeight="1" spans="1:28">
      <c r="A408" s="76" t="s">
        <v>861</v>
      </c>
      <c r="B408" s="6"/>
      <c r="C408" s="76" t="s">
        <v>30</v>
      </c>
      <c r="D408" s="76" t="s">
        <v>36</v>
      </c>
      <c r="E408" s="76" t="s">
        <v>862</v>
      </c>
      <c r="F408" s="76" t="s">
        <v>60</v>
      </c>
      <c r="G408" s="76" t="s">
        <v>34</v>
      </c>
      <c r="H408" s="76">
        <f>STOCK[[#This Row],[Precio Final]]</f>
        <v>20</v>
      </c>
      <c r="I408" s="76">
        <f>STOCK[[#This Row],[Precio Venta Ideal (x1.5)]]</f>
        <v>23.1666666666666</v>
      </c>
      <c r="J408" s="91">
        <v>2</v>
      </c>
      <c r="K408" s="91">
        <f>SUMIFS(VENTAS[Cantidad],VENTAS[Código del producto Vendido],STOCK[[#This Row],[Code]])</f>
        <v>2</v>
      </c>
      <c r="L408" s="91">
        <f>STOCK[[#This Row],[Entradas]]-STOCK[[#This Row],[Salidas]]</f>
        <v>0</v>
      </c>
      <c r="M408" s="76">
        <f>STOCK[[#This Row],[Precio Final]]*10%</f>
        <v>2</v>
      </c>
      <c r="N408" s="76">
        <v>206</v>
      </c>
      <c r="O408" s="76">
        <v>18</v>
      </c>
      <c r="P408" s="76">
        <v>11.4444444444444</v>
      </c>
      <c r="Q408" s="91">
        <v>200</v>
      </c>
      <c r="R408" s="76">
        <v>10</v>
      </c>
      <c r="S408" s="76">
        <f>STOCK[[#This Row],[Peso (g)]]*STOCK[[#This Row],[Precio Envío Kilogramo (USD)]]/1000</f>
        <v>2</v>
      </c>
      <c r="T408" s="76">
        <f>STOCK[[#This Row],[Costo Unitario (USD)]]+STOCK[[#This Row],[Costo Envío (USD)]]+STOCK[[#This Row],[Comisión 10%]]</f>
        <v>15.4444444444444</v>
      </c>
      <c r="U408" s="76">
        <f>STOCK[[#This Row],[Costo total]]*1.5</f>
        <v>23.1666666666666</v>
      </c>
      <c r="V408" s="76">
        <v>20</v>
      </c>
      <c r="W408" s="76">
        <f>STOCK[[#This Row],[Precio Final]]-STOCK[[#This Row],[Costo total]]</f>
        <v>4.5555555555556</v>
      </c>
      <c r="X408" s="76">
        <f>STOCK[[#This Row],[Ganancia Unitaria]]*STOCK[[#This Row],[Salidas]]</f>
        <v>9.1111111111112</v>
      </c>
      <c r="AA408" s="76">
        <f>STOCK[[#This Row],[Costo total]]*STOCK[[#This Row],[Entradas]]</f>
        <v>30.8888888888888</v>
      </c>
      <c r="AB408" s="76">
        <f>STOCK[[#This Row],[Stock Actual]]*STOCK[[#This Row],[Costo total]]</f>
        <v>0</v>
      </c>
    </row>
    <row r="409" s="77" customFormat="1" ht="50" hidden="1" customHeight="1" spans="1:28">
      <c r="A409" s="77" t="s">
        <v>863</v>
      </c>
      <c r="B409" s="6"/>
      <c r="C409" s="77" t="s">
        <v>30</v>
      </c>
      <c r="D409" s="77" t="s">
        <v>36</v>
      </c>
      <c r="E409" s="77" t="s">
        <v>864</v>
      </c>
      <c r="F409" s="77" t="s">
        <v>47</v>
      </c>
      <c r="G409" s="77" t="s">
        <v>34</v>
      </c>
      <c r="H409" s="77">
        <f>STOCK[[#This Row],[Precio Final]]</f>
        <v>20</v>
      </c>
      <c r="I409" s="77">
        <f>STOCK[[#This Row],[Precio Venta Ideal (x1.5)]]</f>
        <v>23.1666666666666</v>
      </c>
      <c r="J409" s="92">
        <v>1</v>
      </c>
      <c r="K409" s="92">
        <f>SUMIFS(VENTAS[Cantidad],VENTAS[Código del producto Vendido],STOCK[[#This Row],[Code]])</f>
        <v>1</v>
      </c>
      <c r="L409" s="92">
        <f>STOCK[[#This Row],[Entradas]]-STOCK[[#This Row],[Salidas]]</f>
        <v>0</v>
      </c>
      <c r="M409" s="77">
        <f>STOCK[[#This Row],[Precio Final]]*10%</f>
        <v>2</v>
      </c>
      <c r="N409" s="77">
        <v>206</v>
      </c>
      <c r="O409" s="77">
        <v>18</v>
      </c>
      <c r="P409" s="77">
        <v>11.4444444444444</v>
      </c>
      <c r="Q409" s="92">
        <v>200</v>
      </c>
      <c r="R409" s="77">
        <v>10</v>
      </c>
      <c r="S409" s="77">
        <f>STOCK[[#This Row],[Peso (g)]]*STOCK[[#This Row],[Precio Envío Kilogramo (USD)]]/1000</f>
        <v>2</v>
      </c>
      <c r="T409" s="76">
        <f>STOCK[[#This Row],[Costo Unitario (USD)]]+STOCK[[#This Row],[Costo Envío (USD)]]+STOCK[[#This Row],[Comisión 10%]]</f>
        <v>15.4444444444444</v>
      </c>
      <c r="U409" s="77">
        <f>STOCK[[#This Row],[Costo total]]*1.5</f>
        <v>23.1666666666666</v>
      </c>
      <c r="V409" s="77">
        <v>20</v>
      </c>
      <c r="W409" s="77">
        <f>STOCK[[#This Row],[Precio Final]]-STOCK[[#This Row],[Costo total]]</f>
        <v>4.5555555555556</v>
      </c>
      <c r="X409" s="77">
        <f>STOCK[[#This Row],[Ganancia Unitaria]]*STOCK[[#This Row],[Salidas]]</f>
        <v>4.5555555555556</v>
      </c>
      <c r="AA409" s="77">
        <f>STOCK[[#This Row],[Costo total]]*STOCK[[#This Row],[Entradas]]</f>
        <v>15.4444444444444</v>
      </c>
      <c r="AB409" s="77">
        <f>STOCK[[#This Row],[Stock Actual]]*STOCK[[#This Row],[Costo total]]</f>
        <v>0</v>
      </c>
    </row>
    <row r="410" s="76" customFormat="1" ht="50" hidden="1" customHeight="1" spans="1:28">
      <c r="A410" s="76" t="s">
        <v>865</v>
      </c>
      <c r="B410" s="6"/>
      <c r="C410" s="76" t="s">
        <v>30</v>
      </c>
      <c r="D410" s="76" t="s">
        <v>215</v>
      </c>
      <c r="E410" s="76" t="s">
        <v>866</v>
      </c>
      <c r="F410" s="76" t="s">
        <v>47</v>
      </c>
      <c r="G410" s="76" t="s">
        <v>34</v>
      </c>
      <c r="H410" s="76">
        <f>STOCK[[#This Row],[Precio Final]]</f>
        <v>20</v>
      </c>
      <c r="I410" s="76">
        <f>STOCK[[#This Row],[Precio Venta Ideal (x1.5)]]</f>
        <v>16.6666666666667</v>
      </c>
      <c r="J410" s="91">
        <v>1</v>
      </c>
      <c r="K410" s="91">
        <f>SUMIFS(VENTAS[Cantidad],VENTAS[Código del producto Vendido],STOCK[[#This Row],[Code]])</f>
        <v>0</v>
      </c>
      <c r="L410" s="91">
        <f>STOCK[[#This Row],[Entradas]]-STOCK[[#This Row],[Salidas]]</f>
        <v>1</v>
      </c>
      <c r="M410" s="76">
        <f>STOCK[[#This Row],[Precio Final]]*10%</f>
        <v>2</v>
      </c>
      <c r="N410" s="76">
        <v>128</v>
      </c>
      <c r="O410" s="76">
        <v>18</v>
      </c>
      <c r="P410" s="76">
        <v>7.11111111111111</v>
      </c>
      <c r="Q410" s="91">
        <v>200</v>
      </c>
      <c r="R410" s="76">
        <v>10</v>
      </c>
      <c r="S410" s="76">
        <f>STOCK[[#This Row],[Peso (g)]]*STOCK[[#This Row],[Precio Envío Kilogramo (USD)]]/1000</f>
        <v>2</v>
      </c>
      <c r="T410" s="76">
        <f>STOCK[[#This Row],[Costo Unitario (USD)]]+STOCK[[#This Row],[Costo Envío (USD)]]+STOCK[[#This Row],[Comisión 10%]]</f>
        <v>11.1111111111111</v>
      </c>
      <c r="U410" s="76">
        <f>STOCK[[#This Row],[Costo total]]*1.5</f>
        <v>16.6666666666667</v>
      </c>
      <c r="V410" s="76">
        <v>20</v>
      </c>
      <c r="W410" s="76">
        <f>STOCK[[#This Row],[Precio Final]]-STOCK[[#This Row],[Costo total]]</f>
        <v>8.88888888888889</v>
      </c>
      <c r="X410" s="76">
        <f>STOCK[[#This Row],[Ganancia Unitaria]]*STOCK[[#This Row],[Salidas]]</f>
        <v>0</v>
      </c>
      <c r="AA410" s="76">
        <f>STOCK[[#This Row],[Costo total]]*STOCK[[#This Row],[Entradas]]</f>
        <v>11.1111111111111</v>
      </c>
      <c r="AB410" s="76">
        <f>STOCK[[#This Row],[Stock Actual]]*STOCK[[#This Row],[Costo total]]</f>
        <v>11.1111111111111</v>
      </c>
    </row>
    <row r="411" s="77" customFormat="1" ht="50" hidden="1" customHeight="1" spans="1:28">
      <c r="A411" s="77" t="s">
        <v>867</v>
      </c>
      <c r="B411" s="6"/>
      <c r="C411" s="77" t="s">
        <v>30</v>
      </c>
      <c r="D411" s="77" t="s">
        <v>80</v>
      </c>
      <c r="E411" s="77" t="s">
        <v>868</v>
      </c>
      <c r="F411" s="77" t="s">
        <v>204</v>
      </c>
      <c r="G411" s="77" t="s">
        <v>34</v>
      </c>
      <c r="H411" s="77">
        <f>STOCK[[#This Row],[Precio Final]]</f>
        <v>16</v>
      </c>
      <c r="I411" s="77">
        <f>STOCK[[#This Row],[Precio Venta Ideal (x1.5)]]</f>
        <v>17.9</v>
      </c>
      <c r="J411" s="92">
        <v>1</v>
      </c>
      <c r="K411" s="92">
        <f>SUMIFS(VENTAS[Cantidad],VENTAS[Código del producto Vendido],STOCK[[#This Row],[Code]])</f>
        <v>1</v>
      </c>
      <c r="L411" s="92">
        <f>STOCK[[#This Row],[Entradas]]-STOCK[[#This Row],[Salidas]]</f>
        <v>0</v>
      </c>
      <c r="M411" s="77">
        <f>STOCK[[#This Row],[Precio Final]]*10%</f>
        <v>1.6</v>
      </c>
      <c r="N411" s="77">
        <v>150</v>
      </c>
      <c r="O411" s="77">
        <v>18</v>
      </c>
      <c r="P411" s="77">
        <v>8.33333333333333</v>
      </c>
      <c r="Q411" s="92">
        <v>200</v>
      </c>
      <c r="R411" s="77">
        <v>10</v>
      </c>
      <c r="S411" s="77">
        <f>STOCK[[#This Row],[Peso (g)]]*STOCK[[#This Row],[Precio Envío Kilogramo (USD)]]/1000</f>
        <v>2</v>
      </c>
      <c r="T411" s="76">
        <f>STOCK[[#This Row],[Costo Unitario (USD)]]+STOCK[[#This Row],[Costo Envío (USD)]]+STOCK[[#This Row],[Comisión 10%]]</f>
        <v>11.9333333333333</v>
      </c>
      <c r="U411" s="77">
        <f>STOCK[[#This Row],[Costo total]]*1.5</f>
        <v>17.9</v>
      </c>
      <c r="V411" s="77">
        <v>16</v>
      </c>
      <c r="W411" s="77">
        <f>STOCK[[#This Row],[Precio Final]]-STOCK[[#This Row],[Costo total]]</f>
        <v>4.06666666666667</v>
      </c>
      <c r="X411" s="77">
        <f>STOCK[[#This Row],[Ganancia Unitaria]]*STOCK[[#This Row],[Salidas]]</f>
        <v>4.06666666666667</v>
      </c>
      <c r="AA411" s="77">
        <f>STOCK[[#This Row],[Costo total]]*STOCK[[#This Row],[Entradas]]</f>
        <v>11.9333333333333</v>
      </c>
      <c r="AB411" s="77">
        <f>STOCK[[#This Row],[Stock Actual]]*STOCK[[#This Row],[Costo total]]</f>
        <v>0</v>
      </c>
    </row>
    <row r="412" s="76" customFormat="1" ht="50" hidden="1" customHeight="1" spans="1:28">
      <c r="A412" s="76" t="s">
        <v>869</v>
      </c>
      <c r="B412" s="6"/>
      <c r="C412" s="76" t="s">
        <v>30</v>
      </c>
      <c r="D412" s="76" t="s">
        <v>514</v>
      </c>
      <c r="E412" s="76" t="s">
        <v>870</v>
      </c>
      <c r="F412" s="76" t="s">
        <v>539</v>
      </c>
      <c r="G412" s="76" t="s">
        <v>34</v>
      </c>
      <c r="H412" s="76">
        <f>STOCK[[#This Row],[Precio Final]]</f>
        <v>35</v>
      </c>
      <c r="I412" s="76">
        <f>STOCK[[#This Row],[Precio Venta Ideal (x1.5)]]</f>
        <v>41.25</v>
      </c>
      <c r="J412" s="91">
        <v>0</v>
      </c>
      <c r="K412" s="91">
        <f>SUMIFS(VENTAS[Cantidad],VENTAS[Código del producto Vendido],STOCK[[#This Row],[Code]])</f>
        <v>0</v>
      </c>
      <c r="L412" s="91">
        <f>STOCK[[#This Row],[Entradas]]-STOCK[[#This Row],[Salidas]]</f>
        <v>0</v>
      </c>
      <c r="M412" s="76">
        <f>STOCK[[#This Row],[Precio Final]]*10%</f>
        <v>3.5</v>
      </c>
      <c r="N412" s="76">
        <v>485</v>
      </c>
      <c r="O412" s="76">
        <v>18</v>
      </c>
      <c r="P412" s="76">
        <v>18</v>
      </c>
      <c r="Q412" s="91">
        <v>600</v>
      </c>
      <c r="R412" s="76">
        <v>10</v>
      </c>
      <c r="S412" s="76">
        <f>STOCK[[#This Row],[Peso (g)]]*STOCK[[#This Row],[Precio Envío Kilogramo (USD)]]/1000</f>
        <v>6</v>
      </c>
      <c r="T412" s="76">
        <f>STOCK[[#This Row],[Costo Unitario (USD)]]+STOCK[[#This Row],[Costo Envío (USD)]]+STOCK[[#This Row],[Comisión 10%]]</f>
        <v>27.5</v>
      </c>
      <c r="U412" s="76">
        <f>STOCK[[#This Row],[Costo total]]*1.5</f>
        <v>41.25</v>
      </c>
      <c r="V412" s="76">
        <v>35</v>
      </c>
      <c r="W412" s="76">
        <f>STOCK[[#This Row],[Precio Final]]-STOCK[[#This Row],[Costo total]]</f>
        <v>7.5</v>
      </c>
      <c r="X412" s="76">
        <f>STOCK[[#This Row],[Ganancia Unitaria]]*STOCK[[#This Row],[Salidas]]</f>
        <v>0</v>
      </c>
      <c r="AA412" s="76">
        <f>STOCK[[#This Row],[Costo total]]*STOCK[[#This Row],[Entradas]]</f>
        <v>0</v>
      </c>
      <c r="AB412" s="76">
        <f>STOCK[[#This Row],[Stock Actual]]*STOCK[[#This Row],[Costo total]]</f>
        <v>0</v>
      </c>
    </row>
    <row r="413" s="77" customFormat="1" ht="50" hidden="1" customHeight="1" spans="1:28">
      <c r="A413" s="77" t="s">
        <v>871</v>
      </c>
      <c r="B413" s="6"/>
      <c r="C413" s="77" t="s">
        <v>30</v>
      </c>
      <c r="D413" s="77" t="s">
        <v>741</v>
      </c>
      <c r="E413" s="77" t="s">
        <v>872</v>
      </c>
      <c r="F413" s="77" t="s">
        <v>757</v>
      </c>
      <c r="G413" s="77" t="s">
        <v>34</v>
      </c>
      <c r="H413" s="77">
        <f>STOCK[[#This Row],[Precio Final]]</f>
        <v>40</v>
      </c>
      <c r="I413" s="77">
        <f>STOCK[[#This Row],[Precio Venta Ideal (x1.5)]]</f>
        <v>56.9166666666666</v>
      </c>
      <c r="J413" s="92">
        <v>1</v>
      </c>
      <c r="K413" s="92">
        <f>SUMIFS(VENTAS[Cantidad],VENTAS[Código del producto Vendido],STOCK[[#This Row],[Code]])</f>
        <v>1</v>
      </c>
      <c r="L413" s="92">
        <f>STOCK[[#This Row],[Entradas]]-STOCK[[#This Row],[Salidas]]</f>
        <v>0</v>
      </c>
      <c r="M413" s="77">
        <f>STOCK[[#This Row],[Precio Final]]*10%</f>
        <v>4</v>
      </c>
      <c r="N413" s="77">
        <v>485</v>
      </c>
      <c r="O413" s="77">
        <v>18</v>
      </c>
      <c r="P413" s="77">
        <v>26.9444444444444</v>
      </c>
      <c r="Q413" s="92">
        <v>700</v>
      </c>
      <c r="R413" s="77">
        <v>10</v>
      </c>
      <c r="S413" s="77">
        <f>STOCK[[#This Row],[Peso (g)]]*STOCK[[#This Row],[Precio Envío Kilogramo (USD)]]/1000</f>
        <v>7</v>
      </c>
      <c r="T413" s="76">
        <f>STOCK[[#This Row],[Costo Unitario (USD)]]+STOCK[[#This Row],[Costo Envío (USD)]]+STOCK[[#This Row],[Comisión 10%]]</f>
        <v>37.9444444444444</v>
      </c>
      <c r="U413" s="77">
        <f>STOCK[[#This Row],[Costo total]]*1.5</f>
        <v>56.9166666666666</v>
      </c>
      <c r="V413" s="77">
        <v>40</v>
      </c>
      <c r="W413" s="77">
        <f>STOCK[[#This Row],[Precio Final]]-STOCK[[#This Row],[Costo total]]</f>
        <v>2.0555555555556</v>
      </c>
      <c r="X413" s="77">
        <f>STOCK[[#This Row],[Ganancia Unitaria]]*STOCK[[#This Row],[Salidas]]</f>
        <v>2.0555555555556</v>
      </c>
      <c r="AA413" s="77">
        <f>STOCK[[#This Row],[Costo total]]*STOCK[[#This Row],[Entradas]]</f>
        <v>37.9444444444444</v>
      </c>
      <c r="AB413" s="77">
        <f>STOCK[[#This Row],[Stock Actual]]*STOCK[[#This Row],[Costo total]]</f>
        <v>0</v>
      </c>
    </row>
    <row r="414" s="76" customFormat="1" ht="50" hidden="1" customHeight="1" spans="1:29">
      <c r="A414" s="76" t="s">
        <v>873</v>
      </c>
      <c r="B414" s="6"/>
      <c r="C414" s="76" t="s">
        <v>30</v>
      </c>
      <c r="D414" s="76" t="s">
        <v>555</v>
      </c>
      <c r="E414" s="76" t="s">
        <v>874</v>
      </c>
      <c r="F414" s="76" t="s">
        <v>539</v>
      </c>
      <c r="G414" s="76" t="s">
        <v>34</v>
      </c>
      <c r="H414" s="76">
        <f>STOCK[[#This Row],[Precio Final]]</f>
        <v>40</v>
      </c>
      <c r="I414" s="76">
        <f>STOCK[[#This Row],[Precio Venta Ideal (x1.5)]]</f>
        <v>54.1666666666667</v>
      </c>
      <c r="J414" s="91">
        <v>1</v>
      </c>
      <c r="K414" s="91">
        <f>SUMIFS(VENTAS[Cantidad],VENTAS[Código del producto Vendido],STOCK[[#This Row],[Code]])</f>
        <v>0</v>
      </c>
      <c r="L414" s="91">
        <f>STOCK[[#This Row],[Entradas]]-STOCK[[#This Row],[Salidas]]</f>
        <v>1</v>
      </c>
      <c r="M414" s="76">
        <f>STOCK[[#This Row],[Precio Final]]*10%</f>
        <v>4</v>
      </c>
      <c r="N414" s="76">
        <v>452</v>
      </c>
      <c r="O414" s="76">
        <v>18</v>
      </c>
      <c r="P414" s="76">
        <v>25.1111111111111</v>
      </c>
      <c r="Q414" s="91">
        <v>700</v>
      </c>
      <c r="R414" s="76">
        <v>10</v>
      </c>
      <c r="S414" s="76">
        <f>STOCK[[#This Row],[Peso (g)]]*STOCK[[#This Row],[Precio Envío Kilogramo (USD)]]/1000</f>
        <v>7</v>
      </c>
      <c r="T414" s="76">
        <f>STOCK[[#This Row],[Costo Unitario (USD)]]+STOCK[[#This Row],[Costo Envío (USD)]]+STOCK[[#This Row],[Comisión 10%]]</f>
        <v>36.1111111111111</v>
      </c>
      <c r="U414" s="76">
        <f>STOCK[[#This Row],[Costo total]]*1.5</f>
        <v>54.1666666666667</v>
      </c>
      <c r="V414" s="76">
        <v>40</v>
      </c>
      <c r="W414" s="76">
        <f>STOCK[[#This Row],[Precio Final]]-STOCK[[#This Row],[Costo total]]</f>
        <v>3.8888888888889</v>
      </c>
      <c r="X414" s="76">
        <f>STOCK[[#This Row],[Ganancia Unitaria]]*STOCK[[#This Row],[Salidas]]</f>
        <v>0</v>
      </c>
      <c r="AA414" s="76">
        <f>STOCK[[#This Row],[Costo total]]*STOCK[[#This Row],[Entradas]]</f>
        <v>36.1111111111111</v>
      </c>
      <c r="AB414" s="76">
        <f>STOCK[[#This Row],[Stock Actual]]*STOCK[[#This Row],[Costo total]]</f>
        <v>36.1111111111111</v>
      </c>
      <c r="AC414" s="76">
        <v>30</v>
      </c>
    </row>
    <row r="415" s="77" customFormat="1" ht="50" hidden="1" customHeight="1" spans="1:28">
      <c r="A415" s="77" t="s">
        <v>875</v>
      </c>
      <c r="B415" s="6"/>
      <c r="C415" s="77" t="s">
        <v>30</v>
      </c>
      <c r="D415" s="77" t="s">
        <v>545</v>
      </c>
      <c r="E415" s="77" t="s">
        <v>876</v>
      </c>
      <c r="F415" s="77" t="s">
        <v>393</v>
      </c>
      <c r="G415" s="77" t="s">
        <v>34</v>
      </c>
      <c r="H415" s="77">
        <f>STOCK[[#This Row],[Precio Final]]</f>
        <v>7</v>
      </c>
      <c r="I415" s="77">
        <f>STOCK[[#This Row],[Precio Venta Ideal (x1.5)]]</f>
        <v>6.61666666666666</v>
      </c>
      <c r="J415" s="92">
        <v>4</v>
      </c>
      <c r="K415" s="92">
        <f>SUMIFS(VENTAS[Cantidad],VENTAS[Código del producto Vendido],STOCK[[#This Row],[Code]])</f>
        <v>4</v>
      </c>
      <c r="L415" s="92">
        <f>STOCK[[#This Row],[Entradas]]-STOCK[[#This Row],[Salidas]]</f>
        <v>0</v>
      </c>
      <c r="M415" s="77">
        <f>STOCK[[#This Row],[Precio Final]]*10%</f>
        <v>0.7</v>
      </c>
      <c r="N415" s="77">
        <v>65</v>
      </c>
      <c r="O415" s="77">
        <v>18</v>
      </c>
      <c r="P415" s="77">
        <v>3.61111111111111</v>
      </c>
      <c r="Q415" s="92">
        <v>10</v>
      </c>
      <c r="R415" s="77">
        <v>10</v>
      </c>
      <c r="S415" s="77">
        <f>STOCK[[#This Row],[Peso (g)]]*STOCK[[#This Row],[Precio Envío Kilogramo (USD)]]/1000</f>
        <v>0.1</v>
      </c>
      <c r="T415" s="76">
        <f>STOCK[[#This Row],[Costo Unitario (USD)]]+STOCK[[#This Row],[Costo Envío (USD)]]+STOCK[[#This Row],[Comisión 10%]]</f>
        <v>4.41111111111111</v>
      </c>
      <c r="U415" s="77">
        <f>STOCK[[#This Row],[Costo total]]*1.5</f>
        <v>6.61666666666666</v>
      </c>
      <c r="V415" s="77">
        <v>7</v>
      </c>
      <c r="W415" s="77">
        <f>STOCK[[#This Row],[Precio Final]]-STOCK[[#This Row],[Costo total]]</f>
        <v>2.58888888888889</v>
      </c>
      <c r="X415" s="77">
        <f>STOCK[[#This Row],[Ganancia Unitaria]]*STOCK[[#This Row],[Salidas]]</f>
        <v>10.3555555555556</v>
      </c>
      <c r="AA415" s="77">
        <f>STOCK[[#This Row],[Costo total]]*STOCK[[#This Row],[Entradas]]</f>
        <v>17.6444444444444</v>
      </c>
      <c r="AB415" s="77">
        <f>STOCK[[#This Row],[Stock Actual]]*STOCK[[#This Row],[Costo total]]</f>
        <v>0</v>
      </c>
    </row>
    <row r="416" s="76" customFormat="1" ht="50" hidden="1" customHeight="1" spans="1:28">
      <c r="A416" s="76" t="s">
        <v>877</v>
      </c>
      <c r="B416" s="6"/>
      <c r="C416" s="76" t="s">
        <v>30</v>
      </c>
      <c r="D416" s="76" t="s">
        <v>878</v>
      </c>
      <c r="E416" s="76" t="s">
        <v>879</v>
      </c>
      <c r="F416" s="76" t="s">
        <v>880</v>
      </c>
      <c r="G416" s="76" t="s">
        <v>34</v>
      </c>
      <c r="H416" s="76">
        <f>STOCK[[#This Row],[Precio Final]]</f>
        <v>7</v>
      </c>
      <c r="I416" s="76">
        <f>STOCK[[#This Row],[Precio Venta Ideal (x1.5)]]</f>
        <v>6.61666666666666</v>
      </c>
      <c r="J416" s="91">
        <v>4</v>
      </c>
      <c r="K416" s="91">
        <f>SUMIFS(VENTAS[Cantidad],VENTAS[Código del producto Vendido],STOCK[[#This Row],[Code]])</f>
        <v>2</v>
      </c>
      <c r="L416" s="91">
        <f>STOCK[[#This Row],[Entradas]]-STOCK[[#This Row],[Salidas]]</f>
        <v>2</v>
      </c>
      <c r="M416" s="76">
        <f>STOCK[[#This Row],[Precio Final]]*10%</f>
        <v>0.7</v>
      </c>
      <c r="N416" s="76">
        <v>65</v>
      </c>
      <c r="O416" s="76">
        <v>18</v>
      </c>
      <c r="P416" s="76">
        <v>3.61111111111111</v>
      </c>
      <c r="Q416" s="91">
        <v>10</v>
      </c>
      <c r="R416" s="76">
        <v>10</v>
      </c>
      <c r="S416" s="76">
        <f>STOCK[[#This Row],[Peso (g)]]*STOCK[[#This Row],[Precio Envío Kilogramo (USD)]]/1000</f>
        <v>0.1</v>
      </c>
      <c r="T416" s="76">
        <f>STOCK[[#This Row],[Costo Unitario (USD)]]+STOCK[[#This Row],[Costo Envío (USD)]]+STOCK[[#This Row],[Comisión 10%]]</f>
        <v>4.41111111111111</v>
      </c>
      <c r="U416" s="76">
        <f>STOCK[[#This Row],[Costo total]]*1.5</f>
        <v>6.61666666666666</v>
      </c>
      <c r="V416" s="76">
        <v>7</v>
      </c>
      <c r="W416" s="76">
        <f>STOCK[[#This Row],[Precio Final]]-STOCK[[#This Row],[Costo total]]</f>
        <v>2.58888888888889</v>
      </c>
      <c r="X416" s="76">
        <f>STOCK[[#This Row],[Ganancia Unitaria]]*STOCK[[#This Row],[Salidas]]</f>
        <v>5.17777777777778</v>
      </c>
      <c r="AA416" s="76">
        <f>STOCK[[#This Row],[Costo total]]*STOCK[[#This Row],[Entradas]]</f>
        <v>17.6444444444444</v>
      </c>
      <c r="AB416" s="76">
        <f>STOCK[[#This Row],[Stock Actual]]*STOCK[[#This Row],[Costo total]]</f>
        <v>8.82222222222222</v>
      </c>
    </row>
    <row r="417" s="77" customFormat="1" ht="50" hidden="1" customHeight="1" spans="1:28">
      <c r="A417" s="77" t="s">
        <v>881</v>
      </c>
      <c r="B417" s="6"/>
      <c r="C417" s="77" t="s">
        <v>30</v>
      </c>
      <c r="D417" s="77" t="s">
        <v>545</v>
      </c>
      <c r="E417" s="77" t="s">
        <v>882</v>
      </c>
      <c r="F417" s="77" t="s">
        <v>60</v>
      </c>
      <c r="G417" s="77" t="s">
        <v>34</v>
      </c>
      <c r="H417" s="77">
        <f>STOCK[[#This Row],[Precio Final]]</f>
        <v>3.5</v>
      </c>
      <c r="I417" s="77">
        <f>STOCK[[#This Row],[Precio Venta Ideal (x1.5)]]</f>
        <v>3.51666666666666</v>
      </c>
      <c r="J417" s="92">
        <v>5</v>
      </c>
      <c r="K417" s="92">
        <f>SUMIFS(VENTAS[Cantidad],VENTAS[Código del producto Vendido],STOCK[[#This Row],[Code]])</f>
        <v>3</v>
      </c>
      <c r="L417" s="92">
        <f>STOCK[[#This Row],[Entradas]]-STOCK[[#This Row],[Salidas]]</f>
        <v>2</v>
      </c>
      <c r="M417" s="77">
        <f>STOCK[[#This Row],[Precio Final]]*10%</f>
        <v>0.35</v>
      </c>
      <c r="N417" s="77">
        <v>35</v>
      </c>
      <c r="O417" s="77">
        <v>18</v>
      </c>
      <c r="P417" s="77">
        <v>1.94444444444444</v>
      </c>
      <c r="Q417" s="92">
        <v>5</v>
      </c>
      <c r="R417" s="77">
        <v>10</v>
      </c>
      <c r="S417" s="77">
        <f>STOCK[[#This Row],[Peso (g)]]*STOCK[[#This Row],[Precio Envío Kilogramo (USD)]]/1000</f>
        <v>0.05</v>
      </c>
      <c r="T417" s="76">
        <f>STOCK[[#This Row],[Costo Unitario (USD)]]+STOCK[[#This Row],[Costo Envío (USD)]]+STOCK[[#This Row],[Comisión 10%]]</f>
        <v>2.34444444444444</v>
      </c>
      <c r="U417" s="77">
        <f>STOCK[[#This Row],[Costo total]]*1.5</f>
        <v>3.51666666666666</v>
      </c>
      <c r="V417" s="77">
        <v>3.5</v>
      </c>
      <c r="W417" s="77">
        <f>STOCK[[#This Row],[Precio Final]]-STOCK[[#This Row],[Costo total]]</f>
        <v>1.15555555555556</v>
      </c>
      <c r="X417" s="77">
        <f>STOCK[[#This Row],[Ganancia Unitaria]]*STOCK[[#This Row],[Salidas]]</f>
        <v>3.46666666666668</v>
      </c>
      <c r="AA417" s="77">
        <f>STOCK[[#This Row],[Costo total]]*STOCK[[#This Row],[Entradas]]</f>
        <v>11.7222222222222</v>
      </c>
      <c r="AB417" s="77">
        <f>STOCK[[#This Row],[Stock Actual]]*STOCK[[#This Row],[Costo total]]</f>
        <v>4.68888888888888</v>
      </c>
    </row>
    <row r="418" s="76" customFormat="1" ht="50" hidden="1" customHeight="1" spans="1:28">
      <c r="A418" s="76" t="s">
        <v>883</v>
      </c>
      <c r="B418" s="6"/>
      <c r="C418" s="76" t="s">
        <v>30</v>
      </c>
      <c r="D418" s="76" t="s">
        <v>391</v>
      </c>
      <c r="E418" s="76" t="s">
        <v>884</v>
      </c>
      <c r="F418" s="76" t="s">
        <v>885</v>
      </c>
      <c r="G418" s="76" t="s">
        <v>34</v>
      </c>
      <c r="H418" s="76">
        <f>STOCK[[#This Row],[Precio Final]]</f>
        <v>0</v>
      </c>
      <c r="I418" s="76">
        <f>STOCK[[#This Row],[Precio Venta Ideal (x1.5)]]</f>
        <v>18.1666666666667</v>
      </c>
      <c r="J418" s="91">
        <v>0</v>
      </c>
      <c r="K418" s="91">
        <f>SUMIFS(VENTAS[Cantidad],VENTAS[Código del producto Vendido],STOCK[[#This Row],[Code]])</f>
        <v>0</v>
      </c>
      <c r="L418" s="91">
        <f>STOCK[[#This Row],[Entradas]]-STOCK[[#This Row],[Salidas]]</f>
        <v>0</v>
      </c>
      <c r="M418" s="76">
        <f>STOCK[[#This Row],[Precio Final]]*10%</f>
        <v>0</v>
      </c>
      <c r="N418" s="76">
        <v>200</v>
      </c>
      <c r="O418" s="76">
        <v>18</v>
      </c>
      <c r="P418" s="76">
        <v>11.1111111111111</v>
      </c>
      <c r="Q418" s="91">
        <v>100</v>
      </c>
      <c r="R418" s="76">
        <v>10</v>
      </c>
      <c r="S418" s="76">
        <f>STOCK[[#This Row],[Peso (g)]]*STOCK[[#This Row],[Precio Envío Kilogramo (USD)]]/1000</f>
        <v>1</v>
      </c>
      <c r="T418" s="76">
        <f>STOCK[[#This Row],[Costo Unitario (USD)]]+STOCK[[#This Row],[Costo Envío (USD)]]+STOCK[[#This Row],[Comisión 10%]]</f>
        <v>12.1111111111111</v>
      </c>
      <c r="U418" s="76">
        <f>STOCK[[#This Row],[Costo total]]*1.5</f>
        <v>18.1666666666667</v>
      </c>
      <c r="V418" s="76">
        <v>0</v>
      </c>
      <c r="W418" s="76">
        <f>STOCK[[#This Row],[Precio Final]]-STOCK[[#This Row],[Costo total]]</f>
        <v>-12.1111111111111</v>
      </c>
      <c r="X418" s="76">
        <f>STOCK[[#This Row],[Ganancia Unitaria]]*STOCK[[#This Row],[Salidas]]</f>
        <v>0</v>
      </c>
      <c r="AA418" s="76">
        <f>STOCK[[#This Row],[Costo total]]*STOCK[[#This Row],[Entradas]]</f>
        <v>0</v>
      </c>
      <c r="AB418" s="76">
        <f>STOCK[[#This Row],[Stock Actual]]*STOCK[[#This Row],[Costo total]]</f>
        <v>0</v>
      </c>
    </row>
    <row r="419" s="77" customFormat="1" ht="50" hidden="1" customHeight="1" spans="1:28">
      <c r="A419" s="77" t="s">
        <v>886</v>
      </c>
      <c r="B419" s="6"/>
      <c r="C419" s="77" t="s">
        <v>30</v>
      </c>
      <c r="D419" s="77" t="s">
        <v>151</v>
      </c>
      <c r="E419" s="77" t="s">
        <v>887</v>
      </c>
      <c r="F419" s="77" t="s">
        <v>186</v>
      </c>
      <c r="G419" s="77" t="s">
        <v>34</v>
      </c>
      <c r="H419" s="77">
        <f>STOCK[[#This Row],[Precio Final]]</f>
        <v>8</v>
      </c>
      <c r="I419" s="77">
        <f>STOCK[[#This Row],[Precio Venta Ideal (x1.5)]]</f>
        <v>6.93333333333333</v>
      </c>
      <c r="J419" s="92">
        <v>0</v>
      </c>
      <c r="K419" s="92">
        <f>SUMIFS(VENTAS[Cantidad],VENTAS[Código del producto Vendido],STOCK[[#This Row],[Code]])</f>
        <v>0</v>
      </c>
      <c r="L419" s="92">
        <f>STOCK[[#This Row],[Entradas]]-STOCK[[#This Row],[Salidas]]</f>
        <v>0</v>
      </c>
      <c r="M419" s="77">
        <f>STOCK[[#This Row],[Precio Final]]*10%</f>
        <v>0.8</v>
      </c>
      <c r="N419" s="77">
        <v>58</v>
      </c>
      <c r="O419" s="77">
        <v>18</v>
      </c>
      <c r="P419" s="77">
        <v>3.22222222222222</v>
      </c>
      <c r="Q419" s="92">
        <v>60</v>
      </c>
      <c r="R419" s="77">
        <v>10</v>
      </c>
      <c r="S419" s="77">
        <f>STOCK[[#This Row],[Peso (g)]]*STOCK[[#This Row],[Precio Envío Kilogramo (USD)]]/1000</f>
        <v>0.6</v>
      </c>
      <c r="T419" s="76">
        <f>STOCK[[#This Row],[Costo Unitario (USD)]]+STOCK[[#This Row],[Costo Envío (USD)]]+STOCK[[#This Row],[Comisión 10%]]</f>
        <v>4.62222222222222</v>
      </c>
      <c r="U419" s="77">
        <f>STOCK[[#This Row],[Costo total]]*1.5</f>
        <v>6.93333333333333</v>
      </c>
      <c r="V419" s="77">
        <v>8</v>
      </c>
      <c r="W419" s="77">
        <f>STOCK[[#This Row],[Precio Final]]-STOCK[[#This Row],[Costo total]]</f>
        <v>3.37777777777778</v>
      </c>
      <c r="X419" s="77">
        <f>STOCK[[#This Row],[Ganancia Unitaria]]*STOCK[[#This Row],[Salidas]]</f>
        <v>0</v>
      </c>
      <c r="AA419" s="77">
        <f>STOCK[[#This Row],[Costo total]]*STOCK[[#This Row],[Entradas]]</f>
        <v>0</v>
      </c>
      <c r="AB419" s="77">
        <f>STOCK[[#This Row],[Stock Actual]]*STOCK[[#This Row],[Costo total]]</f>
        <v>0</v>
      </c>
    </row>
    <row r="420" s="76" customFormat="1" ht="50" hidden="1" customHeight="1" spans="1:28">
      <c r="A420" s="76" t="s">
        <v>888</v>
      </c>
      <c r="B420" s="6"/>
      <c r="C420" s="76" t="s">
        <v>30</v>
      </c>
      <c r="D420" s="76" t="s">
        <v>545</v>
      </c>
      <c r="E420" s="76" t="s">
        <v>882</v>
      </c>
      <c r="F420" s="76" t="s">
        <v>47</v>
      </c>
      <c r="G420" s="76" t="s">
        <v>34</v>
      </c>
      <c r="H420" s="76">
        <f>STOCK[[#This Row],[Precio Final]]</f>
        <v>3.5</v>
      </c>
      <c r="I420" s="76">
        <f>STOCK[[#This Row],[Precio Venta Ideal (x1.5)]]</f>
        <v>3.51666666666666</v>
      </c>
      <c r="J420" s="91">
        <v>5</v>
      </c>
      <c r="K420" s="91">
        <f>SUMIFS(VENTAS[Cantidad],VENTAS[Código del producto Vendido],STOCK[[#This Row],[Code]])</f>
        <v>3</v>
      </c>
      <c r="L420" s="91">
        <f>STOCK[[#This Row],[Entradas]]-STOCK[[#This Row],[Salidas]]</f>
        <v>2</v>
      </c>
      <c r="M420" s="76">
        <f>STOCK[[#This Row],[Precio Final]]*10%</f>
        <v>0.35</v>
      </c>
      <c r="N420" s="76">
        <v>35</v>
      </c>
      <c r="O420" s="76">
        <v>18</v>
      </c>
      <c r="P420" s="76">
        <v>1.94444444444444</v>
      </c>
      <c r="Q420" s="91">
        <v>5</v>
      </c>
      <c r="R420" s="76">
        <v>10</v>
      </c>
      <c r="S420" s="76">
        <f>STOCK[[#This Row],[Peso (g)]]*STOCK[[#This Row],[Precio Envío Kilogramo (USD)]]/1000</f>
        <v>0.05</v>
      </c>
      <c r="T420" s="76">
        <f>STOCK[[#This Row],[Costo Unitario (USD)]]+STOCK[[#This Row],[Costo Envío (USD)]]+STOCK[[#This Row],[Comisión 10%]]</f>
        <v>2.34444444444444</v>
      </c>
      <c r="U420" s="76">
        <f>STOCK[[#This Row],[Costo total]]*1.5</f>
        <v>3.51666666666666</v>
      </c>
      <c r="V420" s="76">
        <v>3.5</v>
      </c>
      <c r="W420" s="76">
        <f>STOCK[[#This Row],[Precio Final]]-STOCK[[#This Row],[Costo total]]</f>
        <v>1.15555555555556</v>
      </c>
      <c r="X420" s="76">
        <f>STOCK[[#This Row],[Ganancia Unitaria]]*STOCK[[#This Row],[Salidas]]</f>
        <v>3.46666666666668</v>
      </c>
      <c r="AA420" s="76">
        <f>STOCK[[#This Row],[Costo total]]*STOCK[[#This Row],[Entradas]]</f>
        <v>11.7222222222222</v>
      </c>
      <c r="AB420" s="76">
        <f>STOCK[[#This Row],[Stock Actual]]*STOCK[[#This Row],[Costo total]]</f>
        <v>4.68888888888888</v>
      </c>
    </row>
    <row r="421" s="77" customFormat="1" ht="50" hidden="1" customHeight="1" spans="1:28">
      <c r="A421" s="77" t="s">
        <v>889</v>
      </c>
      <c r="B421" s="6"/>
      <c r="C421" s="77" t="s">
        <v>30</v>
      </c>
      <c r="D421" s="77" t="s">
        <v>173</v>
      </c>
      <c r="E421" s="77" t="s">
        <v>890</v>
      </c>
      <c r="F421" s="77" t="s">
        <v>60</v>
      </c>
      <c r="G421" s="77" t="s">
        <v>34</v>
      </c>
      <c r="H421" s="77">
        <f>STOCK[[#This Row],[Precio Final]]</f>
        <v>12</v>
      </c>
      <c r="I421" s="77">
        <f>STOCK[[#This Row],[Precio Venta Ideal (x1.5)]]</f>
        <v>11.3372727272727</v>
      </c>
      <c r="J421" s="92">
        <v>4</v>
      </c>
      <c r="K421" s="92">
        <f>SUMIFS(VENTAS[Cantidad],VENTAS[Código del producto Vendido],STOCK[[#This Row],[Code]])</f>
        <v>4</v>
      </c>
      <c r="L421" s="92">
        <f>STOCK[[#This Row],[Entradas]]-STOCK[[#This Row],[Salidas]]</f>
        <v>0</v>
      </c>
      <c r="M421" s="77">
        <f>STOCK[[#This Row],[Precio Final]]*10%</f>
        <v>1.2</v>
      </c>
      <c r="N421" s="77">
        <v>76</v>
      </c>
      <c r="O421" s="77">
        <v>17.6</v>
      </c>
      <c r="P421" s="77">
        <v>4.31818181818182</v>
      </c>
      <c r="Q421" s="92">
        <v>120</v>
      </c>
      <c r="R421" s="77">
        <v>17</v>
      </c>
      <c r="S421" s="77">
        <f>STOCK[[#This Row],[Peso (g)]]*STOCK[[#This Row],[Precio Envío Kilogramo (USD)]]/1000</f>
        <v>2.04</v>
      </c>
      <c r="T421" s="76">
        <f>STOCK[[#This Row],[Costo Unitario (USD)]]+STOCK[[#This Row],[Costo Envío (USD)]]+STOCK[[#This Row],[Comisión 10%]]</f>
        <v>7.55818181818182</v>
      </c>
      <c r="U421" s="77">
        <f>STOCK[[#This Row],[Costo total]]*1.5</f>
        <v>11.3372727272727</v>
      </c>
      <c r="V421" s="77">
        <v>12</v>
      </c>
      <c r="W421" s="77">
        <f>STOCK[[#This Row],[Precio Final]]-STOCK[[#This Row],[Costo total]]</f>
        <v>4.44181818181818</v>
      </c>
      <c r="X421" s="77">
        <f>STOCK[[#This Row],[Ganancia Unitaria]]*STOCK[[#This Row],[Salidas]]</f>
        <v>17.7672727272727</v>
      </c>
      <c r="Y421" s="77" t="s">
        <v>891</v>
      </c>
      <c r="AA421" s="77">
        <f>STOCK[[#This Row],[Costo total]]*STOCK[[#This Row],[Entradas]]</f>
        <v>30.2327272727273</v>
      </c>
      <c r="AB421" s="77">
        <f>STOCK[[#This Row],[Stock Actual]]*STOCK[[#This Row],[Costo total]]</f>
        <v>0</v>
      </c>
    </row>
    <row r="422" s="76" customFormat="1" ht="50" hidden="1" customHeight="1" spans="1:28">
      <c r="A422" s="76" t="s">
        <v>892</v>
      </c>
      <c r="B422" s="6"/>
      <c r="C422" s="76" t="s">
        <v>30</v>
      </c>
      <c r="D422" s="76" t="s">
        <v>173</v>
      </c>
      <c r="E422" s="76" t="s">
        <v>893</v>
      </c>
      <c r="F422" s="76" t="s">
        <v>38</v>
      </c>
      <c r="G422" s="76" t="s">
        <v>34</v>
      </c>
      <c r="H422" s="76">
        <f>STOCK[[#This Row],[Precio Final]]</f>
        <v>14</v>
      </c>
      <c r="I422" s="76">
        <f>STOCK[[#This Row],[Precio Venta Ideal (x1.5)]]</f>
        <v>14.0597727272727</v>
      </c>
      <c r="J422" s="91">
        <v>2</v>
      </c>
      <c r="K422" s="91">
        <f>SUMIFS(VENTAS[Cantidad],VENTAS[Código del producto Vendido],STOCK[[#This Row],[Code]])</f>
        <v>2</v>
      </c>
      <c r="L422" s="91">
        <f>STOCK[[#This Row],[Entradas]]-STOCK[[#This Row],[Salidas]]</f>
        <v>0</v>
      </c>
      <c r="M422" s="76">
        <f>STOCK[[#This Row],[Precio Final]]*10%</f>
        <v>1.4</v>
      </c>
      <c r="N422" s="76">
        <v>76</v>
      </c>
      <c r="O422" s="76">
        <v>17.6</v>
      </c>
      <c r="P422" s="76">
        <v>4.31818181818182</v>
      </c>
      <c r="Q422" s="91">
        <v>215</v>
      </c>
      <c r="R422" s="76">
        <v>17</v>
      </c>
      <c r="S422" s="76">
        <f>STOCK[[#This Row],[Peso (g)]]*STOCK[[#This Row],[Precio Envío Kilogramo (USD)]]/1000</f>
        <v>3.655</v>
      </c>
      <c r="T422" s="76">
        <f>STOCK[[#This Row],[Costo Unitario (USD)]]+STOCK[[#This Row],[Costo Envío (USD)]]+STOCK[[#This Row],[Comisión 10%]]</f>
        <v>9.37318181818182</v>
      </c>
      <c r="U422" s="76">
        <f>STOCK[[#This Row],[Costo total]]*1.5</f>
        <v>14.0597727272727</v>
      </c>
      <c r="V422" s="76">
        <v>14</v>
      </c>
      <c r="W422" s="76">
        <f>STOCK[[#This Row],[Precio Final]]-STOCK[[#This Row],[Costo total]]</f>
        <v>4.62681818181818</v>
      </c>
      <c r="X422" s="76">
        <f>STOCK[[#This Row],[Ganancia Unitaria]]*STOCK[[#This Row],[Salidas]]</f>
        <v>9.25363636363636</v>
      </c>
      <c r="Y422" s="76" t="s">
        <v>894</v>
      </c>
      <c r="AA422" s="76">
        <f>STOCK[[#This Row],[Costo total]]*STOCK[[#This Row],[Entradas]]</f>
        <v>18.7463636363636</v>
      </c>
      <c r="AB422" s="76">
        <f>STOCK[[#This Row],[Stock Actual]]*STOCK[[#This Row],[Costo total]]</f>
        <v>0</v>
      </c>
    </row>
    <row r="423" s="77" customFormat="1" ht="50" hidden="1" customHeight="1" spans="1:28">
      <c r="A423" s="77" t="s">
        <v>895</v>
      </c>
      <c r="B423" s="6"/>
      <c r="C423" s="77" t="s">
        <v>30</v>
      </c>
      <c r="D423" s="77" t="s">
        <v>173</v>
      </c>
      <c r="E423" s="77" t="s">
        <v>893</v>
      </c>
      <c r="F423" s="77" t="s">
        <v>44</v>
      </c>
      <c r="G423" s="77" t="s">
        <v>34</v>
      </c>
      <c r="H423" s="77">
        <f>STOCK[[#This Row],[Precio Final]]</f>
        <v>14</v>
      </c>
      <c r="I423" s="77">
        <f>STOCK[[#This Row],[Precio Venta Ideal (x1.5)]]</f>
        <v>14.0597727272727</v>
      </c>
      <c r="J423" s="92">
        <v>2</v>
      </c>
      <c r="K423" s="92">
        <f>SUMIFS(VENTAS[Cantidad],VENTAS[Código del producto Vendido],STOCK[[#This Row],[Code]])</f>
        <v>2</v>
      </c>
      <c r="L423" s="92">
        <f>STOCK[[#This Row],[Entradas]]-STOCK[[#This Row],[Salidas]]</f>
        <v>0</v>
      </c>
      <c r="M423" s="77">
        <f>STOCK[[#This Row],[Precio Final]]*10%</f>
        <v>1.4</v>
      </c>
      <c r="N423" s="77">
        <v>76</v>
      </c>
      <c r="O423" s="77">
        <v>17.6</v>
      </c>
      <c r="P423" s="77">
        <v>4.31818181818182</v>
      </c>
      <c r="Q423" s="92">
        <v>215</v>
      </c>
      <c r="R423" s="77">
        <v>17</v>
      </c>
      <c r="S423" s="77">
        <f>STOCK[[#This Row],[Peso (g)]]*STOCK[[#This Row],[Precio Envío Kilogramo (USD)]]/1000</f>
        <v>3.655</v>
      </c>
      <c r="T423" s="76">
        <f>STOCK[[#This Row],[Costo Unitario (USD)]]+STOCK[[#This Row],[Costo Envío (USD)]]+STOCK[[#This Row],[Comisión 10%]]</f>
        <v>9.37318181818182</v>
      </c>
      <c r="U423" s="77">
        <f>STOCK[[#This Row],[Costo total]]*1.5</f>
        <v>14.0597727272727</v>
      </c>
      <c r="V423" s="77">
        <v>14</v>
      </c>
      <c r="W423" s="77">
        <f>STOCK[[#This Row],[Precio Final]]-STOCK[[#This Row],[Costo total]]</f>
        <v>4.62681818181818</v>
      </c>
      <c r="X423" s="77">
        <f>STOCK[[#This Row],[Ganancia Unitaria]]*STOCK[[#This Row],[Salidas]]</f>
        <v>9.25363636363636</v>
      </c>
      <c r="Y423" s="77" t="s">
        <v>894</v>
      </c>
      <c r="AA423" s="77">
        <f>STOCK[[#This Row],[Costo total]]*STOCK[[#This Row],[Entradas]]</f>
        <v>18.7463636363636</v>
      </c>
      <c r="AB423" s="77">
        <f>STOCK[[#This Row],[Stock Actual]]*STOCK[[#This Row],[Costo total]]</f>
        <v>0</v>
      </c>
    </row>
    <row r="424" s="76" customFormat="1" ht="50" hidden="1" customHeight="1" spans="1:28">
      <c r="A424" s="76" t="s">
        <v>896</v>
      </c>
      <c r="B424" s="6"/>
      <c r="C424" s="76" t="s">
        <v>30</v>
      </c>
      <c r="D424" s="76" t="s">
        <v>36</v>
      </c>
      <c r="E424" s="76" t="s">
        <v>897</v>
      </c>
      <c r="F424" s="76" t="s">
        <v>40</v>
      </c>
      <c r="G424" s="76" t="s">
        <v>34</v>
      </c>
      <c r="H424" s="76">
        <f>STOCK[[#This Row],[Precio Final]]</f>
        <v>25</v>
      </c>
      <c r="I424" s="76">
        <f>STOCK[[#This Row],[Precio Venta Ideal (x1.5)]]</f>
        <v>28.0193181818182</v>
      </c>
      <c r="J424" s="91">
        <v>1</v>
      </c>
      <c r="K424" s="91">
        <f>SUMIFS(VENTAS[Cantidad],VENTAS[Código del producto Vendido],STOCK[[#This Row],[Code]])</f>
        <v>1</v>
      </c>
      <c r="L424" s="91">
        <f>STOCK[[#This Row],[Entradas]]-STOCK[[#This Row],[Salidas]]</f>
        <v>0</v>
      </c>
      <c r="M424" s="76">
        <f>STOCK[[#This Row],[Precio Final]]*10%</f>
        <v>2.5</v>
      </c>
      <c r="N424" s="76">
        <v>195</v>
      </c>
      <c r="O424" s="76">
        <v>17.6</v>
      </c>
      <c r="P424" s="76">
        <v>11.0795454545455</v>
      </c>
      <c r="Q424" s="91">
        <v>300</v>
      </c>
      <c r="R424" s="76">
        <v>17</v>
      </c>
      <c r="S424" s="76">
        <f>STOCK[[#This Row],[Peso (g)]]*STOCK[[#This Row],[Precio Envío Kilogramo (USD)]]/1000</f>
        <v>5.1</v>
      </c>
      <c r="T424" s="76">
        <f>STOCK[[#This Row],[Costo Unitario (USD)]]+STOCK[[#This Row],[Costo Envío (USD)]]+STOCK[[#This Row],[Comisión 10%]]</f>
        <v>18.6795454545455</v>
      </c>
      <c r="U424" s="76">
        <f>STOCK[[#This Row],[Costo total]]*1.5</f>
        <v>28.0193181818182</v>
      </c>
      <c r="V424" s="76">
        <v>25</v>
      </c>
      <c r="W424" s="76">
        <f>STOCK[[#This Row],[Precio Final]]-STOCK[[#This Row],[Costo total]]</f>
        <v>6.3204545454545</v>
      </c>
      <c r="X424" s="76">
        <f>STOCK[[#This Row],[Ganancia Unitaria]]*STOCK[[#This Row],[Salidas]]</f>
        <v>6.3204545454545</v>
      </c>
      <c r="Y424" s="76" t="s">
        <v>894</v>
      </c>
      <c r="AA424" s="76">
        <f>STOCK[[#This Row],[Costo total]]*STOCK[[#This Row],[Entradas]]</f>
        <v>18.6795454545455</v>
      </c>
      <c r="AB424" s="76">
        <f>STOCK[[#This Row],[Stock Actual]]*STOCK[[#This Row],[Costo total]]</f>
        <v>0</v>
      </c>
    </row>
    <row r="425" s="77" customFormat="1" ht="50" hidden="1" customHeight="1" spans="1:28">
      <c r="A425" s="77" t="s">
        <v>898</v>
      </c>
      <c r="B425" s="6"/>
      <c r="C425" s="77" t="s">
        <v>30</v>
      </c>
      <c r="D425" s="77" t="s">
        <v>36</v>
      </c>
      <c r="E425" s="77" t="s">
        <v>897</v>
      </c>
      <c r="F425" s="77" t="s">
        <v>44</v>
      </c>
      <c r="G425" s="77" t="s">
        <v>34</v>
      </c>
      <c r="H425" s="77">
        <f>STOCK[[#This Row],[Precio Final]]</f>
        <v>25</v>
      </c>
      <c r="I425" s="77">
        <f>STOCK[[#This Row],[Precio Venta Ideal (x1.5)]]</f>
        <v>26.7443181818183</v>
      </c>
      <c r="J425" s="92">
        <v>2</v>
      </c>
      <c r="K425" s="92">
        <f>SUMIFS(VENTAS[Cantidad],VENTAS[Código del producto Vendido],STOCK[[#This Row],[Code]])</f>
        <v>2</v>
      </c>
      <c r="L425" s="92">
        <f>STOCK[[#This Row],[Entradas]]-STOCK[[#This Row],[Salidas]]</f>
        <v>0</v>
      </c>
      <c r="M425" s="77">
        <f>STOCK[[#This Row],[Precio Final]]*10%</f>
        <v>2.5</v>
      </c>
      <c r="N425" s="77">
        <v>195</v>
      </c>
      <c r="O425" s="77">
        <v>17.6</v>
      </c>
      <c r="P425" s="77">
        <v>11.0795454545455</v>
      </c>
      <c r="Q425" s="92">
        <v>250</v>
      </c>
      <c r="R425" s="77">
        <v>17</v>
      </c>
      <c r="S425" s="77">
        <f>STOCK[[#This Row],[Peso (g)]]*STOCK[[#This Row],[Precio Envío Kilogramo (USD)]]/1000</f>
        <v>4.25</v>
      </c>
      <c r="T425" s="76">
        <f>STOCK[[#This Row],[Costo Unitario (USD)]]+STOCK[[#This Row],[Costo Envío (USD)]]+STOCK[[#This Row],[Comisión 10%]]</f>
        <v>17.8295454545455</v>
      </c>
      <c r="U425" s="77">
        <f>STOCK[[#This Row],[Costo total]]*1.5</f>
        <v>26.7443181818183</v>
      </c>
      <c r="V425" s="77">
        <v>25</v>
      </c>
      <c r="W425" s="77">
        <f>STOCK[[#This Row],[Precio Final]]-STOCK[[#This Row],[Costo total]]</f>
        <v>7.1704545454545</v>
      </c>
      <c r="X425" s="77">
        <f>STOCK[[#This Row],[Ganancia Unitaria]]*STOCK[[#This Row],[Salidas]]</f>
        <v>14.340909090909</v>
      </c>
      <c r="Y425" s="77" t="s">
        <v>894</v>
      </c>
      <c r="AA425" s="77">
        <f>STOCK[[#This Row],[Costo total]]*STOCK[[#This Row],[Entradas]]</f>
        <v>35.659090909091</v>
      </c>
      <c r="AB425" s="77">
        <f>STOCK[[#This Row],[Stock Actual]]*STOCK[[#This Row],[Costo total]]</f>
        <v>0</v>
      </c>
    </row>
    <row r="426" s="76" customFormat="1" ht="50" hidden="1" customHeight="1" spans="1:28">
      <c r="A426" s="76" t="s">
        <v>899</v>
      </c>
      <c r="B426" s="6"/>
      <c r="C426" s="76" t="s">
        <v>30</v>
      </c>
      <c r="D426" s="76" t="s">
        <v>36</v>
      </c>
      <c r="E426" s="76" t="s">
        <v>897</v>
      </c>
      <c r="F426" s="76" t="s">
        <v>47</v>
      </c>
      <c r="G426" s="76" t="s">
        <v>34</v>
      </c>
      <c r="H426" s="76">
        <f>STOCK[[#This Row],[Precio Final]]</f>
        <v>25</v>
      </c>
      <c r="I426" s="76">
        <f>STOCK[[#This Row],[Precio Venta Ideal (x1.5)]]</f>
        <v>26.7443181818183</v>
      </c>
      <c r="J426" s="91">
        <v>2</v>
      </c>
      <c r="K426" s="91">
        <f>SUMIFS(VENTAS[Cantidad],VENTAS[Código del producto Vendido],STOCK[[#This Row],[Code]])</f>
        <v>2</v>
      </c>
      <c r="L426" s="91">
        <f>STOCK[[#This Row],[Entradas]]-STOCK[[#This Row],[Salidas]]</f>
        <v>0</v>
      </c>
      <c r="M426" s="76">
        <f>STOCK[[#This Row],[Precio Final]]*10%</f>
        <v>2.5</v>
      </c>
      <c r="N426" s="76">
        <v>195</v>
      </c>
      <c r="O426" s="76">
        <v>17.6</v>
      </c>
      <c r="P426" s="76">
        <v>11.0795454545455</v>
      </c>
      <c r="Q426" s="91">
        <v>250</v>
      </c>
      <c r="R426" s="76">
        <v>17</v>
      </c>
      <c r="S426" s="76">
        <f>STOCK[[#This Row],[Peso (g)]]*STOCK[[#This Row],[Precio Envío Kilogramo (USD)]]/1000</f>
        <v>4.25</v>
      </c>
      <c r="T426" s="76">
        <f>STOCK[[#This Row],[Costo Unitario (USD)]]+STOCK[[#This Row],[Costo Envío (USD)]]+STOCK[[#This Row],[Comisión 10%]]</f>
        <v>17.8295454545455</v>
      </c>
      <c r="U426" s="76">
        <f>STOCK[[#This Row],[Costo total]]*1.5</f>
        <v>26.7443181818183</v>
      </c>
      <c r="V426" s="76">
        <v>25</v>
      </c>
      <c r="W426" s="76">
        <f>STOCK[[#This Row],[Precio Final]]-STOCK[[#This Row],[Costo total]]</f>
        <v>7.1704545454545</v>
      </c>
      <c r="X426" s="76">
        <f>STOCK[[#This Row],[Ganancia Unitaria]]*STOCK[[#This Row],[Salidas]]</f>
        <v>14.340909090909</v>
      </c>
      <c r="Y426" s="76" t="s">
        <v>894</v>
      </c>
      <c r="AA426" s="76">
        <f>STOCK[[#This Row],[Costo total]]*STOCK[[#This Row],[Entradas]]</f>
        <v>35.659090909091</v>
      </c>
      <c r="AB426" s="76">
        <f>STOCK[[#This Row],[Stock Actual]]*STOCK[[#This Row],[Costo total]]</f>
        <v>0</v>
      </c>
    </row>
    <row r="427" s="77" customFormat="1" ht="50" hidden="1" customHeight="1" spans="1:29">
      <c r="A427" s="77" t="s">
        <v>900</v>
      </c>
      <c r="B427" s="6"/>
      <c r="C427" s="77" t="s">
        <v>30</v>
      </c>
      <c r="D427" s="77" t="s">
        <v>202</v>
      </c>
      <c r="E427" s="77" t="s">
        <v>901</v>
      </c>
      <c r="F427" s="77" t="s">
        <v>40</v>
      </c>
      <c r="G427" s="77" t="s">
        <v>34</v>
      </c>
      <c r="H427" s="77">
        <f>STOCK[[#This Row],[Precio Final]]</f>
        <v>35</v>
      </c>
      <c r="I427" s="77">
        <f>STOCK[[#This Row],[Precio Venta Ideal (x1.5)]]</f>
        <v>37.4345454545454</v>
      </c>
      <c r="J427" s="92">
        <v>1</v>
      </c>
      <c r="K427" s="92">
        <f>SUMIFS(VENTAS[Cantidad],VENTAS[Código del producto Vendido],STOCK[[#This Row],[Code]])</f>
        <v>0</v>
      </c>
      <c r="L427" s="92">
        <f>STOCK[[#This Row],[Entradas]]-STOCK[[#This Row],[Salidas]]</f>
        <v>1</v>
      </c>
      <c r="M427" s="77">
        <f>STOCK[[#This Row],[Precio Final]]*10%</f>
        <v>3.5</v>
      </c>
      <c r="N427" s="77">
        <v>240</v>
      </c>
      <c r="O427" s="77">
        <v>17.6</v>
      </c>
      <c r="P427" s="77">
        <v>13.6363636363636</v>
      </c>
      <c r="Q427" s="92">
        <v>460</v>
      </c>
      <c r="R427" s="77">
        <v>17</v>
      </c>
      <c r="S427" s="77">
        <f>STOCK[[#This Row],[Peso (g)]]*STOCK[[#This Row],[Precio Envío Kilogramo (USD)]]/1000</f>
        <v>7.82</v>
      </c>
      <c r="T427" s="76">
        <f>STOCK[[#This Row],[Costo Unitario (USD)]]+STOCK[[#This Row],[Costo Envío (USD)]]+STOCK[[#This Row],[Comisión 10%]]</f>
        <v>24.9563636363636</v>
      </c>
      <c r="U427" s="77">
        <f>STOCK[[#This Row],[Costo total]]*1.5</f>
        <v>37.4345454545454</v>
      </c>
      <c r="V427" s="77">
        <v>35</v>
      </c>
      <c r="W427" s="77">
        <f>STOCK[[#This Row],[Precio Final]]-STOCK[[#This Row],[Costo total]]</f>
        <v>10.0436363636364</v>
      </c>
      <c r="X427" s="77">
        <f>STOCK[[#This Row],[Ganancia Unitaria]]*STOCK[[#This Row],[Salidas]]</f>
        <v>0</v>
      </c>
      <c r="Y427" s="77" t="s">
        <v>894</v>
      </c>
      <c r="AA427" s="77">
        <f>STOCK[[#This Row],[Costo total]]*STOCK[[#This Row],[Entradas]]</f>
        <v>24.9563636363636</v>
      </c>
      <c r="AB427" s="77">
        <f>STOCK[[#This Row],[Stock Actual]]*STOCK[[#This Row],[Costo total]]</f>
        <v>24.9563636363636</v>
      </c>
      <c r="AC427" s="77">
        <v>30</v>
      </c>
    </row>
    <row r="428" s="76" customFormat="1" ht="50" hidden="1" customHeight="1" spans="1:28">
      <c r="A428" s="76" t="s">
        <v>902</v>
      </c>
      <c r="B428" s="6"/>
      <c r="C428" s="76" t="s">
        <v>30</v>
      </c>
      <c r="D428" s="76" t="s">
        <v>42</v>
      </c>
      <c r="E428" s="76" t="s">
        <v>901</v>
      </c>
      <c r="F428" s="76" t="s">
        <v>44</v>
      </c>
      <c r="G428" s="76" t="s">
        <v>34</v>
      </c>
      <c r="H428" s="76">
        <f>STOCK[[#This Row],[Precio Final]]</f>
        <v>35</v>
      </c>
      <c r="I428" s="76">
        <f>STOCK[[#This Row],[Precio Venta Ideal (x1.5)]]</f>
        <v>37.4345454545454</v>
      </c>
      <c r="J428" s="91">
        <v>1</v>
      </c>
      <c r="K428" s="91">
        <f>SUMIFS(VENTAS[Cantidad],VENTAS[Código del producto Vendido],STOCK[[#This Row],[Code]])</f>
        <v>1</v>
      </c>
      <c r="L428" s="91">
        <f>STOCK[[#This Row],[Entradas]]-STOCK[[#This Row],[Salidas]]</f>
        <v>0</v>
      </c>
      <c r="M428" s="76">
        <f>STOCK[[#This Row],[Precio Final]]*10%</f>
        <v>3.5</v>
      </c>
      <c r="N428" s="76">
        <v>240</v>
      </c>
      <c r="O428" s="76">
        <v>17.6</v>
      </c>
      <c r="P428" s="76">
        <v>13.6363636363636</v>
      </c>
      <c r="Q428" s="91">
        <v>460</v>
      </c>
      <c r="R428" s="76">
        <v>17</v>
      </c>
      <c r="S428" s="76">
        <f>STOCK[[#This Row],[Peso (g)]]*STOCK[[#This Row],[Precio Envío Kilogramo (USD)]]/1000</f>
        <v>7.82</v>
      </c>
      <c r="T428" s="76">
        <f>STOCK[[#This Row],[Costo Unitario (USD)]]+STOCK[[#This Row],[Costo Envío (USD)]]+STOCK[[#This Row],[Comisión 10%]]</f>
        <v>24.9563636363636</v>
      </c>
      <c r="U428" s="76">
        <f>STOCK[[#This Row],[Costo total]]*1.5</f>
        <v>37.4345454545454</v>
      </c>
      <c r="V428" s="76">
        <v>35</v>
      </c>
      <c r="W428" s="76">
        <f>STOCK[[#This Row],[Precio Final]]-STOCK[[#This Row],[Costo total]]</f>
        <v>10.0436363636364</v>
      </c>
      <c r="X428" s="76">
        <f>STOCK[[#This Row],[Ganancia Unitaria]]*STOCK[[#This Row],[Salidas]]</f>
        <v>10.0436363636364</v>
      </c>
      <c r="Y428" s="76" t="s">
        <v>894</v>
      </c>
      <c r="AA428" s="76">
        <f>STOCK[[#This Row],[Costo total]]*STOCK[[#This Row],[Entradas]]</f>
        <v>24.9563636363636</v>
      </c>
      <c r="AB428" s="76">
        <f>STOCK[[#This Row],[Stock Actual]]*STOCK[[#This Row],[Costo total]]</f>
        <v>0</v>
      </c>
    </row>
    <row r="429" s="77" customFormat="1" ht="50" hidden="1" customHeight="1" spans="1:28">
      <c r="A429" s="77" t="s">
        <v>903</v>
      </c>
      <c r="B429" s="6"/>
      <c r="C429" s="77" t="s">
        <v>30</v>
      </c>
      <c r="D429" s="77" t="s">
        <v>42</v>
      </c>
      <c r="E429" s="77" t="s">
        <v>901</v>
      </c>
      <c r="F429" s="77" t="s">
        <v>47</v>
      </c>
      <c r="G429" s="77" t="s">
        <v>34</v>
      </c>
      <c r="H429" s="77">
        <f>STOCK[[#This Row],[Precio Final]]</f>
        <v>35</v>
      </c>
      <c r="I429" s="77">
        <f>STOCK[[#This Row],[Precio Venta Ideal (x1.5)]]</f>
        <v>37.4345454545454</v>
      </c>
      <c r="J429" s="92">
        <v>1</v>
      </c>
      <c r="K429" s="92">
        <f>SUMIFS(VENTAS[Cantidad],VENTAS[Código del producto Vendido],STOCK[[#This Row],[Code]])</f>
        <v>1</v>
      </c>
      <c r="L429" s="92">
        <f>STOCK[[#This Row],[Entradas]]-STOCK[[#This Row],[Salidas]]</f>
        <v>0</v>
      </c>
      <c r="M429" s="77">
        <f>STOCK[[#This Row],[Precio Final]]*10%</f>
        <v>3.5</v>
      </c>
      <c r="N429" s="77">
        <v>240</v>
      </c>
      <c r="O429" s="77">
        <v>17.6</v>
      </c>
      <c r="P429" s="77">
        <v>13.6363636363636</v>
      </c>
      <c r="Q429" s="92">
        <v>460</v>
      </c>
      <c r="R429" s="77">
        <v>17</v>
      </c>
      <c r="S429" s="77">
        <f>STOCK[[#This Row],[Peso (g)]]*STOCK[[#This Row],[Precio Envío Kilogramo (USD)]]/1000</f>
        <v>7.82</v>
      </c>
      <c r="T429" s="76">
        <f>STOCK[[#This Row],[Costo Unitario (USD)]]+STOCK[[#This Row],[Costo Envío (USD)]]+STOCK[[#This Row],[Comisión 10%]]</f>
        <v>24.9563636363636</v>
      </c>
      <c r="U429" s="77">
        <f>STOCK[[#This Row],[Costo total]]*1.5</f>
        <v>37.4345454545454</v>
      </c>
      <c r="V429" s="77">
        <v>35</v>
      </c>
      <c r="W429" s="77">
        <f>STOCK[[#This Row],[Precio Final]]-STOCK[[#This Row],[Costo total]]</f>
        <v>10.0436363636364</v>
      </c>
      <c r="X429" s="77">
        <f>STOCK[[#This Row],[Ganancia Unitaria]]*STOCK[[#This Row],[Salidas]]</f>
        <v>10.0436363636364</v>
      </c>
      <c r="AA429" s="77">
        <f>STOCK[[#This Row],[Costo total]]*STOCK[[#This Row],[Entradas]]</f>
        <v>24.9563636363636</v>
      </c>
      <c r="AB429" s="77">
        <f>STOCK[[#This Row],[Stock Actual]]*STOCK[[#This Row],[Costo total]]</f>
        <v>0</v>
      </c>
    </row>
    <row r="430" s="76" customFormat="1" ht="50" hidden="1" customHeight="1" spans="1:28">
      <c r="A430" s="76" t="s">
        <v>904</v>
      </c>
      <c r="B430" s="6"/>
      <c r="C430" s="76" t="s">
        <v>30</v>
      </c>
      <c r="D430" s="76" t="s">
        <v>36</v>
      </c>
      <c r="E430" s="76" t="s">
        <v>37</v>
      </c>
      <c r="F430" s="76" t="s">
        <v>47</v>
      </c>
      <c r="G430" s="76" t="s">
        <v>34</v>
      </c>
      <c r="H430" s="76">
        <f>STOCK[[#This Row],[Precio Final]]</f>
        <v>25</v>
      </c>
      <c r="I430" s="76">
        <f>STOCK[[#This Row],[Precio Venta Ideal (x1.5)]]</f>
        <v>30.0190909090909</v>
      </c>
      <c r="J430" s="91">
        <v>1</v>
      </c>
      <c r="K430" s="91">
        <f>SUMIFS(VENTAS[Cantidad],VENTAS[Código del producto Vendido],STOCK[[#This Row],[Code]])</f>
        <v>1</v>
      </c>
      <c r="L430" s="91">
        <f>STOCK[[#This Row],[Entradas]]-STOCK[[#This Row],[Salidas]]</f>
        <v>0</v>
      </c>
      <c r="M430" s="76">
        <f>STOCK[[#This Row],[Precio Final]]*10%</f>
        <v>2.5</v>
      </c>
      <c r="N430" s="76">
        <v>205</v>
      </c>
      <c r="O430" s="76">
        <v>17.6</v>
      </c>
      <c r="P430" s="76">
        <v>11.6477272727273</v>
      </c>
      <c r="Q430" s="91">
        <v>345</v>
      </c>
      <c r="R430" s="76">
        <v>17</v>
      </c>
      <c r="S430" s="76">
        <f>STOCK[[#This Row],[Peso (g)]]*STOCK[[#This Row],[Precio Envío Kilogramo (USD)]]/1000</f>
        <v>5.865</v>
      </c>
      <c r="T430" s="76">
        <f>STOCK[[#This Row],[Costo Unitario (USD)]]+STOCK[[#This Row],[Costo Envío (USD)]]+STOCK[[#This Row],[Comisión 10%]]</f>
        <v>20.0127272727273</v>
      </c>
      <c r="U430" s="76">
        <f>STOCK[[#This Row],[Costo total]]*1.5</f>
        <v>30.0190909090909</v>
      </c>
      <c r="V430" s="76">
        <v>25</v>
      </c>
      <c r="W430" s="76">
        <f>STOCK[[#This Row],[Precio Final]]-STOCK[[#This Row],[Costo total]]</f>
        <v>4.9872727272727</v>
      </c>
      <c r="X430" s="76">
        <f>STOCK[[#This Row],[Ganancia Unitaria]]*STOCK[[#This Row],[Salidas]]</f>
        <v>4.9872727272727</v>
      </c>
      <c r="Y430" s="76" t="s">
        <v>894</v>
      </c>
      <c r="AA430" s="76">
        <f>STOCK[[#This Row],[Costo total]]*STOCK[[#This Row],[Entradas]]</f>
        <v>20.0127272727273</v>
      </c>
      <c r="AB430" s="76">
        <f>STOCK[[#This Row],[Stock Actual]]*STOCK[[#This Row],[Costo total]]</f>
        <v>0</v>
      </c>
    </row>
    <row r="431" s="77" customFormat="1" ht="50" hidden="1" customHeight="1" spans="1:28">
      <c r="A431" s="77" t="s">
        <v>905</v>
      </c>
      <c r="B431" s="6"/>
      <c r="C431" s="77" t="s">
        <v>30</v>
      </c>
      <c r="D431" s="77" t="s">
        <v>36</v>
      </c>
      <c r="E431" s="77" t="s">
        <v>37</v>
      </c>
      <c r="F431" s="77" t="s">
        <v>40</v>
      </c>
      <c r="G431" s="77" t="s">
        <v>34</v>
      </c>
      <c r="H431" s="77">
        <f>STOCK[[#This Row],[Precio Final]]</f>
        <v>25</v>
      </c>
      <c r="I431" s="77">
        <f>STOCK[[#This Row],[Precio Venta Ideal (x1.5)]]</f>
        <v>30.0190909090909</v>
      </c>
      <c r="J431" s="92">
        <v>3</v>
      </c>
      <c r="K431" s="92">
        <f>SUMIFS(VENTAS[Cantidad],VENTAS[Código del producto Vendido],STOCK[[#This Row],[Code]])</f>
        <v>3</v>
      </c>
      <c r="L431" s="92">
        <f>STOCK[[#This Row],[Entradas]]-STOCK[[#This Row],[Salidas]]</f>
        <v>0</v>
      </c>
      <c r="M431" s="77">
        <f>STOCK[[#This Row],[Precio Final]]*10%</f>
        <v>2.5</v>
      </c>
      <c r="N431" s="77">
        <v>205</v>
      </c>
      <c r="O431" s="77">
        <v>17.6</v>
      </c>
      <c r="P431" s="77">
        <v>11.6477272727273</v>
      </c>
      <c r="Q431" s="92">
        <v>345</v>
      </c>
      <c r="R431" s="77">
        <v>17</v>
      </c>
      <c r="S431" s="77">
        <f>STOCK[[#This Row],[Peso (g)]]*STOCK[[#This Row],[Precio Envío Kilogramo (USD)]]/1000</f>
        <v>5.865</v>
      </c>
      <c r="T431" s="76">
        <f>STOCK[[#This Row],[Costo Unitario (USD)]]+STOCK[[#This Row],[Costo Envío (USD)]]+STOCK[[#This Row],[Comisión 10%]]</f>
        <v>20.0127272727273</v>
      </c>
      <c r="U431" s="77">
        <f>STOCK[[#This Row],[Costo total]]*1.5</f>
        <v>30.0190909090909</v>
      </c>
      <c r="V431" s="77">
        <v>25</v>
      </c>
      <c r="W431" s="77">
        <f>STOCK[[#This Row],[Precio Final]]-STOCK[[#This Row],[Costo total]]</f>
        <v>4.9872727272727</v>
      </c>
      <c r="X431" s="77">
        <f>STOCK[[#This Row],[Ganancia Unitaria]]*STOCK[[#This Row],[Salidas]]</f>
        <v>14.9618181818181</v>
      </c>
      <c r="Y431" s="77" t="s">
        <v>894</v>
      </c>
      <c r="AA431" s="77">
        <f>STOCK[[#This Row],[Costo total]]*STOCK[[#This Row],[Entradas]]</f>
        <v>60.0381818181819</v>
      </c>
      <c r="AB431" s="77">
        <f>STOCK[[#This Row],[Stock Actual]]*STOCK[[#This Row],[Costo total]]</f>
        <v>0</v>
      </c>
    </row>
    <row r="432" s="76" customFormat="1" ht="50" hidden="1" customHeight="1" spans="1:28">
      <c r="A432" s="76" t="s">
        <v>906</v>
      </c>
      <c r="B432" s="6"/>
      <c r="C432" s="76" t="s">
        <v>30</v>
      </c>
      <c r="D432" s="76" t="s">
        <v>173</v>
      </c>
      <c r="E432" s="76" t="s">
        <v>907</v>
      </c>
      <c r="F432" s="76" t="s">
        <v>60</v>
      </c>
      <c r="G432" s="76" t="s">
        <v>34</v>
      </c>
      <c r="H432" s="76">
        <f>STOCK[[#This Row],[Precio Final]]</f>
        <v>12</v>
      </c>
      <c r="I432" s="76">
        <f>STOCK[[#This Row],[Precio Venta Ideal (x1.5)]]</f>
        <v>13.8081818181818</v>
      </c>
      <c r="J432" s="91">
        <v>3</v>
      </c>
      <c r="K432" s="91">
        <f>SUMIFS(VENTAS[Cantidad],VENTAS[Código del producto Vendido],STOCK[[#This Row],[Code]])</f>
        <v>3</v>
      </c>
      <c r="L432" s="91">
        <f>STOCK[[#This Row],[Entradas]]-STOCK[[#This Row],[Salidas]]</f>
        <v>0</v>
      </c>
      <c r="M432" s="76">
        <f>STOCK[[#This Row],[Precio Final]]*10%</f>
        <v>1.2</v>
      </c>
      <c r="N432" s="76">
        <v>102</v>
      </c>
      <c r="O432" s="76">
        <v>17.6</v>
      </c>
      <c r="P432" s="76">
        <v>5.79545454545454</v>
      </c>
      <c r="Q432" s="91">
        <v>130</v>
      </c>
      <c r="R432" s="76">
        <v>17</v>
      </c>
      <c r="S432" s="76">
        <f>STOCK[[#This Row],[Peso (g)]]*STOCK[[#This Row],[Precio Envío Kilogramo (USD)]]/1000</f>
        <v>2.21</v>
      </c>
      <c r="T432" s="76">
        <f>STOCK[[#This Row],[Costo Unitario (USD)]]+STOCK[[#This Row],[Costo Envío (USD)]]+STOCK[[#This Row],[Comisión 10%]]</f>
        <v>9.20545454545454</v>
      </c>
      <c r="U432" s="76">
        <f>STOCK[[#This Row],[Costo total]]*1.5</f>
        <v>13.8081818181818</v>
      </c>
      <c r="V432" s="76">
        <v>12</v>
      </c>
      <c r="W432" s="76">
        <f>STOCK[[#This Row],[Precio Final]]-STOCK[[#This Row],[Costo total]]</f>
        <v>2.79454545454546</v>
      </c>
      <c r="X432" s="76">
        <f>STOCK[[#This Row],[Ganancia Unitaria]]*STOCK[[#This Row],[Salidas]]</f>
        <v>8.38363636363638</v>
      </c>
      <c r="Y432" s="76" t="s">
        <v>891</v>
      </c>
      <c r="AA432" s="76">
        <f>STOCK[[#This Row],[Costo total]]*STOCK[[#This Row],[Entradas]]</f>
        <v>27.6163636363636</v>
      </c>
      <c r="AB432" s="76">
        <f>STOCK[[#This Row],[Stock Actual]]*STOCK[[#This Row],[Costo total]]</f>
        <v>0</v>
      </c>
    </row>
    <row r="433" s="77" customFormat="1" ht="50" hidden="1" customHeight="1" spans="1:28">
      <c r="A433" s="77" t="s">
        <v>908</v>
      </c>
      <c r="B433" s="6"/>
      <c r="C433" s="77" t="s">
        <v>30</v>
      </c>
      <c r="D433" s="77" t="s">
        <v>36</v>
      </c>
      <c r="E433" s="77" t="s">
        <v>909</v>
      </c>
      <c r="F433" s="77" t="s">
        <v>47</v>
      </c>
      <c r="G433" s="77" t="s">
        <v>34</v>
      </c>
      <c r="H433" s="77">
        <f>STOCK[[#This Row],[Precio Final]]</f>
        <v>25</v>
      </c>
      <c r="I433" s="77">
        <f>STOCK[[#This Row],[Precio Venta Ideal (x1.5)]]</f>
        <v>26.3181818181817</v>
      </c>
      <c r="J433" s="92">
        <v>1</v>
      </c>
      <c r="K433" s="92">
        <f>SUMIFS(VENTAS[Cantidad],VENTAS[Código del producto Vendido],STOCK[[#This Row],[Code]])</f>
        <v>1</v>
      </c>
      <c r="L433" s="92">
        <f>STOCK[[#This Row],[Entradas]]-STOCK[[#This Row],[Salidas]]</f>
        <v>0</v>
      </c>
      <c r="M433" s="77">
        <f>STOCK[[#This Row],[Precio Final]]*10%</f>
        <v>2.5</v>
      </c>
      <c r="N433" s="77">
        <v>190</v>
      </c>
      <c r="O433" s="77">
        <v>17.6</v>
      </c>
      <c r="P433" s="77">
        <v>10.7954545454545</v>
      </c>
      <c r="Q433" s="92">
        <v>250</v>
      </c>
      <c r="R433" s="77">
        <v>17</v>
      </c>
      <c r="S433" s="77">
        <f>STOCK[[#This Row],[Peso (g)]]*STOCK[[#This Row],[Precio Envío Kilogramo (USD)]]/1000</f>
        <v>4.25</v>
      </c>
      <c r="T433" s="76">
        <f>STOCK[[#This Row],[Costo Unitario (USD)]]+STOCK[[#This Row],[Costo Envío (USD)]]+STOCK[[#This Row],[Comisión 10%]]</f>
        <v>17.5454545454545</v>
      </c>
      <c r="U433" s="77">
        <f>STOCK[[#This Row],[Costo total]]*1.5</f>
        <v>26.3181818181817</v>
      </c>
      <c r="V433" s="77">
        <v>25</v>
      </c>
      <c r="W433" s="77">
        <f>STOCK[[#This Row],[Precio Final]]-STOCK[[#This Row],[Costo total]]</f>
        <v>7.4545454545455</v>
      </c>
      <c r="X433" s="77">
        <f>STOCK[[#This Row],[Ganancia Unitaria]]*STOCK[[#This Row],[Salidas]]</f>
        <v>7.4545454545455</v>
      </c>
      <c r="Y433" s="77" t="s">
        <v>910</v>
      </c>
      <c r="AA433" s="77">
        <f>STOCK[[#This Row],[Costo total]]*STOCK[[#This Row],[Entradas]]</f>
        <v>17.5454545454545</v>
      </c>
      <c r="AB433" s="77">
        <f>STOCK[[#This Row],[Stock Actual]]*STOCK[[#This Row],[Costo total]]</f>
        <v>0</v>
      </c>
    </row>
    <row r="434" s="76" customFormat="1" ht="50" hidden="1" customHeight="1" spans="1:28">
      <c r="A434" s="76" t="s">
        <v>911</v>
      </c>
      <c r="B434" s="6"/>
      <c r="C434" s="76" t="s">
        <v>30</v>
      </c>
      <c r="D434" s="76" t="s">
        <v>80</v>
      </c>
      <c r="E434" s="76" t="s">
        <v>912</v>
      </c>
      <c r="F434" s="76" t="s">
        <v>81</v>
      </c>
      <c r="G434" s="76" t="s">
        <v>34</v>
      </c>
      <c r="H434" s="76">
        <f>STOCK[[#This Row],[Precio Final]]</f>
        <v>25</v>
      </c>
      <c r="I434" s="76">
        <f>STOCK[[#This Row],[Precio Venta Ideal (x1.5)]]</f>
        <v>27.5897727272727</v>
      </c>
      <c r="J434" s="91">
        <v>3</v>
      </c>
      <c r="K434" s="91">
        <f>SUMIFS(VENTAS[Cantidad],VENTAS[Código del producto Vendido],STOCK[[#This Row],[Code]])</f>
        <v>3</v>
      </c>
      <c r="L434" s="91">
        <f>STOCK[[#This Row],[Entradas]]-STOCK[[#This Row],[Salidas]]</f>
        <v>0</v>
      </c>
      <c r="M434" s="76">
        <f>STOCK[[#This Row],[Precio Final]]*10%</f>
        <v>2.5</v>
      </c>
      <c r="N434" s="76">
        <v>175</v>
      </c>
      <c r="O434" s="76">
        <v>17.6</v>
      </c>
      <c r="P434" s="76">
        <v>9.94318181818182</v>
      </c>
      <c r="Q434" s="91">
        <v>350</v>
      </c>
      <c r="R434" s="76">
        <v>17</v>
      </c>
      <c r="S434" s="76">
        <f>STOCK[[#This Row],[Peso (g)]]*STOCK[[#This Row],[Precio Envío Kilogramo (USD)]]/1000</f>
        <v>5.95</v>
      </c>
      <c r="T434" s="76">
        <f>STOCK[[#This Row],[Costo Unitario (USD)]]+STOCK[[#This Row],[Costo Envío (USD)]]+STOCK[[#This Row],[Comisión 10%]]</f>
        <v>18.3931818181818</v>
      </c>
      <c r="U434" s="76">
        <f>STOCK[[#This Row],[Costo total]]*1.5</f>
        <v>27.5897727272727</v>
      </c>
      <c r="V434" s="76">
        <v>25</v>
      </c>
      <c r="W434" s="76">
        <f>STOCK[[#This Row],[Precio Final]]-STOCK[[#This Row],[Costo total]]</f>
        <v>6.60681818181818</v>
      </c>
      <c r="X434" s="76">
        <f>STOCK[[#This Row],[Ganancia Unitaria]]*STOCK[[#This Row],[Salidas]]</f>
        <v>19.8204545454545</v>
      </c>
      <c r="Y434" s="76" t="s">
        <v>894</v>
      </c>
      <c r="AA434" s="76">
        <f>STOCK[[#This Row],[Costo total]]*STOCK[[#This Row],[Entradas]]</f>
        <v>55.1795454545455</v>
      </c>
      <c r="AB434" s="76">
        <f>STOCK[[#This Row],[Stock Actual]]*STOCK[[#This Row],[Costo total]]</f>
        <v>0</v>
      </c>
    </row>
    <row r="435" s="77" customFormat="1" ht="50" hidden="1" customHeight="1" spans="1:28">
      <c r="A435" s="77" t="s">
        <v>913</v>
      </c>
      <c r="B435" s="6"/>
      <c r="C435" s="77" t="s">
        <v>30</v>
      </c>
      <c r="D435" s="77" t="s">
        <v>173</v>
      </c>
      <c r="E435" s="77" t="s">
        <v>914</v>
      </c>
      <c r="F435" s="77" t="s">
        <v>47</v>
      </c>
      <c r="G435" s="77" t="s">
        <v>34</v>
      </c>
      <c r="H435" s="77">
        <f>STOCK[[#This Row],[Precio Final]]</f>
        <v>14</v>
      </c>
      <c r="I435" s="77">
        <f>STOCK[[#This Row],[Precio Venta Ideal (x1.5)]]</f>
        <v>17.2159090909091</v>
      </c>
      <c r="J435" s="92">
        <v>2</v>
      </c>
      <c r="K435" s="92">
        <f>SUMIFS(VENTAS[Cantidad],VENTAS[Código del producto Vendido],STOCK[[#This Row],[Code]])</f>
        <v>2</v>
      </c>
      <c r="L435" s="92">
        <f>STOCK[[#This Row],[Entradas]]-STOCK[[#This Row],[Salidas]]</f>
        <v>0</v>
      </c>
      <c r="M435" s="77">
        <f>STOCK[[#This Row],[Precio Final]]*10%</f>
        <v>1.4</v>
      </c>
      <c r="N435" s="77">
        <v>125</v>
      </c>
      <c r="O435" s="77">
        <v>17.6</v>
      </c>
      <c r="P435" s="77">
        <v>7.10227272727273</v>
      </c>
      <c r="Q435" s="92">
        <v>175</v>
      </c>
      <c r="R435" s="77">
        <v>17</v>
      </c>
      <c r="S435" s="77">
        <f>STOCK[[#This Row],[Peso (g)]]*STOCK[[#This Row],[Precio Envío Kilogramo (USD)]]/1000</f>
        <v>2.975</v>
      </c>
      <c r="T435" s="76">
        <f>STOCK[[#This Row],[Costo Unitario (USD)]]+STOCK[[#This Row],[Costo Envío (USD)]]+STOCK[[#This Row],[Comisión 10%]]</f>
        <v>11.4772727272727</v>
      </c>
      <c r="U435" s="77">
        <f>STOCK[[#This Row],[Costo total]]*1.5</f>
        <v>17.2159090909091</v>
      </c>
      <c r="V435" s="77">
        <v>14</v>
      </c>
      <c r="W435" s="77">
        <f>STOCK[[#This Row],[Precio Final]]-STOCK[[#This Row],[Costo total]]</f>
        <v>2.52272727272727</v>
      </c>
      <c r="X435" s="77">
        <f>STOCK[[#This Row],[Ganancia Unitaria]]*STOCK[[#This Row],[Salidas]]</f>
        <v>5.04545454545454</v>
      </c>
      <c r="Y435" s="77" t="s">
        <v>894</v>
      </c>
      <c r="AA435" s="77">
        <f>STOCK[[#This Row],[Costo total]]*STOCK[[#This Row],[Entradas]]</f>
        <v>22.9545454545455</v>
      </c>
      <c r="AB435" s="77">
        <f>STOCK[[#This Row],[Stock Actual]]*STOCK[[#This Row],[Costo total]]</f>
        <v>0</v>
      </c>
    </row>
    <row r="436" s="76" customFormat="1" ht="50" hidden="1" customHeight="1" spans="1:28">
      <c r="A436" s="76" t="s">
        <v>915</v>
      </c>
      <c r="B436" s="6"/>
      <c r="C436" s="76" t="s">
        <v>30</v>
      </c>
      <c r="D436" s="76" t="s">
        <v>173</v>
      </c>
      <c r="E436" s="76" t="s">
        <v>916</v>
      </c>
      <c r="F436" s="76" t="s">
        <v>44</v>
      </c>
      <c r="G436" s="76" t="s">
        <v>34</v>
      </c>
      <c r="H436" s="76">
        <f>STOCK[[#This Row],[Precio Final]]</f>
        <v>14</v>
      </c>
      <c r="I436" s="76">
        <f>STOCK[[#This Row],[Precio Venta Ideal (x1.5)]]</f>
        <v>17.3434090909091</v>
      </c>
      <c r="J436" s="91">
        <v>1</v>
      </c>
      <c r="K436" s="91">
        <f>SUMIFS(VENTAS[Cantidad],VENTAS[Código del producto Vendido],STOCK[[#This Row],[Code]])</f>
        <v>1</v>
      </c>
      <c r="L436" s="91">
        <f>STOCK[[#This Row],[Entradas]]-STOCK[[#This Row],[Salidas]]</f>
        <v>0</v>
      </c>
      <c r="M436" s="76">
        <f>STOCK[[#This Row],[Precio Final]]*10%</f>
        <v>1.4</v>
      </c>
      <c r="N436" s="76">
        <v>125</v>
      </c>
      <c r="O436" s="76">
        <v>17.6</v>
      </c>
      <c r="P436" s="76">
        <v>7.10227272727273</v>
      </c>
      <c r="Q436" s="91">
        <v>180</v>
      </c>
      <c r="R436" s="76">
        <v>17</v>
      </c>
      <c r="S436" s="76">
        <f>STOCK[[#This Row],[Peso (g)]]*STOCK[[#This Row],[Precio Envío Kilogramo (USD)]]/1000</f>
        <v>3.06</v>
      </c>
      <c r="T436" s="76">
        <f>STOCK[[#This Row],[Costo Unitario (USD)]]+STOCK[[#This Row],[Costo Envío (USD)]]+STOCK[[#This Row],[Comisión 10%]]</f>
        <v>11.5622727272727</v>
      </c>
      <c r="U436" s="76">
        <f>STOCK[[#This Row],[Costo total]]*1.5</f>
        <v>17.3434090909091</v>
      </c>
      <c r="V436" s="76">
        <v>14</v>
      </c>
      <c r="W436" s="76">
        <f>STOCK[[#This Row],[Precio Final]]-STOCK[[#This Row],[Costo total]]</f>
        <v>2.43772727272727</v>
      </c>
      <c r="X436" s="76">
        <f>STOCK[[#This Row],[Ganancia Unitaria]]*STOCK[[#This Row],[Salidas]]</f>
        <v>2.43772727272727</v>
      </c>
      <c r="Y436" s="76" t="s">
        <v>894</v>
      </c>
      <c r="AA436" s="76">
        <f>STOCK[[#This Row],[Costo total]]*STOCK[[#This Row],[Entradas]]</f>
        <v>11.5622727272727</v>
      </c>
      <c r="AB436" s="76">
        <f>STOCK[[#This Row],[Stock Actual]]*STOCK[[#This Row],[Costo total]]</f>
        <v>0</v>
      </c>
    </row>
    <row r="437" s="77" customFormat="1" ht="50" hidden="1" customHeight="1" spans="1:28">
      <c r="A437" s="77" t="s">
        <v>917</v>
      </c>
      <c r="B437" s="6"/>
      <c r="C437" s="77" t="s">
        <v>30</v>
      </c>
      <c r="D437" s="77" t="s">
        <v>42</v>
      </c>
      <c r="E437" s="77" t="s">
        <v>918</v>
      </c>
      <c r="F437" s="77" t="s">
        <v>919</v>
      </c>
      <c r="G437" s="77" t="s">
        <v>34</v>
      </c>
      <c r="H437" s="77">
        <f>STOCK[[#This Row],[Precio Final]]</f>
        <v>25</v>
      </c>
      <c r="I437" s="77">
        <f>STOCK[[#This Row],[Precio Venta Ideal (x1.5)]]</f>
        <v>24.6170454545454</v>
      </c>
      <c r="J437" s="92">
        <v>2</v>
      </c>
      <c r="K437" s="92">
        <f>SUMIFS(VENTAS[Cantidad],VENTAS[Código del producto Vendido],STOCK[[#This Row],[Code]])</f>
        <v>2</v>
      </c>
      <c r="L437" s="92">
        <f>STOCK[[#This Row],[Entradas]]-STOCK[[#This Row],[Salidas]]</f>
        <v>0</v>
      </c>
      <c r="M437" s="77">
        <f>STOCK[[#This Row],[Precio Final]]*10%</f>
        <v>2.5</v>
      </c>
      <c r="N437" s="77">
        <v>185</v>
      </c>
      <c r="O437" s="77">
        <v>17.6</v>
      </c>
      <c r="P437" s="77">
        <v>10.5113636363636</v>
      </c>
      <c r="Q437" s="92">
        <v>200</v>
      </c>
      <c r="R437" s="77">
        <v>17</v>
      </c>
      <c r="S437" s="77">
        <f>STOCK[[#This Row],[Peso (g)]]*STOCK[[#This Row],[Precio Envío Kilogramo (USD)]]/1000</f>
        <v>3.4</v>
      </c>
      <c r="T437" s="76">
        <f>STOCK[[#This Row],[Costo Unitario (USD)]]+STOCK[[#This Row],[Costo Envío (USD)]]+STOCK[[#This Row],[Comisión 10%]]</f>
        <v>16.4113636363636</v>
      </c>
      <c r="U437" s="77">
        <f>STOCK[[#This Row],[Costo total]]*1.5</f>
        <v>24.6170454545454</v>
      </c>
      <c r="V437" s="77">
        <v>25</v>
      </c>
      <c r="W437" s="77">
        <f>STOCK[[#This Row],[Precio Final]]-STOCK[[#This Row],[Costo total]]</f>
        <v>8.5886363636364</v>
      </c>
      <c r="X437" s="77">
        <f>STOCK[[#This Row],[Ganancia Unitaria]]*STOCK[[#This Row],[Salidas]]</f>
        <v>17.1772727272728</v>
      </c>
      <c r="AA437" s="77">
        <f>STOCK[[#This Row],[Costo total]]*STOCK[[#This Row],[Entradas]]</f>
        <v>32.8227272727272</v>
      </c>
      <c r="AB437" s="77">
        <f>STOCK[[#This Row],[Stock Actual]]*STOCK[[#This Row],[Costo total]]</f>
        <v>0</v>
      </c>
    </row>
    <row r="438" s="76" customFormat="1" ht="50" hidden="1" customHeight="1" spans="1:28">
      <c r="A438" s="76" t="s">
        <v>920</v>
      </c>
      <c r="B438" s="6"/>
      <c r="C438" s="76" t="s">
        <v>30</v>
      </c>
      <c r="D438" s="76" t="s">
        <v>212</v>
      </c>
      <c r="E438" s="76" t="s">
        <v>921</v>
      </c>
      <c r="F438" s="76" t="s">
        <v>922</v>
      </c>
      <c r="G438" s="76" t="s">
        <v>34</v>
      </c>
      <c r="H438" s="76">
        <f>STOCK[[#This Row],[Precio Final]]</f>
        <v>25</v>
      </c>
      <c r="I438" s="76">
        <f>STOCK[[#This Row],[Precio Venta Ideal (x1.5)]]</f>
        <v>24.6170454545454</v>
      </c>
      <c r="J438" s="91">
        <v>2</v>
      </c>
      <c r="K438" s="91">
        <f>SUMIFS(VENTAS[Cantidad],VENTAS[Código del producto Vendido],STOCK[[#This Row],[Code]])</f>
        <v>2</v>
      </c>
      <c r="L438" s="91">
        <f>STOCK[[#This Row],[Entradas]]-STOCK[[#This Row],[Salidas]]</f>
        <v>0</v>
      </c>
      <c r="M438" s="76">
        <f>STOCK[[#This Row],[Precio Final]]*10%</f>
        <v>2.5</v>
      </c>
      <c r="N438" s="76">
        <v>185</v>
      </c>
      <c r="O438" s="76">
        <v>17.6</v>
      </c>
      <c r="P438" s="76">
        <v>10.5113636363636</v>
      </c>
      <c r="Q438" s="91">
        <v>200</v>
      </c>
      <c r="R438" s="76">
        <v>17</v>
      </c>
      <c r="S438" s="76">
        <f>STOCK[[#This Row],[Peso (g)]]*STOCK[[#This Row],[Precio Envío Kilogramo (USD)]]/1000</f>
        <v>3.4</v>
      </c>
      <c r="T438" s="76">
        <f>STOCK[[#This Row],[Costo Unitario (USD)]]+STOCK[[#This Row],[Costo Envío (USD)]]+STOCK[[#This Row],[Comisión 10%]]</f>
        <v>16.4113636363636</v>
      </c>
      <c r="U438" s="76">
        <f>STOCK[[#This Row],[Costo total]]*1.5</f>
        <v>24.6170454545454</v>
      </c>
      <c r="V438" s="76">
        <v>25</v>
      </c>
      <c r="W438" s="76">
        <f>STOCK[[#This Row],[Precio Final]]-STOCK[[#This Row],[Costo total]]</f>
        <v>8.5886363636364</v>
      </c>
      <c r="X438" s="76">
        <f>STOCK[[#This Row],[Ganancia Unitaria]]*STOCK[[#This Row],[Salidas]]</f>
        <v>17.1772727272728</v>
      </c>
      <c r="AA438" s="76">
        <f>STOCK[[#This Row],[Costo total]]*STOCK[[#This Row],[Entradas]]</f>
        <v>32.8227272727272</v>
      </c>
      <c r="AB438" s="76">
        <f>STOCK[[#This Row],[Stock Actual]]*STOCK[[#This Row],[Costo total]]</f>
        <v>0</v>
      </c>
    </row>
    <row r="439" s="77" customFormat="1" ht="50" hidden="1" customHeight="1" spans="1:28">
      <c r="A439" s="77" t="s">
        <v>923</v>
      </c>
      <c r="B439" s="6"/>
      <c r="C439" s="77" t="s">
        <v>30</v>
      </c>
      <c r="D439" s="77" t="s">
        <v>151</v>
      </c>
      <c r="E439" s="77" t="s">
        <v>924</v>
      </c>
      <c r="F439" s="77" t="s">
        <v>60</v>
      </c>
      <c r="G439" s="77" t="s">
        <v>34</v>
      </c>
      <c r="H439" s="77">
        <f>STOCK[[#This Row],[Precio Final]]</f>
        <v>20</v>
      </c>
      <c r="I439" s="77">
        <f>STOCK[[#This Row],[Precio Venta Ideal (x1.5)]]</f>
        <v>20.4143181818182</v>
      </c>
      <c r="J439" s="92">
        <v>1</v>
      </c>
      <c r="K439" s="92">
        <f>SUMIFS(VENTAS[Cantidad],VENTAS[Código del producto Vendido],STOCK[[#This Row],[Code]])</f>
        <v>1</v>
      </c>
      <c r="L439" s="92">
        <f>STOCK[[#This Row],[Entradas]]-STOCK[[#This Row],[Salidas]]</f>
        <v>0</v>
      </c>
      <c r="M439" s="77">
        <f>STOCK[[#This Row],[Precio Final]]*10%</f>
        <v>2</v>
      </c>
      <c r="N439" s="77">
        <v>140</v>
      </c>
      <c r="O439" s="77">
        <v>17.6</v>
      </c>
      <c r="P439" s="77">
        <v>7.95454545454545</v>
      </c>
      <c r="Q439" s="92">
        <v>215</v>
      </c>
      <c r="R439" s="77">
        <v>17</v>
      </c>
      <c r="S439" s="77">
        <f>STOCK[[#This Row],[Peso (g)]]*STOCK[[#This Row],[Precio Envío Kilogramo (USD)]]/1000</f>
        <v>3.655</v>
      </c>
      <c r="T439" s="76">
        <f>STOCK[[#This Row],[Costo Unitario (USD)]]+STOCK[[#This Row],[Costo Envío (USD)]]+STOCK[[#This Row],[Comisión 10%]]</f>
        <v>13.6095454545454</v>
      </c>
      <c r="U439" s="77">
        <f>STOCK[[#This Row],[Costo total]]*1.5</f>
        <v>20.4143181818182</v>
      </c>
      <c r="V439" s="77">
        <v>20</v>
      </c>
      <c r="W439" s="77">
        <f>STOCK[[#This Row],[Precio Final]]-STOCK[[#This Row],[Costo total]]</f>
        <v>6.39045454545455</v>
      </c>
      <c r="X439" s="77">
        <f>STOCK[[#This Row],[Ganancia Unitaria]]*STOCK[[#This Row],[Salidas]]</f>
        <v>6.39045454545455</v>
      </c>
      <c r="Y439" s="77" t="s">
        <v>894</v>
      </c>
      <c r="AA439" s="77">
        <f>STOCK[[#This Row],[Costo total]]*STOCK[[#This Row],[Entradas]]</f>
        <v>13.6095454545454</v>
      </c>
      <c r="AB439" s="77">
        <f>STOCK[[#This Row],[Stock Actual]]*STOCK[[#This Row],[Costo total]]</f>
        <v>0</v>
      </c>
    </row>
    <row r="440" s="76" customFormat="1" ht="50" hidden="1" customHeight="1" spans="1:28">
      <c r="A440" s="76" t="s">
        <v>925</v>
      </c>
      <c r="B440" s="6"/>
      <c r="C440" s="76" t="s">
        <v>30</v>
      </c>
      <c r="D440" s="76" t="s">
        <v>151</v>
      </c>
      <c r="E440" s="76" t="s">
        <v>924</v>
      </c>
      <c r="F440" s="76" t="s">
        <v>47</v>
      </c>
      <c r="G440" s="76" t="s">
        <v>34</v>
      </c>
      <c r="H440" s="76">
        <f>STOCK[[#This Row],[Precio Final]]</f>
        <v>20</v>
      </c>
      <c r="I440" s="76">
        <f>STOCK[[#This Row],[Precio Venta Ideal (x1.5)]]</f>
        <v>20.4143181818182</v>
      </c>
      <c r="J440" s="91">
        <v>1</v>
      </c>
      <c r="K440" s="91">
        <f>SUMIFS(VENTAS[Cantidad],VENTAS[Código del producto Vendido],STOCK[[#This Row],[Code]])</f>
        <v>1</v>
      </c>
      <c r="L440" s="91">
        <f>STOCK[[#This Row],[Entradas]]-STOCK[[#This Row],[Salidas]]</f>
        <v>0</v>
      </c>
      <c r="M440" s="76">
        <f>STOCK[[#This Row],[Precio Final]]*10%</f>
        <v>2</v>
      </c>
      <c r="N440" s="76">
        <v>140</v>
      </c>
      <c r="O440" s="76">
        <v>17.6</v>
      </c>
      <c r="P440" s="76">
        <v>7.95454545454545</v>
      </c>
      <c r="Q440" s="91">
        <v>215</v>
      </c>
      <c r="R440" s="76">
        <v>17</v>
      </c>
      <c r="S440" s="76">
        <f>STOCK[[#This Row],[Peso (g)]]*STOCK[[#This Row],[Precio Envío Kilogramo (USD)]]/1000</f>
        <v>3.655</v>
      </c>
      <c r="T440" s="76">
        <f>STOCK[[#This Row],[Costo Unitario (USD)]]+STOCK[[#This Row],[Costo Envío (USD)]]+STOCK[[#This Row],[Comisión 10%]]</f>
        <v>13.6095454545454</v>
      </c>
      <c r="U440" s="76">
        <f>STOCK[[#This Row],[Costo total]]*1.5</f>
        <v>20.4143181818182</v>
      </c>
      <c r="V440" s="76">
        <v>20</v>
      </c>
      <c r="W440" s="76">
        <f>STOCK[[#This Row],[Precio Final]]-STOCK[[#This Row],[Costo total]]</f>
        <v>6.39045454545455</v>
      </c>
      <c r="X440" s="76">
        <f>STOCK[[#This Row],[Ganancia Unitaria]]*STOCK[[#This Row],[Salidas]]</f>
        <v>6.39045454545455</v>
      </c>
      <c r="Y440" s="76" t="s">
        <v>926</v>
      </c>
      <c r="AA440" s="76">
        <f>STOCK[[#This Row],[Costo total]]*STOCK[[#This Row],[Entradas]]</f>
        <v>13.6095454545454</v>
      </c>
      <c r="AB440" s="76">
        <f>STOCK[[#This Row],[Stock Actual]]*STOCK[[#This Row],[Costo total]]</f>
        <v>0</v>
      </c>
    </row>
    <row r="441" s="77" customFormat="1" ht="50" hidden="1" customHeight="1" spans="1:28">
      <c r="A441" s="77" t="s">
        <v>927</v>
      </c>
      <c r="B441" s="6"/>
      <c r="C441" s="77" t="s">
        <v>30</v>
      </c>
      <c r="D441" s="77" t="s">
        <v>151</v>
      </c>
      <c r="E441" s="77" t="s">
        <v>924</v>
      </c>
      <c r="F441" s="77" t="s">
        <v>44</v>
      </c>
      <c r="G441" s="77" t="s">
        <v>34</v>
      </c>
      <c r="H441" s="77">
        <f>STOCK[[#This Row],[Precio Final]]</f>
        <v>20</v>
      </c>
      <c r="I441" s="77">
        <f>STOCK[[#This Row],[Precio Venta Ideal (x1.5)]]</f>
        <v>20.4143181818182</v>
      </c>
      <c r="J441" s="92">
        <v>1</v>
      </c>
      <c r="K441" s="92">
        <f>SUMIFS(VENTAS[Cantidad],VENTAS[Código del producto Vendido],STOCK[[#This Row],[Code]])</f>
        <v>1</v>
      </c>
      <c r="L441" s="92">
        <f>STOCK[[#This Row],[Entradas]]-STOCK[[#This Row],[Salidas]]</f>
        <v>0</v>
      </c>
      <c r="M441" s="77">
        <f>STOCK[[#This Row],[Precio Final]]*10%</f>
        <v>2</v>
      </c>
      <c r="N441" s="77">
        <v>140</v>
      </c>
      <c r="O441" s="77">
        <v>17.6</v>
      </c>
      <c r="P441" s="77">
        <v>7.95454545454545</v>
      </c>
      <c r="Q441" s="92">
        <v>215</v>
      </c>
      <c r="R441" s="77">
        <v>17</v>
      </c>
      <c r="S441" s="77">
        <f>STOCK[[#This Row],[Peso (g)]]*STOCK[[#This Row],[Precio Envío Kilogramo (USD)]]/1000</f>
        <v>3.655</v>
      </c>
      <c r="T441" s="76">
        <f>STOCK[[#This Row],[Costo Unitario (USD)]]+STOCK[[#This Row],[Costo Envío (USD)]]+STOCK[[#This Row],[Comisión 10%]]</f>
        <v>13.6095454545454</v>
      </c>
      <c r="U441" s="77">
        <f>STOCK[[#This Row],[Costo total]]*1.5</f>
        <v>20.4143181818182</v>
      </c>
      <c r="V441" s="77">
        <v>20</v>
      </c>
      <c r="W441" s="77">
        <f>STOCK[[#This Row],[Precio Final]]-STOCK[[#This Row],[Costo total]]</f>
        <v>6.39045454545455</v>
      </c>
      <c r="X441" s="77">
        <f>STOCK[[#This Row],[Ganancia Unitaria]]*STOCK[[#This Row],[Salidas]]</f>
        <v>6.39045454545455</v>
      </c>
      <c r="Y441" s="77" t="s">
        <v>894</v>
      </c>
      <c r="AA441" s="77">
        <f>STOCK[[#This Row],[Costo total]]*STOCK[[#This Row],[Entradas]]</f>
        <v>13.6095454545454</v>
      </c>
      <c r="AB441" s="77">
        <f>STOCK[[#This Row],[Stock Actual]]*STOCK[[#This Row],[Costo total]]</f>
        <v>0</v>
      </c>
    </row>
    <row r="442" s="76" customFormat="1" ht="50" hidden="1" customHeight="1" spans="1:28">
      <c r="A442" s="76" t="s">
        <v>928</v>
      </c>
      <c r="B442" s="6"/>
      <c r="C442" s="76" t="s">
        <v>30</v>
      </c>
      <c r="D442" s="76" t="s">
        <v>151</v>
      </c>
      <c r="E442" s="76" t="s">
        <v>929</v>
      </c>
      <c r="F442" s="76" t="s">
        <v>38</v>
      </c>
      <c r="G442" s="76" t="s">
        <v>34</v>
      </c>
      <c r="H442" s="76">
        <f>STOCK[[#This Row],[Precio Final]]</f>
        <v>15</v>
      </c>
      <c r="I442" s="76">
        <f>STOCK[[#This Row],[Precio Venta Ideal (x1.5)]]</f>
        <v>14.0004545454545</v>
      </c>
      <c r="J442" s="91">
        <v>1</v>
      </c>
      <c r="K442" s="91">
        <f>SUMIFS(VENTAS[Cantidad],VENTAS[Código del producto Vendido],STOCK[[#This Row],[Code]])</f>
        <v>0</v>
      </c>
      <c r="L442" s="91">
        <f>STOCK[[#This Row],[Entradas]]-STOCK[[#This Row],[Salidas]]</f>
        <v>1</v>
      </c>
      <c r="M442" s="76">
        <f>STOCK[[#This Row],[Precio Final]]*10%</f>
        <v>1.5</v>
      </c>
      <c r="N442" s="76">
        <v>90</v>
      </c>
      <c r="O442" s="76">
        <v>17.6</v>
      </c>
      <c r="P442" s="76">
        <v>5.11363636363636</v>
      </c>
      <c r="Q442" s="91">
        <v>160</v>
      </c>
      <c r="R442" s="76">
        <v>17</v>
      </c>
      <c r="S442" s="76">
        <f>STOCK[[#This Row],[Peso (g)]]*STOCK[[#This Row],[Precio Envío Kilogramo (USD)]]/1000</f>
        <v>2.72</v>
      </c>
      <c r="T442" s="76">
        <f>STOCK[[#This Row],[Costo Unitario (USD)]]+STOCK[[#This Row],[Costo Envío (USD)]]+STOCK[[#This Row],[Comisión 10%]]</f>
        <v>9.33363636363636</v>
      </c>
      <c r="U442" s="76">
        <f>STOCK[[#This Row],[Costo total]]*1.5</f>
        <v>14.0004545454545</v>
      </c>
      <c r="V442" s="76">
        <v>15</v>
      </c>
      <c r="W442" s="76">
        <f>STOCK[[#This Row],[Precio Final]]-STOCK[[#This Row],[Costo total]]</f>
        <v>5.66636363636364</v>
      </c>
      <c r="X442" s="76">
        <f>STOCK[[#This Row],[Ganancia Unitaria]]*STOCK[[#This Row],[Salidas]]</f>
        <v>0</v>
      </c>
      <c r="AA442" s="76">
        <f>STOCK[[#This Row],[Costo total]]*STOCK[[#This Row],[Entradas]]</f>
        <v>9.33363636363636</v>
      </c>
      <c r="AB442" s="76">
        <f>STOCK[[#This Row],[Stock Actual]]*STOCK[[#This Row],[Costo total]]</f>
        <v>9.33363636363636</v>
      </c>
    </row>
    <row r="443" s="77" customFormat="1" ht="50" hidden="1" customHeight="1" spans="1:28">
      <c r="A443" s="77" t="s">
        <v>930</v>
      </c>
      <c r="B443" s="6"/>
      <c r="C443" s="77" t="s">
        <v>30</v>
      </c>
      <c r="D443" s="77" t="s">
        <v>151</v>
      </c>
      <c r="E443" s="77" t="s">
        <v>929</v>
      </c>
      <c r="F443" s="77" t="s">
        <v>60</v>
      </c>
      <c r="G443" s="77" t="s">
        <v>34</v>
      </c>
      <c r="H443" s="77">
        <f>STOCK[[#This Row],[Precio Final]]</f>
        <v>15</v>
      </c>
      <c r="I443" s="77">
        <f>STOCK[[#This Row],[Precio Venta Ideal (x1.5)]]</f>
        <v>14.0004545454545</v>
      </c>
      <c r="J443" s="92">
        <v>2</v>
      </c>
      <c r="K443" s="92">
        <f>SUMIFS(VENTAS[Cantidad],VENTAS[Código del producto Vendido],STOCK[[#This Row],[Code]])</f>
        <v>1</v>
      </c>
      <c r="L443" s="92">
        <f>STOCK[[#This Row],[Entradas]]-STOCK[[#This Row],[Salidas]]</f>
        <v>1</v>
      </c>
      <c r="M443" s="77">
        <f>STOCK[[#This Row],[Precio Final]]*10%</f>
        <v>1.5</v>
      </c>
      <c r="N443" s="77">
        <v>90</v>
      </c>
      <c r="O443" s="77">
        <v>17.6</v>
      </c>
      <c r="P443" s="77">
        <v>5.11363636363636</v>
      </c>
      <c r="Q443" s="92">
        <v>160</v>
      </c>
      <c r="R443" s="77">
        <v>17</v>
      </c>
      <c r="S443" s="77">
        <f>STOCK[[#This Row],[Peso (g)]]*STOCK[[#This Row],[Precio Envío Kilogramo (USD)]]/1000</f>
        <v>2.72</v>
      </c>
      <c r="T443" s="76">
        <f>STOCK[[#This Row],[Costo Unitario (USD)]]+STOCK[[#This Row],[Costo Envío (USD)]]+STOCK[[#This Row],[Comisión 10%]]</f>
        <v>9.33363636363636</v>
      </c>
      <c r="U443" s="77">
        <f>STOCK[[#This Row],[Costo total]]*1.5</f>
        <v>14.0004545454545</v>
      </c>
      <c r="V443" s="77">
        <v>15</v>
      </c>
      <c r="W443" s="77">
        <f>STOCK[[#This Row],[Precio Final]]-STOCK[[#This Row],[Costo total]]</f>
        <v>5.66636363636364</v>
      </c>
      <c r="X443" s="77">
        <f>STOCK[[#This Row],[Ganancia Unitaria]]*STOCK[[#This Row],[Salidas]]</f>
        <v>5.66636363636364</v>
      </c>
      <c r="AA443" s="77">
        <f>STOCK[[#This Row],[Costo total]]*STOCK[[#This Row],[Entradas]]</f>
        <v>18.6672727272727</v>
      </c>
      <c r="AB443" s="77">
        <f>STOCK[[#This Row],[Stock Actual]]*STOCK[[#This Row],[Costo total]]</f>
        <v>9.33363636363636</v>
      </c>
    </row>
    <row r="444" s="76" customFormat="1" ht="50" hidden="1" customHeight="1" spans="1:28">
      <c r="A444" s="76" t="s">
        <v>931</v>
      </c>
      <c r="B444" s="6"/>
      <c r="C444" s="76" t="s">
        <v>30</v>
      </c>
      <c r="D444" s="76" t="s">
        <v>151</v>
      </c>
      <c r="E444" s="76" t="s">
        <v>929</v>
      </c>
      <c r="F444" s="76" t="s">
        <v>47</v>
      </c>
      <c r="G444" s="76" t="s">
        <v>34</v>
      </c>
      <c r="H444" s="76">
        <f>STOCK[[#This Row],[Precio Final]]</f>
        <v>15</v>
      </c>
      <c r="I444" s="76">
        <f>STOCK[[#This Row],[Precio Venta Ideal (x1.5)]]</f>
        <v>13.8729545454545</v>
      </c>
      <c r="J444" s="91">
        <v>2</v>
      </c>
      <c r="K444" s="91">
        <f>SUMIFS(VENTAS[Cantidad],VENTAS[Código del producto Vendido],STOCK[[#This Row],[Code]])</f>
        <v>1</v>
      </c>
      <c r="L444" s="91">
        <f>STOCK[[#This Row],[Entradas]]-STOCK[[#This Row],[Salidas]]</f>
        <v>1</v>
      </c>
      <c r="M444" s="76">
        <f>STOCK[[#This Row],[Precio Final]]*10%</f>
        <v>1.5</v>
      </c>
      <c r="N444" s="76">
        <v>90</v>
      </c>
      <c r="O444" s="76">
        <v>17.6</v>
      </c>
      <c r="P444" s="76">
        <v>5.11363636363636</v>
      </c>
      <c r="Q444" s="91">
        <v>155</v>
      </c>
      <c r="R444" s="76">
        <v>17</v>
      </c>
      <c r="S444" s="76">
        <f>STOCK[[#This Row],[Peso (g)]]*STOCK[[#This Row],[Precio Envío Kilogramo (USD)]]/1000</f>
        <v>2.635</v>
      </c>
      <c r="T444" s="76">
        <f>STOCK[[#This Row],[Costo Unitario (USD)]]+STOCK[[#This Row],[Costo Envío (USD)]]+STOCK[[#This Row],[Comisión 10%]]</f>
        <v>9.24863636363636</v>
      </c>
      <c r="U444" s="76">
        <f>STOCK[[#This Row],[Costo total]]*1.5</f>
        <v>13.8729545454545</v>
      </c>
      <c r="V444" s="76">
        <v>15</v>
      </c>
      <c r="W444" s="76">
        <f>STOCK[[#This Row],[Precio Final]]-STOCK[[#This Row],[Costo total]]</f>
        <v>5.75136363636364</v>
      </c>
      <c r="X444" s="76">
        <f>STOCK[[#This Row],[Ganancia Unitaria]]*STOCK[[#This Row],[Salidas]]</f>
        <v>5.75136363636364</v>
      </c>
      <c r="AA444" s="76">
        <f>STOCK[[#This Row],[Costo total]]*STOCK[[#This Row],[Entradas]]</f>
        <v>18.4972727272727</v>
      </c>
      <c r="AB444" s="76">
        <f>STOCK[[#This Row],[Stock Actual]]*STOCK[[#This Row],[Costo total]]</f>
        <v>9.24863636363636</v>
      </c>
    </row>
    <row r="445" s="77" customFormat="1" ht="50" hidden="1" customHeight="1" spans="1:28">
      <c r="A445" s="77" t="s">
        <v>932</v>
      </c>
      <c r="B445" s="6"/>
      <c r="C445" s="77" t="s">
        <v>30</v>
      </c>
      <c r="D445" s="77" t="s">
        <v>933</v>
      </c>
      <c r="E445" s="77" t="s">
        <v>929</v>
      </c>
      <c r="F445" s="77" t="s">
        <v>44</v>
      </c>
      <c r="G445" s="77" t="s">
        <v>34</v>
      </c>
      <c r="H445" s="77">
        <f>STOCK[[#This Row],[Precio Final]]</f>
        <v>15</v>
      </c>
      <c r="I445" s="77">
        <f>STOCK[[#This Row],[Precio Venta Ideal (x1.5)]]</f>
        <v>13.8729545454545</v>
      </c>
      <c r="J445" s="92">
        <v>2</v>
      </c>
      <c r="K445" s="92">
        <f>SUMIFS(VENTAS[Cantidad],VENTAS[Código del producto Vendido],STOCK[[#This Row],[Code]])</f>
        <v>1</v>
      </c>
      <c r="L445" s="92">
        <f>STOCK[[#This Row],[Entradas]]-STOCK[[#This Row],[Salidas]]</f>
        <v>1</v>
      </c>
      <c r="M445" s="77">
        <f>STOCK[[#This Row],[Precio Final]]*10%</f>
        <v>1.5</v>
      </c>
      <c r="N445" s="77">
        <v>90</v>
      </c>
      <c r="O445" s="77">
        <v>17.6</v>
      </c>
      <c r="P445" s="77">
        <v>5.11363636363636</v>
      </c>
      <c r="Q445" s="92">
        <v>155</v>
      </c>
      <c r="R445" s="77">
        <v>17</v>
      </c>
      <c r="S445" s="77">
        <f>STOCK[[#This Row],[Peso (g)]]*STOCK[[#This Row],[Precio Envío Kilogramo (USD)]]/1000</f>
        <v>2.635</v>
      </c>
      <c r="T445" s="76">
        <f>STOCK[[#This Row],[Costo Unitario (USD)]]+STOCK[[#This Row],[Costo Envío (USD)]]+STOCK[[#This Row],[Comisión 10%]]</f>
        <v>9.24863636363636</v>
      </c>
      <c r="U445" s="77">
        <f>STOCK[[#This Row],[Costo total]]*1.5</f>
        <v>13.8729545454545</v>
      </c>
      <c r="V445" s="77">
        <v>15</v>
      </c>
      <c r="W445" s="77">
        <f>STOCK[[#This Row],[Precio Final]]-STOCK[[#This Row],[Costo total]]</f>
        <v>5.75136363636364</v>
      </c>
      <c r="X445" s="77">
        <f>STOCK[[#This Row],[Ganancia Unitaria]]*STOCK[[#This Row],[Salidas]]</f>
        <v>5.75136363636364</v>
      </c>
      <c r="AA445" s="77">
        <f>STOCK[[#This Row],[Costo total]]*STOCK[[#This Row],[Entradas]]</f>
        <v>18.4972727272727</v>
      </c>
      <c r="AB445" s="77">
        <f>STOCK[[#This Row],[Stock Actual]]*STOCK[[#This Row],[Costo total]]</f>
        <v>9.24863636363636</v>
      </c>
    </row>
    <row r="446" s="76" customFormat="1" ht="50" hidden="1" customHeight="1" spans="1:28">
      <c r="A446" s="76" t="s">
        <v>934</v>
      </c>
      <c r="B446" s="6"/>
      <c r="C446" s="76" t="s">
        <v>30</v>
      </c>
      <c r="D446" s="76" t="s">
        <v>36</v>
      </c>
      <c r="E446" s="76" t="s">
        <v>912</v>
      </c>
      <c r="F446" s="76" t="s">
        <v>60</v>
      </c>
      <c r="G446" s="76" t="s">
        <v>34</v>
      </c>
      <c r="H446" s="76">
        <f>STOCK[[#This Row],[Precio Final]]</f>
        <v>25</v>
      </c>
      <c r="I446" s="76">
        <f>STOCK[[#This Row],[Precio Venta Ideal (x1.5)]]</f>
        <v>24.7847727272727</v>
      </c>
      <c r="J446" s="91">
        <v>2</v>
      </c>
      <c r="K446" s="91">
        <f>SUMIFS(VENTAS[Cantidad],VENTAS[Código del producto Vendido],STOCK[[#This Row],[Code]])</f>
        <v>2</v>
      </c>
      <c r="L446" s="91">
        <f>STOCK[[#This Row],[Entradas]]-STOCK[[#This Row],[Salidas]]</f>
        <v>0</v>
      </c>
      <c r="M446" s="76">
        <f>STOCK[[#This Row],[Precio Final]]*10%</f>
        <v>2.5</v>
      </c>
      <c r="N446" s="76">
        <v>175</v>
      </c>
      <c r="O446" s="76">
        <v>17.6</v>
      </c>
      <c r="P446" s="76">
        <v>9.94318181818182</v>
      </c>
      <c r="Q446" s="91">
        <v>240</v>
      </c>
      <c r="R446" s="76">
        <v>17</v>
      </c>
      <c r="S446" s="76">
        <f>STOCK[[#This Row],[Peso (g)]]*STOCK[[#This Row],[Precio Envío Kilogramo (USD)]]/1000</f>
        <v>4.08</v>
      </c>
      <c r="T446" s="76">
        <f>STOCK[[#This Row],[Costo Unitario (USD)]]+STOCK[[#This Row],[Costo Envío (USD)]]+STOCK[[#This Row],[Comisión 10%]]</f>
        <v>16.5231818181818</v>
      </c>
      <c r="U446" s="76">
        <f>STOCK[[#This Row],[Costo total]]*1.5</f>
        <v>24.7847727272727</v>
      </c>
      <c r="V446" s="76">
        <v>25</v>
      </c>
      <c r="W446" s="76">
        <f>STOCK[[#This Row],[Precio Final]]-STOCK[[#This Row],[Costo total]]</f>
        <v>8.47681818181818</v>
      </c>
      <c r="X446" s="76">
        <f>STOCK[[#This Row],[Ganancia Unitaria]]*STOCK[[#This Row],[Salidas]]</f>
        <v>16.9536363636364</v>
      </c>
      <c r="Y446" s="76" t="s">
        <v>894</v>
      </c>
      <c r="AA446" s="76">
        <f>STOCK[[#This Row],[Costo total]]*STOCK[[#This Row],[Entradas]]</f>
        <v>33.0463636363636</v>
      </c>
      <c r="AB446" s="76">
        <f>STOCK[[#This Row],[Stock Actual]]*STOCK[[#This Row],[Costo total]]</f>
        <v>0</v>
      </c>
    </row>
    <row r="447" s="77" customFormat="1" ht="50" hidden="1" customHeight="1" spans="1:28">
      <c r="A447" s="77" t="s">
        <v>935</v>
      </c>
      <c r="B447" s="6"/>
      <c r="C447" s="77" t="s">
        <v>30</v>
      </c>
      <c r="D447" s="77" t="s">
        <v>36</v>
      </c>
      <c r="E447" s="77" t="s">
        <v>936</v>
      </c>
      <c r="F447" s="77" t="s">
        <v>47</v>
      </c>
      <c r="G447" s="77" t="s">
        <v>34</v>
      </c>
      <c r="H447" s="77">
        <f>STOCK[[#This Row],[Precio Final]]</f>
        <v>25</v>
      </c>
      <c r="I447" s="77">
        <f>STOCK[[#This Row],[Precio Venta Ideal (x1.5)]]</f>
        <v>24.7847727272727</v>
      </c>
      <c r="J447" s="92">
        <v>4</v>
      </c>
      <c r="K447" s="92">
        <f>SUMIFS(VENTAS[Cantidad],VENTAS[Código del producto Vendido],STOCK[[#This Row],[Code]])</f>
        <v>4</v>
      </c>
      <c r="L447" s="92">
        <f>STOCK[[#This Row],[Entradas]]-STOCK[[#This Row],[Salidas]]</f>
        <v>0</v>
      </c>
      <c r="M447" s="77">
        <f>STOCK[[#This Row],[Precio Final]]*10%</f>
        <v>2.5</v>
      </c>
      <c r="N447" s="77">
        <v>175</v>
      </c>
      <c r="O447" s="77">
        <v>17.6</v>
      </c>
      <c r="P447" s="77">
        <v>9.94318181818182</v>
      </c>
      <c r="Q447" s="92">
        <v>240</v>
      </c>
      <c r="R447" s="77">
        <v>17</v>
      </c>
      <c r="S447" s="77">
        <f>STOCK[[#This Row],[Peso (g)]]*STOCK[[#This Row],[Precio Envío Kilogramo (USD)]]/1000</f>
        <v>4.08</v>
      </c>
      <c r="T447" s="76">
        <f>STOCK[[#This Row],[Costo Unitario (USD)]]+STOCK[[#This Row],[Costo Envío (USD)]]+STOCK[[#This Row],[Comisión 10%]]</f>
        <v>16.5231818181818</v>
      </c>
      <c r="U447" s="77">
        <f>STOCK[[#This Row],[Costo total]]*1.5</f>
        <v>24.7847727272727</v>
      </c>
      <c r="V447" s="77">
        <v>25</v>
      </c>
      <c r="W447" s="77">
        <f>STOCK[[#This Row],[Precio Final]]-STOCK[[#This Row],[Costo total]]</f>
        <v>8.47681818181818</v>
      </c>
      <c r="X447" s="77">
        <f>STOCK[[#This Row],[Ganancia Unitaria]]*STOCK[[#This Row],[Salidas]]</f>
        <v>33.9072727272727</v>
      </c>
      <c r="AA447" s="77">
        <f>STOCK[[#This Row],[Costo total]]*STOCK[[#This Row],[Entradas]]</f>
        <v>66.0927272727273</v>
      </c>
      <c r="AB447" s="77">
        <f>STOCK[[#This Row],[Stock Actual]]*STOCK[[#This Row],[Costo total]]</f>
        <v>0</v>
      </c>
    </row>
    <row r="448" s="76" customFormat="1" ht="50" hidden="1" customHeight="1" spans="1:28">
      <c r="A448" s="76" t="s">
        <v>937</v>
      </c>
      <c r="B448" s="6"/>
      <c r="C448" s="76" t="s">
        <v>30</v>
      </c>
      <c r="D448" s="76" t="s">
        <v>42</v>
      </c>
      <c r="E448" s="76" t="s">
        <v>938</v>
      </c>
      <c r="F448" s="76" t="s">
        <v>40</v>
      </c>
      <c r="G448" s="76" t="s">
        <v>34</v>
      </c>
      <c r="H448" s="76">
        <f>STOCK[[#This Row],[Precio Final]]</f>
        <v>30</v>
      </c>
      <c r="I448" s="76">
        <f>STOCK[[#This Row],[Precio Venta Ideal (x1.5)]]</f>
        <v>33.0279545454546</v>
      </c>
      <c r="J448" s="91">
        <v>1</v>
      </c>
      <c r="K448" s="91">
        <f>SUMIFS(VENTAS[Cantidad],VENTAS[Código del producto Vendido],STOCK[[#This Row],[Code]])</f>
        <v>1</v>
      </c>
      <c r="L448" s="91">
        <f>STOCK[[#This Row],[Entradas]]-STOCK[[#This Row],[Salidas]]</f>
        <v>0</v>
      </c>
      <c r="M448" s="76">
        <f>STOCK[[#This Row],[Precio Final]]*10%</f>
        <v>3</v>
      </c>
      <c r="N448" s="76">
        <v>233</v>
      </c>
      <c r="O448" s="76">
        <v>17.6</v>
      </c>
      <c r="P448" s="76">
        <v>13.2386363636364</v>
      </c>
      <c r="Q448" s="91">
        <v>340</v>
      </c>
      <c r="R448" s="76">
        <v>17</v>
      </c>
      <c r="S448" s="76">
        <f>STOCK[[#This Row],[Peso (g)]]*STOCK[[#This Row],[Precio Envío Kilogramo (USD)]]/1000</f>
        <v>5.78</v>
      </c>
      <c r="T448" s="76">
        <f>STOCK[[#This Row],[Costo Unitario (USD)]]+STOCK[[#This Row],[Costo Envío (USD)]]+STOCK[[#This Row],[Comisión 10%]]</f>
        <v>22.0186363636364</v>
      </c>
      <c r="U448" s="76">
        <f>STOCK[[#This Row],[Costo total]]*1.5</f>
        <v>33.0279545454546</v>
      </c>
      <c r="V448" s="76">
        <v>30</v>
      </c>
      <c r="W448" s="76">
        <f>STOCK[[#This Row],[Precio Final]]-STOCK[[#This Row],[Costo total]]</f>
        <v>7.9813636363636</v>
      </c>
      <c r="X448" s="76">
        <f>STOCK[[#This Row],[Ganancia Unitaria]]*STOCK[[#This Row],[Salidas]]</f>
        <v>7.9813636363636</v>
      </c>
      <c r="Y448" s="76" t="s">
        <v>894</v>
      </c>
      <c r="AA448" s="76">
        <f>STOCK[[#This Row],[Costo total]]*STOCK[[#This Row],[Entradas]]</f>
        <v>22.0186363636364</v>
      </c>
      <c r="AB448" s="76">
        <f>STOCK[[#This Row],[Stock Actual]]*STOCK[[#This Row],[Costo total]]</f>
        <v>0</v>
      </c>
    </row>
    <row r="449" s="77" customFormat="1" ht="50" hidden="1" customHeight="1" spans="1:28">
      <c r="A449" s="77" t="s">
        <v>939</v>
      </c>
      <c r="B449" s="6"/>
      <c r="C449" s="77" t="s">
        <v>30</v>
      </c>
      <c r="D449" s="77" t="s">
        <v>42</v>
      </c>
      <c r="E449" s="77" t="s">
        <v>940</v>
      </c>
      <c r="F449" s="77" t="s">
        <v>44</v>
      </c>
      <c r="G449" s="77" t="s">
        <v>34</v>
      </c>
      <c r="H449" s="77">
        <f>STOCK[[#This Row],[Precio Final]]</f>
        <v>30</v>
      </c>
      <c r="I449" s="77">
        <f>STOCK[[#This Row],[Precio Venta Ideal (x1.5)]]</f>
        <v>33.0279545454546</v>
      </c>
      <c r="J449" s="92">
        <v>2</v>
      </c>
      <c r="K449" s="92">
        <f>SUMIFS(VENTAS[Cantidad],VENTAS[Código del producto Vendido],STOCK[[#This Row],[Code]])</f>
        <v>2</v>
      </c>
      <c r="L449" s="92">
        <f>STOCK[[#This Row],[Entradas]]-STOCK[[#This Row],[Salidas]]</f>
        <v>0</v>
      </c>
      <c r="M449" s="77">
        <f>STOCK[[#This Row],[Precio Final]]*10%</f>
        <v>3</v>
      </c>
      <c r="N449" s="77">
        <v>233</v>
      </c>
      <c r="O449" s="77">
        <v>17.6</v>
      </c>
      <c r="P449" s="77">
        <v>13.2386363636364</v>
      </c>
      <c r="Q449" s="92">
        <v>340</v>
      </c>
      <c r="R449" s="77">
        <v>17</v>
      </c>
      <c r="S449" s="77">
        <f>STOCK[[#This Row],[Peso (g)]]*STOCK[[#This Row],[Precio Envío Kilogramo (USD)]]/1000</f>
        <v>5.78</v>
      </c>
      <c r="T449" s="76">
        <f>STOCK[[#This Row],[Costo Unitario (USD)]]+STOCK[[#This Row],[Costo Envío (USD)]]+STOCK[[#This Row],[Comisión 10%]]</f>
        <v>22.0186363636364</v>
      </c>
      <c r="U449" s="77">
        <f>STOCK[[#This Row],[Costo total]]*1.5</f>
        <v>33.0279545454546</v>
      </c>
      <c r="V449" s="77">
        <v>30</v>
      </c>
      <c r="W449" s="77">
        <f>STOCK[[#This Row],[Precio Final]]-STOCK[[#This Row],[Costo total]]</f>
        <v>7.9813636363636</v>
      </c>
      <c r="X449" s="77">
        <f>STOCK[[#This Row],[Ganancia Unitaria]]*STOCK[[#This Row],[Salidas]]</f>
        <v>15.9627272727272</v>
      </c>
      <c r="Y449" s="77" t="s">
        <v>926</v>
      </c>
      <c r="AA449" s="77">
        <f>STOCK[[#This Row],[Costo total]]*STOCK[[#This Row],[Entradas]]</f>
        <v>44.0372727272728</v>
      </c>
      <c r="AB449" s="77">
        <f>STOCK[[#This Row],[Stock Actual]]*STOCK[[#This Row],[Costo total]]</f>
        <v>0</v>
      </c>
    </row>
    <row r="450" s="76" customFormat="1" ht="50" hidden="1" customHeight="1" spans="1:28">
      <c r="A450" s="76" t="s">
        <v>941</v>
      </c>
      <c r="B450" s="6"/>
      <c r="C450" s="76" t="s">
        <v>30</v>
      </c>
      <c r="D450" s="76" t="s">
        <v>42</v>
      </c>
      <c r="E450" s="76" t="s">
        <v>940</v>
      </c>
      <c r="F450" s="76" t="s">
        <v>60</v>
      </c>
      <c r="G450" s="76" t="s">
        <v>34</v>
      </c>
      <c r="H450" s="76">
        <f>STOCK[[#This Row],[Precio Final]]</f>
        <v>30</v>
      </c>
      <c r="I450" s="76">
        <f>STOCK[[#This Row],[Precio Venta Ideal (x1.5)]]</f>
        <v>32.7729545454546</v>
      </c>
      <c r="J450" s="91">
        <v>1</v>
      </c>
      <c r="K450" s="91">
        <f>SUMIFS(VENTAS[Cantidad],VENTAS[Código del producto Vendido],STOCK[[#This Row],[Code]])</f>
        <v>1</v>
      </c>
      <c r="L450" s="91">
        <f>STOCK[[#This Row],[Entradas]]-STOCK[[#This Row],[Salidas]]</f>
        <v>0</v>
      </c>
      <c r="M450" s="76">
        <f>STOCK[[#This Row],[Precio Final]]*10%</f>
        <v>3</v>
      </c>
      <c r="N450" s="76">
        <v>233</v>
      </c>
      <c r="O450" s="76">
        <v>17.6</v>
      </c>
      <c r="P450" s="76">
        <v>13.2386363636364</v>
      </c>
      <c r="Q450" s="91">
        <v>330</v>
      </c>
      <c r="R450" s="76">
        <v>17</v>
      </c>
      <c r="S450" s="76">
        <f>STOCK[[#This Row],[Peso (g)]]*STOCK[[#This Row],[Precio Envío Kilogramo (USD)]]/1000</f>
        <v>5.61</v>
      </c>
      <c r="T450" s="76">
        <f>STOCK[[#This Row],[Costo Unitario (USD)]]+STOCK[[#This Row],[Costo Envío (USD)]]+STOCK[[#This Row],[Comisión 10%]]</f>
        <v>21.8486363636364</v>
      </c>
      <c r="U450" s="76">
        <f>STOCK[[#This Row],[Costo total]]*1.5</f>
        <v>32.7729545454546</v>
      </c>
      <c r="V450" s="76">
        <v>30</v>
      </c>
      <c r="W450" s="76">
        <f>STOCK[[#This Row],[Precio Final]]-STOCK[[#This Row],[Costo total]]</f>
        <v>8.1513636363636</v>
      </c>
      <c r="X450" s="76">
        <f>STOCK[[#This Row],[Ganancia Unitaria]]*STOCK[[#This Row],[Salidas]]</f>
        <v>8.1513636363636</v>
      </c>
      <c r="Y450" s="76" t="s">
        <v>894</v>
      </c>
      <c r="AA450" s="76">
        <f>STOCK[[#This Row],[Costo total]]*STOCK[[#This Row],[Entradas]]</f>
        <v>21.8486363636364</v>
      </c>
      <c r="AB450" s="76">
        <f>STOCK[[#This Row],[Stock Actual]]*STOCK[[#This Row],[Costo total]]</f>
        <v>0</v>
      </c>
    </row>
    <row r="451" s="77" customFormat="1" ht="50" hidden="1" customHeight="1" spans="1:28">
      <c r="A451" s="77" t="s">
        <v>942</v>
      </c>
      <c r="B451" s="6"/>
      <c r="C451" s="77" t="s">
        <v>30</v>
      </c>
      <c r="D451" s="77" t="s">
        <v>42</v>
      </c>
      <c r="E451" s="77" t="s">
        <v>940</v>
      </c>
      <c r="F451" s="77" t="s">
        <v>47</v>
      </c>
      <c r="G451" s="77" t="s">
        <v>34</v>
      </c>
      <c r="H451" s="77">
        <f>STOCK[[#This Row],[Precio Final]]</f>
        <v>30</v>
      </c>
      <c r="I451" s="77">
        <f>STOCK[[#This Row],[Precio Venta Ideal (x1.5)]]</f>
        <v>33.0279545454546</v>
      </c>
      <c r="J451" s="92">
        <v>2</v>
      </c>
      <c r="K451" s="92">
        <f>SUMIFS(VENTAS[Cantidad],VENTAS[Código del producto Vendido],STOCK[[#This Row],[Code]])</f>
        <v>2</v>
      </c>
      <c r="L451" s="92">
        <f>STOCK[[#This Row],[Entradas]]-STOCK[[#This Row],[Salidas]]</f>
        <v>0</v>
      </c>
      <c r="M451" s="77">
        <f>STOCK[[#This Row],[Precio Final]]*10%</f>
        <v>3</v>
      </c>
      <c r="N451" s="77">
        <v>233</v>
      </c>
      <c r="O451" s="77">
        <v>17.6</v>
      </c>
      <c r="P451" s="77">
        <v>13.2386363636364</v>
      </c>
      <c r="Q451" s="92">
        <v>340</v>
      </c>
      <c r="R451" s="77">
        <v>17</v>
      </c>
      <c r="S451" s="77">
        <f>STOCK[[#This Row],[Peso (g)]]*STOCK[[#This Row],[Precio Envío Kilogramo (USD)]]/1000</f>
        <v>5.78</v>
      </c>
      <c r="T451" s="76">
        <f>STOCK[[#This Row],[Costo Unitario (USD)]]+STOCK[[#This Row],[Costo Envío (USD)]]+STOCK[[#This Row],[Comisión 10%]]</f>
        <v>22.0186363636364</v>
      </c>
      <c r="U451" s="77">
        <f>STOCK[[#This Row],[Costo total]]*1.5</f>
        <v>33.0279545454546</v>
      </c>
      <c r="V451" s="77">
        <v>30</v>
      </c>
      <c r="W451" s="77">
        <f>STOCK[[#This Row],[Precio Final]]-STOCK[[#This Row],[Costo total]]</f>
        <v>7.9813636363636</v>
      </c>
      <c r="X451" s="77">
        <f>STOCK[[#This Row],[Ganancia Unitaria]]*STOCK[[#This Row],[Salidas]]</f>
        <v>15.9627272727272</v>
      </c>
      <c r="Y451" s="77" t="s">
        <v>894</v>
      </c>
      <c r="AA451" s="77">
        <f>STOCK[[#This Row],[Costo total]]*STOCK[[#This Row],[Entradas]]</f>
        <v>44.0372727272728</v>
      </c>
      <c r="AB451" s="77">
        <f>STOCK[[#This Row],[Stock Actual]]*STOCK[[#This Row],[Costo total]]</f>
        <v>0</v>
      </c>
    </row>
    <row r="452" s="76" customFormat="1" ht="50" hidden="1" customHeight="1" spans="1:28">
      <c r="A452" s="76" t="s">
        <v>943</v>
      </c>
      <c r="B452" s="6"/>
      <c r="C452" s="76" t="s">
        <v>30</v>
      </c>
      <c r="D452" s="76" t="s">
        <v>173</v>
      </c>
      <c r="E452" s="76" t="s">
        <v>944</v>
      </c>
      <c r="F452" s="76" t="s">
        <v>47</v>
      </c>
      <c r="G452" s="76" t="s">
        <v>34</v>
      </c>
      <c r="H452" s="76">
        <f>STOCK[[#This Row],[Precio Final]]</f>
        <v>12</v>
      </c>
      <c r="I452" s="76">
        <f>STOCK[[#This Row],[Precio Venta Ideal (x1.5)]]</f>
        <v>12.6136363636364</v>
      </c>
      <c r="J452" s="91">
        <v>1</v>
      </c>
      <c r="K452" s="91">
        <f>SUMIFS(VENTAS[Cantidad],VENTAS[Código del producto Vendido],STOCK[[#This Row],[Code]])</f>
        <v>1</v>
      </c>
      <c r="L452" s="91">
        <f>STOCK[[#This Row],[Entradas]]-STOCK[[#This Row],[Salidas]]</f>
        <v>0</v>
      </c>
      <c r="M452" s="76">
        <f>STOCK[[#This Row],[Precio Final]]*10%</f>
        <v>1.2</v>
      </c>
      <c r="N452" s="76">
        <v>82</v>
      </c>
      <c r="O452" s="76">
        <v>17.6</v>
      </c>
      <c r="P452" s="76">
        <v>4.65909090909091</v>
      </c>
      <c r="Q452" s="91">
        <v>150</v>
      </c>
      <c r="R452" s="76">
        <v>17</v>
      </c>
      <c r="S452" s="76">
        <f>STOCK[[#This Row],[Peso (g)]]*STOCK[[#This Row],[Precio Envío Kilogramo (USD)]]/1000</f>
        <v>2.55</v>
      </c>
      <c r="T452" s="76">
        <f>STOCK[[#This Row],[Costo Unitario (USD)]]+STOCK[[#This Row],[Costo Envío (USD)]]+STOCK[[#This Row],[Comisión 10%]]</f>
        <v>8.40909090909091</v>
      </c>
      <c r="U452" s="76">
        <f>STOCK[[#This Row],[Costo total]]*1.5</f>
        <v>12.6136363636364</v>
      </c>
      <c r="V452" s="76">
        <v>12</v>
      </c>
      <c r="W452" s="76">
        <f>STOCK[[#This Row],[Precio Final]]-STOCK[[#This Row],[Costo total]]</f>
        <v>3.59090909090909</v>
      </c>
      <c r="X452" s="76">
        <f>STOCK[[#This Row],[Ganancia Unitaria]]*STOCK[[#This Row],[Salidas]]</f>
        <v>3.59090909090909</v>
      </c>
      <c r="Y452" s="76" t="s">
        <v>926</v>
      </c>
      <c r="AA452" s="76">
        <f>STOCK[[#This Row],[Costo total]]*STOCK[[#This Row],[Entradas]]</f>
        <v>8.40909090909091</v>
      </c>
      <c r="AB452" s="76">
        <f>STOCK[[#This Row],[Stock Actual]]*STOCK[[#This Row],[Costo total]]</f>
        <v>0</v>
      </c>
    </row>
    <row r="453" s="77" customFormat="1" ht="50" hidden="1" customHeight="1" spans="1:28">
      <c r="A453" s="77" t="s">
        <v>945</v>
      </c>
      <c r="B453" s="6"/>
      <c r="C453" s="77" t="s">
        <v>30</v>
      </c>
      <c r="D453" s="77" t="s">
        <v>173</v>
      </c>
      <c r="E453" s="77" t="s">
        <v>946</v>
      </c>
      <c r="F453" s="77" t="s">
        <v>947</v>
      </c>
      <c r="G453" s="77" t="s">
        <v>34</v>
      </c>
      <c r="H453" s="77">
        <f>STOCK[[#This Row],[Precio Final]]</f>
        <v>12</v>
      </c>
      <c r="I453" s="77">
        <f>STOCK[[#This Row],[Precio Venta Ideal (x1.5)]]</f>
        <v>12.6136363636364</v>
      </c>
      <c r="J453" s="92">
        <v>1</v>
      </c>
      <c r="K453" s="92">
        <f>SUMIFS(VENTAS[Cantidad],VENTAS[Código del producto Vendido],STOCK[[#This Row],[Code]])</f>
        <v>1</v>
      </c>
      <c r="L453" s="92">
        <f>STOCK[[#This Row],[Entradas]]-STOCK[[#This Row],[Salidas]]</f>
        <v>0</v>
      </c>
      <c r="M453" s="77">
        <f>STOCK[[#This Row],[Precio Final]]*10%</f>
        <v>1.2</v>
      </c>
      <c r="N453" s="77">
        <v>82</v>
      </c>
      <c r="O453" s="77">
        <v>17.6</v>
      </c>
      <c r="P453" s="77">
        <v>4.65909090909091</v>
      </c>
      <c r="Q453" s="92">
        <v>150</v>
      </c>
      <c r="R453" s="77">
        <v>17</v>
      </c>
      <c r="S453" s="77">
        <f>STOCK[[#This Row],[Peso (g)]]*STOCK[[#This Row],[Precio Envío Kilogramo (USD)]]/1000</f>
        <v>2.55</v>
      </c>
      <c r="T453" s="76">
        <f>STOCK[[#This Row],[Costo Unitario (USD)]]+STOCK[[#This Row],[Costo Envío (USD)]]+STOCK[[#This Row],[Comisión 10%]]</f>
        <v>8.40909090909091</v>
      </c>
      <c r="U453" s="77">
        <f>STOCK[[#This Row],[Costo total]]*1.5</f>
        <v>12.6136363636364</v>
      </c>
      <c r="V453" s="77">
        <v>12</v>
      </c>
      <c r="W453" s="77">
        <f>STOCK[[#This Row],[Precio Final]]-STOCK[[#This Row],[Costo total]]</f>
        <v>3.59090909090909</v>
      </c>
      <c r="X453" s="77">
        <f>STOCK[[#This Row],[Ganancia Unitaria]]*STOCK[[#This Row],[Salidas]]</f>
        <v>3.59090909090909</v>
      </c>
      <c r="Y453" s="77" t="s">
        <v>926</v>
      </c>
      <c r="AA453" s="77">
        <f>STOCK[[#This Row],[Costo total]]*STOCK[[#This Row],[Entradas]]</f>
        <v>8.40909090909091</v>
      </c>
      <c r="AB453" s="77">
        <f>STOCK[[#This Row],[Stock Actual]]*STOCK[[#This Row],[Costo total]]</f>
        <v>0</v>
      </c>
    </row>
    <row r="454" s="76" customFormat="1" ht="50" hidden="1" customHeight="1" spans="1:28">
      <c r="A454" s="76" t="s">
        <v>948</v>
      </c>
      <c r="B454" s="6"/>
      <c r="C454" s="76" t="s">
        <v>30</v>
      </c>
      <c r="D454" s="76" t="s">
        <v>151</v>
      </c>
      <c r="E454" s="76" t="s">
        <v>949</v>
      </c>
      <c r="F454" s="76" t="s">
        <v>38</v>
      </c>
      <c r="G454" s="76" t="s">
        <v>34</v>
      </c>
      <c r="H454" s="76">
        <f>STOCK[[#This Row],[Precio Final]]</f>
        <v>25</v>
      </c>
      <c r="I454" s="76">
        <f>STOCK[[#This Row],[Precio Venta Ideal (x1.5)]]</f>
        <v>26.0570454545454</v>
      </c>
      <c r="J454" s="91">
        <v>2</v>
      </c>
      <c r="K454" s="91">
        <f>SUMIFS(VENTAS[Cantidad],VENTAS[Código del producto Vendido],STOCK[[#This Row],[Code]])</f>
        <v>2</v>
      </c>
      <c r="L454" s="91">
        <f>STOCK[[#This Row],[Entradas]]-STOCK[[#This Row],[Salidas]]</f>
        <v>0</v>
      </c>
      <c r="M454" s="76">
        <f>STOCK[[#This Row],[Precio Final]]*10%</f>
        <v>2.5</v>
      </c>
      <c r="N454" s="76">
        <v>163</v>
      </c>
      <c r="O454" s="76">
        <v>17.6</v>
      </c>
      <c r="P454" s="76">
        <v>9.26136363636363</v>
      </c>
      <c r="Q454" s="91">
        <v>330</v>
      </c>
      <c r="R454" s="76">
        <v>17</v>
      </c>
      <c r="S454" s="76">
        <f>STOCK[[#This Row],[Peso (g)]]*STOCK[[#This Row],[Precio Envío Kilogramo (USD)]]/1000</f>
        <v>5.61</v>
      </c>
      <c r="T454" s="76">
        <f>STOCK[[#This Row],[Costo Unitario (USD)]]+STOCK[[#This Row],[Costo Envío (USD)]]+STOCK[[#This Row],[Comisión 10%]]</f>
        <v>17.3713636363636</v>
      </c>
      <c r="U454" s="76">
        <f>STOCK[[#This Row],[Costo total]]*1.5</f>
        <v>26.0570454545454</v>
      </c>
      <c r="V454" s="76">
        <v>25</v>
      </c>
      <c r="W454" s="76">
        <f>STOCK[[#This Row],[Precio Final]]-STOCK[[#This Row],[Costo total]]</f>
        <v>7.62863636363637</v>
      </c>
      <c r="X454" s="76">
        <f>STOCK[[#This Row],[Ganancia Unitaria]]*STOCK[[#This Row],[Salidas]]</f>
        <v>15.2572727272727</v>
      </c>
      <c r="Y454" s="76" t="s">
        <v>926</v>
      </c>
      <c r="AA454" s="76">
        <f>STOCK[[#This Row],[Costo total]]*STOCK[[#This Row],[Entradas]]</f>
        <v>34.7427272727273</v>
      </c>
      <c r="AB454" s="76">
        <f>STOCK[[#This Row],[Stock Actual]]*STOCK[[#This Row],[Costo total]]</f>
        <v>0</v>
      </c>
    </row>
    <row r="455" s="77" customFormat="1" ht="50" hidden="1" customHeight="1" spans="1:28">
      <c r="A455" s="77" t="s">
        <v>950</v>
      </c>
      <c r="B455" s="6"/>
      <c r="C455" s="77" t="s">
        <v>30</v>
      </c>
      <c r="D455" s="77" t="s">
        <v>151</v>
      </c>
      <c r="E455" s="77" t="s">
        <v>949</v>
      </c>
      <c r="F455" s="77" t="s">
        <v>60</v>
      </c>
      <c r="G455" s="77" t="s">
        <v>34</v>
      </c>
      <c r="H455" s="77">
        <f>STOCK[[#This Row],[Precio Final]]</f>
        <v>25</v>
      </c>
      <c r="I455" s="77">
        <f>STOCK[[#This Row],[Precio Venta Ideal (x1.5)]]</f>
        <v>26.0570454545454</v>
      </c>
      <c r="J455" s="92">
        <v>3</v>
      </c>
      <c r="K455" s="92">
        <f>SUMIFS(VENTAS[Cantidad],VENTAS[Código del producto Vendido],STOCK[[#This Row],[Code]])</f>
        <v>3</v>
      </c>
      <c r="L455" s="92">
        <f>STOCK[[#This Row],[Entradas]]-STOCK[[#This Row],[Salidas]]</f>
        <v>0</v>
      </c>
      <c r="M455" s="77">
        <f>STOCK[[#This Row],[Precio Final]]*10%</f>
        <v>2.5</v>
      </c>
      <c r="N455" s="77">
        <v>163</v>
      </c>
      <c r="O455" s="77">
        <v>17.6</v>
      </c>
      <c r="P455" s="77">
        <v>9.26136363636363</v>
      </c>
      <c r="Q455" s="92">
        <v>330</v>
      </c>
      <c r="R455" s="77">
        <v>17</v>
      </c>
      <c r="S455" s="77">
        <f>STOCK[[#This Row],[Peso (g)]]*STOCK[[#This Row],[Precio Envío Kilogramo (USD)]]/1000</f>
        <v>5.61</v>
      </c>
      <c r="T455" s="76">
        <f>STOCK[[#This Row],[Costo Unitario (USD)]]+STOCK[[#This Row],[Costo Envío (USD)]]+STOCK[[#This Row],[Comisión 10%]]</f>
        <v>17.3713636363636</v>
      </c>
      <c r="U455" s="77">
        <f>STOCK[[#This Row],[Costo total]]*1.5</f>
        <v>26.0570454545454</v>
      </c>
      <c r="V455" s="77">
        <v>25</v>
      </c>
      <c r="W455" s="77">
        <f>STOCK[[#This Row],[Precio Final]]-STOCK[[#This Row],[Costo total]]</f>
        <v>7.62863636363637</v>
      </c>
      <c r="X455" s="77">
        <f>STOCK[[#This Row],[Ganancia Unitaria]]*STOCK[[#This Row],[Salidas]]</f>
        <v>22.8859090909091</v>
      </c>
      <c r="Y455" s="77" t="s">
        <v>926</v>
      </c>
      <c r="AA455" s="77">
        <f>STOCK[[#This Row],[Costo total]]*STOCK[[#This Row],[Entradas]]</f>
        <v>52.1140909090909</v>
      </c>
      <c r="AB455" s="77">
        <f>STOCK[[#This Row],[Stock Actual]]*STOCK[[#This Row],[Costo total]]</f>
        <v>0</v>
      </c>
    </row>
    <row r="456" s="76" customFormat="1" ht="50" hidden="1" customHeight="1" spans="1:28">
      <c r="A456" s="76" t="s">
        <v>951</v>
      </c>
      <c r="B456" s="6"/>
      <c r="C456" s="76" t="s">
        <v>30</v>
      </c>
      <c r="D456" s="76" t="s">
        <v>151</v>
      </c>
      <c r="E456" s="76" t="s">
        <v>949</v>
      </c>
      <c r="F456" s="76" t="s">
        <v>47</v>
      </c>
      <c r="G456" s="76" t="s">
        <v>34</v>
      </c>
      <c r="H456" s="76">
        <f>STOCK[[#This Row],[Precio Final]]</f>
        <v>25</v>
      </c>
      <c r="I456" s="76">
        <f>STOCK[[#This Row],[Precio Venta Ideal (x1.5)]]</f>
        <v>26.0570454545454</v>
      </c>
      <c r="J456" s="91">
        <v>2</v>
      </c>
      <c r="K456" s="91">
        <f>SUMIFS(VENTAS[Cantidad],VENTAS[Código del producto Vendido],STOCK[[#This Row],[Code]])</f>
        <v>2</v>
      </c>
      <c r="L456" s="91">
        <f>STOCK[[#This Row],[Entradas]]-STOCK[[#This Row],[Salidas]]</f>
        <v>0</v>
      </c>
      <c r="M456" s="76">
        <f>STOCK[[#This Row],[Precio Final]]*10%</f>
        <v>2.5</v>
      </c>
      <c r="N456" s="76">
        <v>163</v>
      </c>
      <c r="O456" s="76">
        <v>17.6</v>
      </c>
      <c r="P456" s="76">
        <v>9.26136363636363</v>
      </c>
      <c r="Q456" s="91">
        <v>330</v>
      </c>
      <c r="R456" s="76">
        <v>17</v>
      </c>
      <c r="S456" s="76">
        <f>STOCK[[#This Row],[Peso (g)]]*STOCK[[#This Row],[Precio Envío Kilogramo (USD)]]/1000</f>
        <v>5.61</v>
      </c>
      <c r="T456" s="76">
        <f>STOCK[[#This Row],[Costo Unitario (USD)]]+STOCK[[#This Row],[Costo Envío (USD)]]+STOCK[[#This Row],[Comisión 10%]]</f>
        <v>17.3713636363636</v>
      </c>
      <c r="U456" s="76">
        <f>STOCK[[#This Row],[Costo total]]*1.5</f>
        <v>26.0570454545454</v>
      </c>
      <c r="V456" s="76">
        <v>25</v>
      </c>
      <c r="W456" s="76">
        <f>STOCK[[#This Row],[Precio Final]]-STOCK[[#This Row],[Costo total]]</f>
        <v>7.62863636363637</v>
      </c>
      <c r="X456" s="76">
        <f>STOCK[[#This Row],[Ganancia Unitaria]]*STOCK[[#This Row],[Salidas]]</f>
        <v>15.2572727272727</v>
      </c>
      <c r="Y456" s="76" t="s">
        <v>894</v>
      </c>
      <c r="AA456" s="76">
        <f>STOCK[[#This Row],[Costo total]]*STOCK[[#This Row],[Entradas]]</f>
        <v>34.7427272727273</v>
      </c>
      <c r="AB456" s="76">
        <f>STOCK[[#This Row],[Stock Actual]]*STOCK[[#This Row],[Costo total]]</f>
        <v>0</v>
      </c>
    </row>
    <row r="457" s="77" customFormat="1" ht="50" hidden="1" customHeight="1" spans="1:28">
      <c r="A457" s="77" t="s">
        <v>952</v>
      </c>
      <c r="B457" s="6"/>
      <c r="C457" s="77" t="s">
        <v>30</v>
      </c>
      <c r="D457" s="77" t="s">
        <v>123</v>
      </c>
      <c r="E457" s="77" t="s">
        <v>953</v>
      </c>
      <c r="F457" s="77" t="s">
        <v>954</v>
      </c>
      <c r="G457" s="77" t="s">
        <v>34</v>
      </c>
      <c r="H457" s="77">
        <f>STOCK[[#This Row],[Precio Final]]</f>
        <v>25</v>
      </c>
      <c r="I457" s="77">
        <f>STOCK[[#This Row],[Precio Venta Ideal (x1.5)]]</f>
        <v>22.3159090909091</v>
      </c>
      <c r="J457" s="92">
        <v>1</v>
      </c>
      <c r="K457" s="92">
        <f>SUMIFS(VENTAS[Cantidad],VENTAS[Código del producto Vendido],STOCK[[#This Row],[Code]])</f>
        <v>1</v>
      </c>
      <c r="L457" s="92">
        <f>STOCK[[#This Row],[Entradas]]-STOCK[[#This Row],[Salidas]]</f>
        <v>0</v>
      </c>
      <c r="M457" s="77">
        <f>STOCK[[#This Row],[Precio Final]]*10%</f>
        <v>2.5</v>
      </c>
      <c r="N457" s="77">
        <v>158</v>
      </c>
      <c r="O457" s="77">
        <v>17.6</v>
      </c>
      <c r="P457" s="77">
        <v>8.97727272727273</v>
      </c>
      <c r="Q457" s="92">
        <v>200</v>
      </c>
      <c r="R457" s="77">
        <v>17</v>
      </c>
      <c r="S457" s="77">
        <f>STOCK[[#This Row],[Peso (g)]]*STOCK[[#This Row],[Precio Envío Kilogramo (USD)]]/1000</f>
        <v>3.4</v>
      </c>
      <c r="T457" s="76">
        <f>STOCK[[#This Row],[Costo Unitario (USD)]]+STOCK[[#This Row],[Costo Envío (USD)]]+STOCK[[#This Row],[Comisión 10%]]</f>
        <v>14.8772727272727</v>
      </c>
      <c r="U457" s="77">
        <f>STOCK[[#This Row],[Costo total]]*1.5</f>
        <v>22.3159090909091</v>
      </c>
      <c r="V457" s="77">
        <v>25</v>
      </c>
      <c r="W457" s="77">
        <f>STOCK[[#This Row],[Precio Final]]-STOCK[[#This Row],[Costo total]]</f>
        <v>10.1227272727273</v>
      </c>
      <c r="X457" s="77">
        <f>STOCK[[#This Row],[Ganancia Unitaria]]*STOCK[[#This Row],[Salidas]]</f>
        <v>10.1227272727273</v>
      </c>
      <c r="Y457" s="77" t="s">
        <v>926</v>
      </c>
      <c r="AA457" s="77">
        <f>STOCK[[#This Row],[Costo total]]*STOCK[[#This Row],[Entradas]]</f>
        <v>14.8772727272727</v>
      </c>
      <c r="AB457" s="77">
        <f>STOCK[[#This Row],[Stock Actual]]*STOCK[[#This Row],[Costo total]]</f>
        <v>0</v>
      </c>
    </row>
    <row r="458" s="76" customFormat="1" ht="50" hidden="1" customHeight="1" spans="1:28">
      <c r="A458" s="76" t="s">
        <v>955</v>
      </c>
      <c r="B458" s="6"/>
      <c r="C458" s="76" t="s">
        <v>30</v>
      </c>
      <c r="D458" s="76" t="s">
        <v>36</v>
      </c>
      <c r="E458" s="76" t="s">
        <v>956</v>
      </c>
      <c r="F458" s="76" t="s">
        <v>44</v>
      </c>
      <c r="G458" s="76" t="s">
        <v>34</v>
      </c>
      <c r="H458" s="76">
        <f>STOCK[[#This Row],[Precio Final]]</f>
        <v>20</v>
      </c>
      <c r="I458" s="76">
        <f>STOCK[[#This Row],[Precio Venta Ideal (x1.5)]]</f>
        <v>20.8840909090909</v>
      </c>
      <c r="J458" s="91">
        <v>1</v>
      </c>
      <c r="K458" s="91">
        <f>SUMIFS(VENTAS[Cantidad],VENTAS[Código del producto Vendido],STOCK[[#This Row],[Code]])</f>
        <v>1</v>
      </c>
      <c r="L458" s="91">
        <f>STOCK[[#This Row],[Entradas]]-STOCK[[#This Row],[Salidas]]</f>
        <v>0</v>
      </c>
      <c r="M458" s="76">
        <f>STOCK[[#This Row],[Precio Final]]*10%</f>
        <v>2</v>
      </c>
      <c r="N458" s="76">
        <v>150</v>
      </c>
      <c r="O458" s="76">
        <v>17.6</v>
      </c>
      <c r="P458" s="76">
        <v>8.52272727272727</v>
      </c>
      <c r="Q458" s="91">
        <v>200</v>
      </c>
      <c r="R458" s="76">
        <v>17</v>
      </c>
      <c r="S458" s="76">
        <f>STOCK[[#This Row],[Peso (g)]]*STOCK[[#This Row],[Precio Envío Kilogramo (USD)]]/1000</f>
        <v>3.4</v>
      </c>
      <c r="T458" s="76">
        <f>STOCK[[#This Row],[Costo Unitario (USD)]]+STOCK[[#This Row],[Costo Envío (USD)]]+STOCK[[#This Row],[Comisión 10%]]</f>
        <v>13.9227272727273</v>
      </c>
      <c r="U458" s="76">
        <f>STOCK[[#This Row],[Costo total]]*1.5</f>
        <v>20.8840909090909</v>
      </c>
      <c r="V458" s="76">
        <v>20</v>
      </c>
      <c r="W458" s="76">
        <f>STOCK[[#This Row],[Precio Final]]-STOCK[[#This Row],[Costo total]]</f>
        <v>6.07727272727273</v>
      </c>
      <c r="X458" s="76">
        <f>STOCK[[#This Row],[Ganancia Unitaria]]*STOCK[[#This Row],[Salidas]]</f>
        <v>6.07727272727273</v>
      </c>
      <c r="Y458" s="76" t="s">
        <v>910</v>
      </c>
      <c r="AA458" s="76">
        <f>STOCK[[#This Row],[Costo total]]*STOCK[[#This Row],[Entradas]]</f>
        <v>13.9227272727273</v>
      </c>
      <c r="AB458" s="76">
        <f>STOCK[[#This Row],[Stock Actual]]*STOCK[[#This Row],[Costo total]]</f>
        <v>0</v>
      </c>
    </row>
    <row r="459" s="77" customFormat="1" ht="50" hidden="1" customHeight="1" spans="1:28">
      <c r="A459" s="77" t="s">
        <v>957</v>
      </c>
      <c r="B459" s="6"/>
      <c r="C459" s="77" t="s">
        <v>30</v>
      </c>
      <c r="D459" s="77" t="s">
        <v>151</v>
      </c>
      <c r="E459" s="77" t="s">
        <v>958</v>
      </c>
      <c r="F459" s="77" t="s">
        <v>38</v>
      </c>
      <c r="G459" s="77" t="s">
        <v>34</v>
      </c>
      <c r="H459" s="77">
        <f>STOCK[[#This Row],[Precio Final]]</f>
        <v>30</v>
      </c>
      <c r="I459" s="77">
        <f>STOCK[[#This Row],[Precio Venta Ideal (x1.5)]]</f>
        <v>36.5584090909091</v>
      </c>
      <c r="J459" s="92">
        <v>0</v>
      </c>
      <c r="K459" s="92">
        <f>SUMIFS(VENTAS[Cantidad],VENTAS[Código del producto Vendido],STOCK[[#This Row],[Code]])</f>
        <v>0</v>
      </c>
      <c r="L459" s="92">
        <f>STOCK[[#This Row],[Entradas]]-STOCK[[#This Row],[Salidas]]</f>
        <v>0</v>
      </c>
      <c r="M459" s="77">
        <f>STOCK[[#This Row],[Precio Final]]*10%</f>
        <v>3</v>
      </c>
      <c r="N459" s="77">
        <v>246</v>
      </c>
      <c r="O459" s="77">
        <v>17.6</v>
      </c>
      <c r="P459" s="77">
        <v>13.9772727272727</v>
      </c>
      <c r="Q459" s="92">
        <v>435</v>
      </c>
      <c r="R459" s="77">
        <v>17</v>
      </c>
      <c r="S459" s="77">
        <f>STOCK[[#This Row],[Peso (g)]]*STOCK[[#This Row],[Precio Envío Kilogramo (USD)]]/1000</f>
        <v>7.395</v>
      </c>
      <c r="T459" s="76">
        <f>STOCK[[#This Row],[Costo Unitario (USD)]]+STOCK[[#This Row],[Costo Envío (USD)]]+STOCK[[#This Row],[Comisión 10%]]</f>
        <v>24.3722727272727</v>
      </c>
      <c r="U459" s="77">
        <f>STOCK[[#This Row],[Costo total]]*1.5</f>
        <v>36.5584090909091</v>
      </c>
      <c r="V459" s="77">
        <v>30</v>
      </c>
      <c r="W459" s="77">
        <f>STOCK[[#This Row],[Precio Final]]-STOCK[[#This Row],[Costo total]]</f>
        <v>5.6277272727273</v>
      </c>
      <c r="X459" s="77">
        <f>STOCK[[#This Row],[Ganancia Unitaria]]*STOCK[[#This Row],[Salidas]]</f>
        <v>0</v>
      </c>
      <c r="AA459" s="77">
        <f>STOCK[[#This Row],[Costo total]]*STOCK[[#This Row],[Entradas]]</f>
        <v>0</v>
      </c>
      <c r="AB459" s="77">
        <f>STOCK[[#This Row],[Stock Actual]]*STOCK[[#This Row],[Costo total]]</f>
        <v>0</v>
      </c>
    </row>
    <row r="460" s="76" customFormat="1" ht="50" hidden="1" customHeight="1" spans="1:28">
      <c r="A460" s="76" t="s">
        <v>959</v>
      </c>
      <c r="B460" s="6"/>
      <c r="C460" s="76" t="s">
        <v>30</v>
      </c>
      <c r="D460" s="76" t="s">
        <v>151</v>
      </c>
      <c r="E460" s="76" t="s">
        <v>960</v>
      </c>
      <c r="F460" s="76" t="s">
        <v>60</v>
      </c>
      <c r="G460" s="76" t="s">
        <v>34</v>
      </c>
      <c r="H460" s="76">
        <f>STOCK[[#This Row],[Precio Final]]</f>
        <v>28</v>
      </c>
      <c r="I460" s="76">
        <f>STOCK[[#This Row],[Precio Venta Ideal (x1.5)]]</f>
        <v>36.2584090909091</v>
      </c>
      <c r="J460" s="91">
        <v>2</v>
      </c>
      <c r="K460" s="91">
        <f>SUMIFS(VENTAS[Cantidad],VENTAS[Código del producto Vendido],STOCK[[#This Row],[Code]])</f>
        <v>2</v>
      </c>
      <c r="L460" s="91">
        <f>STOCK[[#This Row],[Entradas]]-STOCK[[#This Row],[Salidas]]</f>
        <v>0</v>
      </c>
      <c r="M460" s="76">
        <f>STOCK[[#This Row],[Precio Final]]*10%</f>
        <v>2.8</v>
      </c>
      <c r="N460" s="76">
        <v>246</v>
      </c>
      <c r="O460" s="76">
        <v>17.6</v>
      </c>
      <c r="P460" s="76">
        <v>13.9772727272727</v>
      </c>
      <c r="Q460" s="91">
        <v>435</v>
      </c>
      <c r="R460" s="76">
        <v>17</v>
      </c>
      <c r="S460" s="76">
        <f>STOCK[[#This Row],[Peso (g)]]*STOCK[[#This Row],[Precio Envío Kilogramo (USD)]]/1000</f>
        <v>7.395</v>
      </c>
      <c r="T460" s="76">
        <f>STOCK[[#This Row],[Costo Unitario (USD)]]+STOCK[[#This Row],[Costo Envío (USD)]]+STOCK[[#This Row],[Comisión 10%]]</f>
        <v>24.1722727272727</v>
      </c>
      <c r="U460" s="76">
        <f>STOCK[[#This Row],[Costo total]]*1.5</f>
        <v>36.2584090909091</v>
      </c>
      <c r="V460" s="76">
        <v>28</v>
      </c>
      <c r="W460" s="76">
        <f>STOCK[[#This Row],[Precio Final]]-STOCK[[#This Row],[Costo total]]</f>
        <v>3.8277272727273</v>
      </c>
      <c r="X460" s="76">
        <f>STOCK[[#This Row],[Ganancia Unitaria]]*STOCK[[#This Row],[Salidas]]</f>
        <v>7.6554545454546</v>
      </c>
      <c r="Y460" s="76" t="s">
        <v>926</v>
      </c>
      <c r="AA460" s="76">
        <f>STOCK[[#This Row],[Costo total]]*STOCK[[#This Row],[Entradas]]</f>
        <v>48.3445454545454</v>
      </c>
      <c r="AB460" s="76">
        <f>STOCK[[#This Row],[Stock Actual]]*STOCK[[#This Row],[Costo total]]</f>
        <v>0</v>
      </c>
    </row>
    <row r="461" s="77" customFormat="1" ht="50" hidden="1" customHeight="1" spans="1:28">
      <c r="A461" s="77" t="s">
        <v>961</v>
      </c>
      <c r="B461" s="6"/>
      <c r="C461" s="77" t="s">
        <v>30</v>
      </c>
      <c r="D461" s="77" t="s">
        <v>151</v>
      </c>
      <c r="E461" s="77" t="s">
        <v>958</v>
      </c>
      <c r="F461" s="77" t="s">
        <v>47</v>
      </c>
      <c r="G461" s="77" t="s">
        <v>34</v>
      </c>
      <c r="H461" s="77">
        <f>STOCK[[#This Row],[Precio Final]]</f>
        <v>28</v>
      </c>
      <c r="I461" s="77">
        <f>STOCK[[#This Row],[Precio Venta Ideal (x1.5)]]</f>
        <v>36.2584090909091</v>
      </c>
      <c r="J461" s="92">
        <v>2</v>
      </c>
      <c r="K461" s="92">
        <f>SUMIFS(VENTAS[Cantidad],VENTAS[Código del producto Vendido],STOCK[[#This Row],[Code]])</f>
        <v>2</v>
      </c>
      <c r="L461" s="92">
        <f>STOCK[[#This Row],[Entradas]]-STOCK[[#This Row],[Salidas]]</f>
        <v>0</v>
      </c>
      <c r="M461" s="77">
        <f>STOCK[[#This Row],[Precio Final]]*10%</f>
        <v>2.8</v>
      </c>
      <c r="N461" s="77">
        <v>246</v>
      </c>
      <c r="O461" s="77">
        <v>17.6</v>
      </c>
      <c r="P461" s="77">
        <v>13.9772727272727</v>
      </c>
      <c r="Q461" s="92">
        <v>435</v>
      </c>
      <c r="R461" s="77">
        <v>17</v>
      </c>
      <c r="S461" s="77">
        <f>STOCK[[#This Row],[Peso (g)]]*STOCK[[#This Row],[Precio Envío Kilogramo (USD)]]/1000</f>
        <v>7.395</v>
      </c>
      <c r="T461" s="76">
        <f>STOCK[[#This Row],[Costo Unitario (USD)]]+STOCK[[#This Row],[Costo Envío (USD)]]+STOCK[[#This Row],[Comisión 10%]]</f>
        <v>24.1722727272727</v>
      </c>
      <c r="U461" s="77">
        <f>STOCK[[#This Row],[Costo total]]*1.5</f>
        <v>36.2584090909091</v>
      </c>
      <c r="V461" s="77">
        <v>28</v>
      </c>
      <c r="W461" s="77">
        <f>STOCK[[#This Row],[Precio Final]]-STOCK[[#This Row],[Costo total]]</f>
        <v>3.8277272727273</v>
      </c>
      <c r="X461" s="77">
        <f>STOCK[[#This Row],[Ganancia Unitaria]]*STOCK[[#This Row],[Salidas]]</f>
        <v>7.6554545454546</v>
      </c>
      <c r="AA461" s="77">
        <f>STOCK[[#This Row],[Costo total]]*STOCK[[#This Row],[Entradas]]</f>
        <v>48.3445454545454</v>
      </c>
      <c r="AB461" s="77">
        <f>STOCK[[#This Row],[Stock Actual]]*STOCK[[#This Row],[Costo total]]</f>
        <v>0</v>
      </c>
    </row>
    <row r="462" s="76" customFormat="1" ht="50" hidden="1" customHeight="1" spans="1:28">
      <c r="A462" s="76" t="s">
        <v>962</v>
      </c>
      <c r="B462" s="6"/>
      <c r="C462" s="76" t="s">
        <v>30</v>
      </c>
      <c r="D462" s="76" t="s">
        <v>963</v>
      </c>
      <c r="E462" s="76" t="s">
        <v>960</v>
      </c>
      <c r="F462" s="76" t="s">
        <v>204</v>
      </c>
      <c r="G462" s="76" t="s">
        <v>34</v>
      </c>
      <c r="H462" s="76">
        <f>STOCK[[#This Row],[Precio Final]]</f>
        <v>28</v>
      </c>
      <c r="I462" s="76">
        <f>STOCK[[#This Row],[Precio Venta Ideal (x1.5)]]</f>
        <v>36.2584090909091</v>
      </c>
      <c r="J462" s="91">
        <v>3</v>
      </c>
      <c r="K462" s="91">
        <f>SUMIFS(VENTAS[Cantidad],VENTAS[Código del producto Vendido],STOCK[[#This Row],[Code]])</f>
        <v>3</v>
      </c>
      <c r="L462" s="91">
        <f>STOCK[[#This Row],[Entradas]]-STOCK[[#This Row],[Salidas]]</f>
        <v>0</v>
      </c>
      <c r="M462" s="76">
        <f>STOCK[[#This Row],[Precio Final]]*10%</f>
        <v>2.8</v>
      </c>
      <c r="N462" s="76">
        <v>246</v>
      </c>
      <c r="O462" s="76">
        <v>17.6</v>
      </c>
      <c r="P462" s="76">
        <v>13.9772727272727</v>
      </c>
      <c r="Q462" s="91">
        <v>435</v>
      </c>
      <c r="R462" s="76">
        <v>17</v>
      </c>
      <c r="S462" s="76">
        <f>STOCK[[#This Row],[Peso (g)]]*STOCK[[#This Row],[Precio Envío Kilogramo (USD)]]/1000</f>
        <v>7.395</v>
      </c>
      <c r="T462" s="76">
        <f>STOCK[[#This Row],[Costo Unitario (USD)]]+STOCK[[#This Row],[Costo Envío (USD)]]+STOCK[[#This Row],[Comisión 10%]]</f>
        <v>24.1722727272727</v>
      </c>
      <c r="U462" s="76">
        <f>STOCK[[#This Row],[Costo total]]*1.5</f>
        <v>36.2584090909091</v>
      </c>
      <c r="V462" s="76">
        <v>28</v>
      </c>
      <c r="W462" s="76">
        <f>STOCK[[#This Row],[Precio Final]]-STOCK[[#This Row],[Costo total]]</f>
        <v>3.8277272727273</v>
      </c>
      <c r="X462" s="76">
        <f>STOCK[[#This Row],[Ganancia Unitaria]]*STOCK[[#This Row],[Salidas]]</f>
        <v>11.4831818181819</v>
      </c>
      <c r="AA462" s="76">
        <f>STOCK[[#This Row],[Costo total]]*STOCK[[#This Row],[Entradas]]</f>
        <v>72.5168181818181</v>
      </c>
      <c r="AB462" s="76">
        <f>STOCK[[#This Row],[Stock Actual]]*STOCK[[#This Row],[Costo total]]</f>
        <v>0</v>
      </c>
    </row>
    <row r="463" s="77" customFormat="1" ht="50" hidden="1" customHeight="1" spans="1:28">
      <c r="A463" s="77" t="s">
        <v>964</v>
      </c>
      <c r="B463" s="6"/>
      <c r="C463" s="77" t="s">
        <v>30</v>
      </c>
      <c r="D463" s="77" t="s">
        <v>965</v>
      </c>
      <c r="E463" s="77" t="s">
        <v>946</v>
      </c>
      <c r="F463" s="77" t="s">
        <v>60</v>
      </c>
      <c r="G463" s="77" t="s">
        <v>34</v>
      </c>
      <c r="H463" s="77">
        <f>STOCK[[#This Row],[Precio Final]]</f>
        <v>10</v>
      </c>
      <c r="I463" s="77">
        <f>STOCK[[#This Row],[Precio Venta Ideal (x1.5)]]</f>
        <v>11.6761363636364</v>
      </c>
      <c r="J463" s="92">
        <v>2</v>
      </c>
      <c r="K463" s="92">
        <f>SUMIFS(VENTAS[Cantidad],VENTAS[Código del producto Vendido],STOCK[[#This Row],[Code]])</f>
        <v>2</v>
      </c>
      <c r="L463" s="92">
        <f>STOCK[[#This Row],[Entradas]]-STOCK[[#This Row],[Salidas]]</f>
        <v>0</v>
      </c>
      <c r="M463" s="77">
        <f>STOCK[[#This Row],[Precio Final]]*10%</f>
        <v>1</v>
      </c>
      <c r="N463" s="77">
        <v>82</v>
      </c>
      <c r="O463" s="77">
        <v>17.6</v>
      </c>
      <c r="P463" s="77">
        <v>4.65909090909091</v>
      </c>
      <c r="Q463" s="92">
        <v>125</v>
      </c>
      <c r="R463" s="77">
        <v>17</v>
      </c>
      <c r="S463" s="77">
        <f>STOCK[[#This Row],[Peso (g)]]*STOCK[[#This Row],[Precio Envío Kilogramo (USD)]]/1000</f>
        <v>2.125</v>
      </c>
      <c r="T463" s="76">
        <f>STOCK[[#This Row],[Costo Unitario (USD)]]+STOCK[[#This Row],[Costo Envío (USD)]]+STOCK[[#This Row],[Comisión 10%]]</f>
        <v>7.78409090909091</v>
      </c>
      <c r="U463" s="77">
        <f>STOCK[[#This Row],[Costo total]]*1.5</f>
        <v>11.6761363636364</v>
      </c>
      <c r="V463" s="77">
        <v>10</v>
      </c>
      <c r="W463" s="77">
        <f>STOCK[[#This Row],[Precio Final]]-STOCK[[#This Row],[Costo total]]</f>
        <v>2.21590909090909</v>
      </c>
      <c r="X463" s="77">
        <f>STOCK[[#This Row],[Ganancia Unitaria]]*STOCK[[#This Row],[Salidas]]</f>
        <v>4.43181818181818</v>
      </c>
      <c r="AA463" s="77">
        <f>STOCK[[#This Row],[Costo total]]*STOCK[[#This Row],[Entradas]]</f>
        <v>15.5681818181818</v>
      </c>
      <c r="AB463" s="77">
        <f>STOCK[[#This Row],[Stock Actual]]*STOCK[[#This Row],[Costo total]]</f>
        <v>0</v>
      </c>
    </row>
    <row r="464" s="76" customFormat="1" ht="50" hidden="1" customHeight="1" spans="1:28">
      <c r="A464" s="76" t="s">
        <v>966</v>
      </c>
      <c r="B464" s="6"/>
      <c r="C464" s="76" t="s">
        <v>30</v>
      </c>
      <c r="D464" s="76" t="s">
        <v>965</v>
      </c>
      <c r="E464" s="76" t="s">
        <v>967</v>
      </c>
      <c r="F464" s="76" t="s">
        <v>968</v>
      </c>
      <c r="G464" s="76" t="s">
        <v>34</v>
      </c>
      <c r="H464" s="76">
        <f>STOCK[[#This Row],[Precio Final]]</f>
        <v>10</v>
      </c>
      <c r="I464" s="76">
        <f>STOCK[[#This Row],[Precio Venta Ideal (x1.5)]]</f>
        <v>11.6761363636364</v>
      </c>
      <c r="J464" s="91">
        <v>2</v>
      </c>
      <c r="K464" s="91">
        <f>SUMIFS(VENTAS[Cantidad],VENTAS[Código del producto Vendido],STOCK[[#This Row],[Code]])</f>
        <v>2</v>
      </c>
      <c r="L464" s="91">
        <f>STOCK[[#This Row],[Entradas]]-STOCK[[#This Row],[Salidas]]</f>
        <v>0</v>
      </c>
      <c r="M464" s="76">
        <f>STOCK[[#This Row],[Precio Final]]*10%</f>
        <v>1</v>
      </c>
      <c r="N464" s="76">
        <v>82</v>
      </c>
      <c r="O464" s="76">
        <v>17.6</v>
      </c>
      <c r="P464" s="76">
        <v>4.65909090909091</v>
      </c>
      <c r="Q464" s="91">
        <v>125</v>
      </c>
      <c r="R464" s="76">
        <v>17</v>
      </c>
      <c r="S464" s="76">
        <f>STOCK[[#This Row],[Peso (g)]]*STOCK[[#This Row],[Precio Envío Kilogramo (USD)]]/1000</f>
        <v>2.125</v>
      </c>
      <c r="T464" s="76">
        <f>STOCK[[#This Row],[Costo Unitario (USD)]]+STOCK[[#This Row],[Costo Envío (USD)]]+STOCK[[#This Row],[Comisión 10%]]</f>
        <v>7.78409090909091</v>
      </c>
      <c r="U464" s="76">
        <f>STOCK[[#This Row],[Costo total]]*1.5</f>
        <v>11.6761363636364</v>
      </c>
      <c r="V464" s="76">
        <v>10</v>
      </c>
      <c r="W464" s="76">
        <f>STOCK[[#This Row],[Precio Final]]-STOCK[[#This Row],[Costo total]]</f>
        <v>2.21590909090909</v>
      </c>
      <c r="X464" s="76">
        <f>STOCK[[#This Row],[Ganancia Unitaria]]*STOCK[[#This Row],[Salidas]]</f>
        <v>4.43181818181818</v>
      </c>
      <c r="AA464" s="76">
        <f>STOCK[[#This Row],[Costo total]]*STOCK[[#This Row],[Entradas]]</f>
        <v>15.5681818181818</v>
      </c>
      <c r="AB464" s="76">
        <f>STOCK[[#This Row],[Stock Actual]]*STOCK[[#This Row],[Costo total]]</f>
        <v>0</v>
      </c>
    </row>
    <row r="465" s="77" customFormat="1" ht="50" hidden="1" customHeight="1" spans="1:28">
      <c r="A465" s="77" t="s">
        <v>969</v>
      </c>
      <c r="B465" s="6"/>
      <c r="C465" s="77" t="s">
        <v>30</v>
      </c>
      <c r="D465" s="77" t="s">
        <v>965</v>
      </c>
      <c r="E465" s="77" t="s">
        <v>967</v>
      </c>
      <c r="F465" s="77" t="s">
        <v>970</v>
      </c>
      <c r="G465" s="77" t="s">
        <v>34</v>
      </c>
      <c r="H465" s="77">
        <f>STOCK[[#This Row],[Precio Final]]</f>
        <v>10</v>
      </c>
      <c r="I465" s="77">
        <f>STOCK[[#This Row],[Precio Venta Ideal (x1.5)]]</f>
        <v>11.6761363636364</v>
      </c>
      <c r="J465" s="92">
        <v>1</v>
      </c>
      <c r="K465" s="92">
        <f>SUMIFS(VENTAS[Cantidad],VENTAS[Código del producto Vendido],STOCK[[#This Row],[Code]])</f>
        <v>1</v>
      </c>
      <c r="L465" s="92">
        <f>STOCK[[#This Row],[Entradas]]-STOCK[[#This Row],[Salidas]]</f>
        <v>0</v>
      </c>
      <c r="M465" s="77">
        <f>STOCK[[#This Row],[Precio Final]]*10%</f>
        <v>1</v>
      </c>
      <c r="N465" s="77">
        <v>82</v>
      </c>
      <c r="O465" s="77">
        <v>17.6</v>
      </c>
      <c r="P465" s="77">
        <v>4.65909090909091</v>
      </c>
      <c r="Q465" s="92">
        <v>125</v>
      </c>
      <c r="R465" s="77">
        <v>17</v>
      </c>
      <c r="S465" s="77">
        <f>STOCK[[#This Row],[Peso (g)]]*STOCK[[#This Row],[Precio Envío Kilogramo (USD)]]/1000</f>
        <v>2.125</v>
      </c>
      <c r="T465" s="76">
        <f>STOCK[[#This Row],[Costo Unitario (USD)]]+STOCK[[#This Row],[Costo Envío (USD)]]+STOCK[[#This Row],[Comisión 10%]]</f>
        <v>7.78409090909091</v>
      </c>
      <c r="U465" s="77">
        <f>STOCK[[#This Row],[Costo total]]*1.5</f>
        <v>11.6761363636364</v>
      </c>
      <c r="V465" s="77">
        <v>10</v>
      </c>
      <c r="W465" s="77">
        <f>STOCK[[#This Row],[Precio Final]]-STOCK[[#This Row],[Costo total]]</f>
        <v>2.21590909090909</v>
      </c>
      <c r="X465" s="77">
        <f>STOCK[[#This Row],[Ganancia Unitaria]]*STOCK[[#This Row],[Salidas]]</f>
        <v>2.21590909090909</v>
      </c>
      <c r="AA465" s="77">
        <f>STOCK[[#This Row],[Costo total]]*STOCK[[#This Row],[Entradas]]</f>
        <v>7.78409090909091</v>
      </c>
      <c r="AB465" s="77">
        <f>STOCK[[#This Row],[Stock Actual]]*STOCK[[#This Row],[Costo total]]</f>
        <v>0</v>
      </c>
    </row>
    <row r="466" s="76" customFormat="1" ht="50" hidden="1" customHeight="1" spans="1:28">
      <c r="A466" s="76" t="s">
        <v>971</v>
      </c>
      <c r="B466" s="6"/>
      <c r="C466" s="76" t="s">
        <v>30</v>
      </c>
      <c r="D466" s="76" t="s">
        <v>36</v>
      </c>
      <c r="E466" s="76" t="s">
        <v>972</v>
      </c>
      <c r="F466" s="76" t="s">
        <v>60</v>
      </c>
      <c r="G466" s="76" t="s">
        <v>34</v>
      </c>
      <c r="H466" s="76">
        <f>STOCK[[#This Row],[Precio Final]]</f>
        <v>25</v>
      </c>
      <c r="I466" s="76">
        <f>STOCK[[#This Row],[Precio Venta Ideal (x1.5)]]</f>
        <v>26.7375</v>
      </c>
      <c r="J466" s="91">
        <v>1</v>
      </c>
      <c r="K466" s="91">
        <f>SUMIFS(VENTAS[Cantidad],VENTAS[Código del producto Vendido],STOCK[[#This Row],[Code]])</f>
        <v>1</v>
      </c>
      <c r="L466" s="91">
        <f>STOCK[[#This Row],[Entradas]]-STOCK[[#This Row],[Salidas]]</f>
        <v>0</v>
      </c>
      <c r="M466" s="76">
        <f>STOCK[[#This Row],[Precio Final]]*10%</f>
        <v>2.5</v>
      </c>
      <c r="N466" s="76">
        <v>165</v>
      </c>
      <c r="O466" s="76">
        <v>17.6</v>
      </c>
      <c r="P466" s="76">
        <v>9.375</v>
      </c>
      <c r="Q466" s="91">
        <v>350</v>
      </c>
      <c r="R466" s="76">
        <v>17</v>
      </c>
      <c r="S466" s="76">
        <f>STOCK[[#This Row],[Peso (g)]]*STOCK[[#This Row],[Precio Envío Kilogramo (USD)]]/1000</f>
        <v>5.95</v>
      </c>
      <c r="T466" s="76">
        <f>STOCK[[#This Row],[Costo Unitario (USD)]]+STOCK[[#This Row],[Costo Envío (USD)]]+STOCK[[#This Row],[Comisión 10%]]</f>
        <v>17.825</v>
      </c>
      <c r="U466" s="76">
        <f>STOCK[[#This Row],[Costo total]]*1.5</f>
        <v>26.7375</v>
      </c>
      <c r="V466" s="76">
        <v>25</v>
      </c>
      <c r="W466" s="76">
        <f>STOCK[[#This Row],[Precio Final]]-STOCK[[#This Row],[Costo total]]</f>
        <v>7.175</v>
      </c>
      <c r="X466" s="76">
        <f>STOCK[[#This Row],[Ganancia Unitaria]]*STOCK[[#This Row],[Salidas]]</f>
        <v>7.175</v>
      </c>
      <c r="Y466" s="76" t="s">
        <v>926</v>
      </c>
      <c r="AA466" s="76">
        <f>STOCK[[#This Row],[Costo total]]*STOCK[[#This Row],[Entradas]]</f>
        <v>17.825</v>
      </c>
      <c r="AB466" s="76">
        <f>STOCK[[#This Row],[Stock Actual]]*STOCK[[#This Row],[Costo total]]</f>
        <v>0</v>
      </c>
    </row>
    <row r="467" s="77" customFormat="1" ht="50" hidden="1" customHeight="1" spans="1:28">
      <c r="A467" s="77" t="s">
        <v>973</v>
      </c>
      <c r="B467" s="6"/>
      <c r="C467" s="77" t="s">
        <v>30</v>
      </c>
      <c r="D467" s="77" t="s">
        <v>974</v>
      </c>
      <c r="E467" s="77" t="s">
        <v>975</v>
      </c>
      <c r="F467" s="77" t="s">
        <v>44</v>
      </c>
      <c r="G467" s="77" t="s">
        <v>34</v>
      </c>
      <c r="H467" s="77">
        <f>STOCK[[#This Row],[Precio Final]]</f>
        <v>25</v>
      </c>
      <c r="I467" s="77">
        <f>STOCK[[#This Row],[Precio Venta Ideal (x1.5)]]</f>
        <v>26.7375</v>
      </c>
      <c r="J467" s="92">
        <v>2</v>
      </c>
      <c r="K467" s="92">
        <f>SUMIFS(VENTAS[Cantidad],VENTAS[Código del producto Vendido],STOCK[[#This Row],[Code]])</f>
        <v>2</v>
      </c>
      <c r="L467" s="92">
        <f>STOCK[[#This Row],[Entradas]]-STOCK[[#This Row],[Salidas]]</f>
        <v>0</v>
      </c>
      <c r="M467" s="77">
        <f>STOCK[[#This Row],[Precio Final]]*10%</f>
        <v>2.5</v>
      </c>
      <c r="N467" s="77">
        <v>165</v>
      </c>
      <c r="O467" s="77">
        <v>17.6</v>
      </c>
      <c r="P467" s="77">
        <v>9.375</v>
      </c>
      <c r="Q467" s="92">
        <v>350</v>
      </c>
      <c r="R467" s="77">
        <v>17</v>
      </c>
      <c r="S467" s="77">
        <f>STOCK[[#This Row],[Peso (g)]]*STOCK[[#This Row],[Precio Envío Kilogramo (USD)]]/1000</f>
        <v>5.95</v>
      </c>
      <c r="T467" s="76">
        <f>STOCK[[#This Row],[Costo Unitario (USD)]]+STOCK[[#This Row],[Costo Envío (USD)]]+STOCK[[#This Row],[Comisión 10%]]</f>
        <v>17.825</v>
      </c>
      <c r="U467" s="77">
        <f>STOCK[[#This Row],[Costo total]]*1.5</f>
        <v>26.7375</v>
      </c>
      <c r="V467" s="77">
        <v>25</v>
      </c>
      <c r="W467" s="77">
        <f>STOCK[[#This Row],[Precio Final]]-STOCK[[#This Row],[Costo total]]</f>
        <v>7.175</v>
      </c>
      <c r="X467" s="77">
        <f>STOCK[[#This Row],[Ganancia Unitaria]]*STOCK[[#This Row],[Salidas]]</f>
        <v>14.35</v>
      </c>
      <c r="AA467" s="77">
        <f>STOCK[[#This Row],[Costo total]]*STOCK[[#This Row],[Entradas]]</f>
        <v>35.65</v>
      </c>
      <c r="AB467" s="77">
        <f>STOCK[[#This Row],[Stock Actual]]*STOCK[[#This Row],[Costo total]]</f>
        <v>0</v>
      </c>
    </row>
    <row r="468" s="76" customFormat="1" ht="50" hidden="1" customHeight="1" spans="1:28">
      <c r="A468" s="76" t="s">
        <v>976</v>
      </c>
      <c r="B468" s="6"/>
      <c r="C468" s="76" t="s">
        <v>30</v>
      </c>
      <c r="D468" s="76" t="s">
        <v>123</v>
      </c>
      <c r="E468" s="76" t="s">
        <v>977</v>
      </c>
      <c r="F468" s="76" t="s">
        <v>954</v>
      </c>
      <c r="G468" s="76" t="s">
        <v>34</v>
      </c>
      <c r="H468" s="76">
        <f>STOCK[[#This Row],[Precio Final]]</f>
        <v>25</v>
      </c>
      <c r="I468" s="76">
        <f>STOCK[[#This Row],[Precio Venta Ideal (x1.5)]]</f>
        <v>25.465909090909</v>
      </c>
      <c r="J468" s="91">
        <v>1</v>
      </c>
      <c r="K468" s="91">
        <f>SUMIFS(VENTAS[Cantidad],VENTAS[Código del producto Vendido],STOCK[[#This Row],[Code]])</f>
        <v>1</v>
      </c>
      <c r="L468" s="91">
        <f>STOCK[[#This Row],[Entradas]]-STOCK[[#This Row],[Salidas]]</f>
        <v>0</v>
      </c>
      <c r="M468" s="76">
        <f>STOCK[[#This Row],[Precio Final]]*10%</f>
        <v>2.5</v>
      </c>
      <c r="N468" s="76">
        <v>180</v>
      </c>
      <c r="O468" s="76">
        <v>17.6</v>
      </c>
      <c r="P468" s="76">
        <v>10.2272727272727</v>
      </c>
      <c r="Q468" s="91">
        <v>250</v>
      </c>
      <c r="R468" s="76">
        <v>17</v>
      </c>
      <c r="S468" s="76">
        <f>STOCK[[#This Row],[Peso (g)]]*STOCK[[#This Row],[Precio Envío Kilogramo (USD)]]/1000</f>
        <v>4.25</v>
      </c>
      <c r="T468" s="76">
        <f>STOCK[[#This Row],[Costo Unitario (USD)]]+STOCK[[#This Row],[Costo Envío (USD)]]+STOCK[[#This Row],[Comisión 10%]]</f>
        <v>16.9772727272727</v>
      </c>
      <c r="U468" s="76">
        <f>STOCK[[#This Row],[Costo total]]*1.5</f>
        <v>25.465909090909</v>
      </c>
      <c r="V468" s="76">
        <v>25</v>
      </c>
      <c r="W468" s="76">
        <f>STOCK[[#This Row],[Precio Final]]-STOCK[[#This Row],[Costo total]]</f>
        <v>8.0227272727273</v>
      </c>
      <c r="X468" s="76">
        <f>STOCK[[#This Row],[Ganancia Unitaria]]*STOCK[[#This Row],[Salidas]]</f>
        <v>8.0227272727273</v>
      </c>
      <c r="Y468" s="76" t="s">
        <v>978</v>
      </c>
      <c r="AA468" s="76">
        <f>STOCK[[#This Row],[Costo total]]*STOCK[[#This Row],[Entradas]]</f>
        <v>16.9772727272727</v>
      </c>
      <c r="AB468" s="76">
        <f>STOCK[[#This Row],[Stock Actual]]*STOCK[[#This Row],[Costo total]]</f>
        <v>0</v>
      </c>
    </row>
    <row r="469" s="77" customFormat="1" ht="50" hidden="1" customHeight="1" spans="1:28">
      <c r="A469" s="77" t="s">
        <v>979</v>
      </c>
      <c r="B469" s="6"/>
      <c r="C469" s="77" t="s">
        <v>30</v>
      </c>
      <c r="D469" s="77" t="s">
        <v>173</v>
      </c>
      <c r="E469" s="77" t="s">
        <v>980</v>
      </c>
      <c r="F469" s="77" t="s">
        <v>44</v>
      </c>
      <c r="G469" s="77" t="s">
        <v>34</v>
      </c>
      <c r="H469" s="77">
        <f>STOCK[[#This Row],[Precio Final]]</f>
        <v>12</v>
      </c>
      <c r="I469" s="77">
        <f>STOCK[[#This Row],[Precio Venta Ideal (x1.5)]]</f>
        <v>12.0170454545455</v>
      </c>
      <c r="J469" s="92">
        <v>1</v>
      </c>
      <c r="K469" s="92">
        <f>SUMIFS(VENTAS[Cantidad],VENTAS[Código del producto Vendido],STOCK[[#This Row],[Code]])</f>
        <v>1</v>
      </c>
      <c r="L469" s="92">
        <f>STOCK[[#This Row],[Entradas]]-STOCK[[#This Row],[Salidas]]</f>
        <v>0</v>
      </c>
      <c r="M469" s="77">
        <f>STOCK[[#This Row],[Precio Final]]*10%</f>
        <v>1.2</v>
      </c>
      <c r="N469" s="77">
        <v>75</v>
      </c>
      <c r="O469" s="77">
        <v>17.6</v>
      </c>
      <c r="P469" s="77">
        <v>4.26136363636364</v>
      </c>
      <c r="Q469" s="92">
        <v>150</v>
      </c>
      <c r="R469" s="77">
        <v>17</v>
      </c>
      <c r="S469" s="77">
        <f>STOCK[[#This Row],[Peso (g)]]*STOCK[[#This Row],[Precio Envío Kilogramo (USD)]]/1000</f>
        <v>2.55</v>
      </c>
      <c r="T469" s="76">
        <f>STOCK[[#This Row],[Costo Unitario (USD)]]+STOCK[[#This Row],[Costo Envío (USD)]]+STOCK[[#This Row],[Comisión 10%]]</f>
        <v>8.01136363636364</v>
      </c>
      <c r="U469" s="77">
        <f>STOCK[[#This Row],[Costo total]]*1.5</f>
        <v>12.0170454545455</v>
      </c>
      <c r="V469" s="77">
        <v>12</v>
      </c>
      <c r="W469" s="77">
        <f>STOCK[[#This Row],[Precio Final]]-STOCK[[#This Row],[Costo total]]</f>
        <v>3.98863636363636</v>
      </c>
      <c r="X469" s="77">
        <f>STOCK[[#This Row],[Ganancia Unitaria]]*STOCK[[#This Row],[Salidas]]</f>
        <v>3.98863636363636</v>
      </c>
      <c r="AA469" s="77">
        <f>STOCK[[#This Row],[Costo total]]*STOCK[[#This Row],[Entradas]]</f>
        <v>8.01136363636364</v>
      </c>
      <c r="AB469" s="77">
        <f>STOCK[[#This Row],[Stock Actual]]*STOCK[[#This Row],[Costo total]]</f>
        <v>0</v>
      </c>
    </row>
    <row r="470" s="76" customFormat="1" ht="50" hidden="1" customHeight="1" spans="1:28">
      <c r="A470" s="76" t="s">
        <v>981</v>
      </c>
      <c r="B470" s="6"/>
      <c r="C470" s="76" t="s">
        <v>30</v>
      </c>
      <c r="D470" s="76" t="s">
        <v>173</v>
      </c>
      <c r="E470" s="76" t="s">
        <v>980</v>
      </c>
      <c r="F470" s="76" t="s">
        <v>47</v>
      </c>
      <c r="G470" s="76" t="s">
        <v>34</v>
      </c>
      <c r="H470" s="76">
        <f>STOCK[[#This Row],[Precio Final]]</f>
        <v>12</v>
      </c>
      <c r="I470" s="76">
        <f>STOCK[[#This Row],[Precio Venta Ideal (x1.5)]]</f>
        <v>12.0170454545455</v>
      </c>
      <c r="J470" s="91">
        <v>1</v>
      </c>
      <c r="K470" s="91">
        <f>SUMIFS(VENTAS[Cantidad],VENTAS[Código del producto Vendido],STOCK[[#This Row],[Code]])</f>
        <v>1</v>
      </c>
      <c r="L470" s="91">
        <f>STOCK[[#This Row],[Entradas]]-STOCK[[#This Row],[Salidas]]</f>
        <v>0</v>
      </c>
      <c r="M470" s="76">
        <f>STOCK[[#This Row],[Precio Final]]*10%</f>
        <v>1.2</v>
      </c>
      <c r="N470" s="76">
        <v>75</v>
      </c>
      <c r="O470" s="76">
        <v>17.6</v>
      </c>
      <c r="P470" s="76">
        <v>4.26136363636364</v>
      </c>
      <c r="Q470" s="91">
        <v>150</v>
      </c>
      <c r="R470" s="76">
        <v>17</v>
      </c>
      <c r="S470" s="76">
        <f>STOCK[[#This Row],[Peso (g)]]*STOCK[[#This Row],[Precio Envío Kilogramo (USD)]]/1000</f>
        <v>2.55</v>
      </c>
      <c r="T470" s="76">
        <f>STOCK[[#This Row],[Costo Unitario (USD)]]+STOCK[[#This Row],[Costo Envío (USD)]]+STOCK[[#This Row],[Comisión 10%]]</f>
        <v>8.01136363636364</v>
      </c>
      <c r="U470" s="76">
        <f>STOCK[[#This Row],[Costo total]]*1.5</f>
        <v>12.0170454545455</v>
      </c>
      <c r="V470" s="76">
        <v>12</v>
      </c>
      <c r="W470" s="76">
        <f>STOCK[[#This Row],[Precio Final]]-STOCK[[#This Row],[Costo total]]</f>
        <v>3.98863636363636</v>
      </c>
      <c r="X470" s="76">
        <f>STOCK[[#This Row],[Ganancia Unitaria]]*STOCK[[#This Row],[Salidas]]</f>
        <v>3.98863636363636</v>
      </c>
      <c r="Y470" s="76" t="s">
        <v>926</v>
      </c>
      <c r="AA470" s="76">
        <f>STOCK[[#This Row],[Costo total]]*STOCK[[#This Row],[Entradas]]</f>
        <v>8.01136363636364</v>
      </c>
      <c r="AB470" s="76">
        <f>STOCK[[#This Row],[Stock Actual]]*STOCK[[#This Row],[Costo total]]</f>
        <v>0</v>
      </c>
    </row>
    <row r="471" s="77" customFormat="1" ht="50" hidden="1" customHeight="1" spans="1:28">
      <c r="A471" s="77" t="s">
        <v>982</v>
      </c>
      <c r="B471" s="6"/>
      <c r="C471" s="77" t="s">
        <v>30</v>
      </c>
      <c r="D471" s="77" t="s">
        <v>173</v>
      </c>
      <c r="E471" s="77" t="s">
        <v>980</v>
      </c>
      <c r="F471" s="77" t="s">
        <v>60</v>
      </c>
      <c r="G471" s="77" t="s">
        <v>34</v>
      </c>
      <c r="H471" s="77">
        <f>STOCK[[#This Row],[Precio Final]]</f>
        <v>12</v>
      </c>
      <c r="I471" s="77">
        <f>STOCK[[#This Row],[Precio Venta Ideal (x1.5)]]</f>
        <v>12.0170454545455</v>
      </c>
      <c r="J471" s="92">
        <v>1</v>
      </c>
      <c r="K471" s="92">
        <f>SUMIFS(VENTAS[Cantidad],VENTAS[Código del producto Vendido],STOCK[[#This Row],[Code]])</f>
        <v>1</v>
      </c>
      <c r="L471" s="92">
        <f>STOCK[[#This Row],[Entradas]]-STOCK[[#This Row],[Salidas]]</f>
        <v>0</v>
      </c>
      <c r="M471" s="77">
        <f>STOCK[[#This Row],[Precio Final]]*10%</f>
        <v>1.2</v>
      </c>
      <c r="N471" s="77">
        <v>75</v>
      </c>
      <c r="O471" s="77">
        <v>17.6</v>
      </c>
      <c r="P471" s="77">
        <v>4.26136363636364</v>
      </c>
      <c r="Q471" s="92">
        <v>150</v>
      </c>
      <c r="R471" s="77">
        <v>17</v>
      </c>
      <c r="S471" s="77">
        <f>STOCK[[#This Row],[Peso (g)]]*STOCK[[#This Row],[Precio Envío Kilogramo (USD)]]/1000</f>
        <v>2.55</v>
      </c>
      <c r="T471" s="76">
        <f>STOCK[[#This Row],[Costo Unitario (USD)]]+STOCK[[#This Row],[Costo Envío (USD)]]+STOCK[[#This Row],[Comisión 10%]]</f>
        <v>8.01136363636364</v>
      </c>
      <c r="U471" s="77">
        <f>STOCK[[#This Row],[Costo total]]*1.5</f>
        <v>12.0170454545455</v>
      </c>
      <c r="V471" s="77">
        <v>12</v>
      </c>
      <c r="W471" s="77">
        <f>STOCK[[#This Row],[Precio Final]]-STOCK[[#This Row],[Costo total]]</f>
        <v>3.98863636363636</v>
      </c>
      <c r="X471" s="77">
        <f>STOCK[[#This Row],[Ganancia Unitaria]]*STOCK[[#This Row],[Salidas]]</f>
        <v>3.98863636363636</v>
      </c>
      <c r="AA471" s="77">
        <f>STOCK[[#This Row],[Costo total]]*STOCK[[#This Row],[Entradas]]</f>
        <v>8.01136363636364</v>
      </c>
      <c r="AB471" s="77">
        <f>STOCK[[#This Row],[Stock Actual]]*STOCK[[#This Row],[Costo total]]</f>
        <v>0</v>
      </c>
    </row>
    <row r="472" s="76" customFormat="1" ht="50" hidden="1" customHeight="1" spans="1:28">
      <c r="A472" s="76" t="s">
        <v>983</v>
      </c>
      <c r="B472" s="6"/>
      <c r="C472" s="76" t="s">
        <v>30</v>
      </c>
      <c r="D472" s="76" t="s">
        <v>42</v>
      </c>
      <c r="E472" s="76" t="s">
        <v>984</v>
      </c>
      <c r="F472" s="76" t="s">
        <v>60</v>
      </c>
      <c r="G472" s="76" t="s">
        <v>34</v>
      </c>
      <c r="H472" s="76">
        <f>STOCK[[#This Row],[Precio Final]]</f>
        <v>25</v>
      </c>
      <c r="I472" s="76">
        <f>STOCK[[#This Row],[Precio Venta Ideal (x1.5)]]</f>
        <v>27.0415909090909</v>
      </c>
      <c r="J472" s="91">
        <v>1</v>
      </c>
      <c r="K472" s="91">
        <f>SUMIFS(VENTAS[Cantidad],VENTAS[Código del producto Vendido],STOCK[[#This Row],[Code]])</f>
        <v>1</v>
      </c>
      <c r="L472" s="91">
        <f>STOCK[[#This Row],[Entradas]]-STOCK[[#This Row],[Salidas]]</f>
        <v>0</v>
      </c>
      <c r="M472" s="76">
        <f>STOCK[[#This Row],[Precio Final]]*10%</f>
        <v>2.5</v>
      </c>
      <c r="N472" s="76">
        <v>194</v>
      </c>
      <c r="O472" s="76">
        <v>17.6</v>
      </c>
      <c r="P472" s="76">
        <v>11.0227272727273</v>
      </c>
      <c r="Q472" s="91">
        <v>265</v>
      </c>
      <c r="R472" s="76">
        <v>17</v>
      </c>
      <c r="S472" s="76">
        <f>STOCK[[#This Row],[Peso (g)]]*STOCK[[#This Row],[Precio Envío Kilogramo (USD)]]/1000</f>
        <v>4.505</v>
      </c>
      <c r="T472" s="76">
        <f>STOCK[[#This Row],[Costo Unitario (USD)]]+STOCK[[#This Row],[Costo Envío (USD)]]+STOCK[[#This Row],[Comisión 10%]]</f>
        <v>18.0277272727273</v>
      </c>
      <c r="U472" s="76">
        <f>STOCK[[#This Row],[Costo total]]*1.5</f>
        <v>27.0415909090909</v>
      </c>
      <c r="V472" s="76">
        <v>25</v>
      </c>
      <c r="W472" s="76">
        <f>STOCK[[#This Row],[Precio Final]]-STOCK[[#This Row],[Costo total]]</f>
        <v>6.9722727272727</v>
      </c>
      <c r="X472" s="76">
        <f>STOCK[[#This Row],[Ganancia Unitaria]]*STOCK[[#This Row],[Salidas]]</f>
        <v>6.9722727272727</v>
      </c>
      <c r="Y472" s="76" t="s">
        <v>894</v>
      </c>
      <c r="AA472" s="76">
        <f>STOCK[[#This Row],[Costo total]]*STOCK[[#This Row],[Entradas]]</f>
        <v>18.0277272727273</v>
      </c>
      <c r="AB472" s="76">
        <f>STOCK[[#This Row],[Stock Actual]]*STOCK[[#This Row],[Costo total]]</f>
        <v>0</v>
      </c>
    </row>
    <row r="473" s="77" customFormat="1" ht="50" hidden="1" customHeight="1" spans="1:28">
      <c r="A473" s="77" t="s">
        <v>985</v>
      </c>
      <c r="B473" s="6"/>
      <c r="C473" s="77" t="s">
        <v>30</v>
      </c>
      <c r="D473" s="77" t="s">
        <v>42</v>
      </c>
      <c r="E473" s="77" t="s">
        <v>984</v>
      </c>
      <c r="F473" s="77" t="s">
        <v>47</v>
      </c>
      <c r="G473" s="77" t="s">
        <v>34</v>
      </c>
      <c r="H473" s="77">
        <f>STOCK[[#This Row],[Precio Final]]</f>
        <v>25</v>
      </c>
      <c r="I473" s="77">
        <f>STOCK[[#This Row],[Precio Venta Ideal (x1.5)]]</f>
        <v>27.0415909090909</v>
      </c>
      <c r="J473" s="92">
        <v>1</v>
      </c>
      <c r="K473" s="92">
        <f>SUMIFS(VENTAS[Cantidad],VENTAS[Código del producto Vendido],STOCK[[#This Row],[Code]])</f>
        <v>1</v>
      </c>
      <c r="L473" s="92">
        <f>STOCK[[#This Row],[Entradas]]-STOCK[[#This Row],[Salidas]]</f>
        <v>0</v>
      </c>
      <c r="M473" s="77">
        <f>STOCK[[#This Row],[Precio Final]]*10%</f>
        <v>2.5</v>
      </c>
      <c r="N473" s="77">
        <v>194</v>
      </c>
      <c r="O473" s="77">
        <v>17.6</v>
      </c>
      <c r="P473" s="77">
        <v>11.0227272727273</v>
      </c>
      <c r="Q473" s="92">
        <v>265</v>
      </c>
      <c r="R473" s="77">
        <v>17</v>
      </c>
      <c r="S473" s="77">
        <f>STOCK[[#This Row],[Peso (g)]]*STOCK[[#This Row],[Precio Envío Kilogramo (USD)]]/1000</f>
        <v>4.505</v>
      </c>
      <c r="T473" s="76">
        <f>STOCK[[#This Row],[Costo Unitario (USD)]]+STOCK[[#This Row],[Costo Envío (USD)]]+STOCK[[#This Row],[Comisión 10%]]</f>
        <v>18.0277272727273</v>
      </c>
      <c r="U473" s="77">
        <f>STOCK[[#This Row],[Costo total]]*1.5</f>
        <v>27.0415909090909</v>
      </c>
      <c r="V473" s="77">
        <v>25</v>
      </c>
      <c r="W473" s="77">
        <f>STOCK[[#This Row],[Precio Final]]-STOCK[[#This Row],[Costo total]]</f>
        <v>6.9722727272727</v>
      </c>
      <c r="X473" s="77">
        <f>STOCK[[#This Row],[Ganancia Unitaria]]*STOCK[[#This Row],[Salidas]]</f>
        <v>6.9722727272727</v>
      </c>
      <c r="Y473" s="77" t="s">
        <v>894</v>
      </c>
      <c r="AA473" s="77">
        <f>STOCK[[#This Row],[Costo total]]*STOCK[[#This Row],[Entradas]]</f>
        <v>18.0277272727273</v>
      </c>
      <c r="AB473" s="77">
        <f>STOCK[[#This Row],[Stock Actual]]*STOCK[[#This Row],[Costo total]]</f>
        <v>0</v>
      </c>
    </row>
    <row r="474" s="76" customFormat="1" ht="50" hidden="1" customHeight="1" spans="1:28">
      <c r="A474" s="76" t="s">
        <v>986</v>
      </c>
      <c r="B474" s="6"/>
      <c r="C474" s="76" t="s">
        <v>30</v>
      </c>
      <c r="D474" s="76" t="s">
        <v>212</v>
      </c>
      <c r="E474" s="76" t="s">
        <v>987</v>
      </c>
      <c r="F474" s="76" t="s">
        <v>204</v>
      </c>
      <c r="G474" s="76" t="s">
        <v>34</v>
      </c>
      <c r="H474" s="76">
        <f>STOCK[[#This Row],[Precio Final]]</f>
        <v>20</v>
      </c>
      <c r="I474" s="76">
        <f>STOCK[[#This Row],[Precio Venta Ideal (x1.5)]]</f>
        <v>26.2915909090909</v>
      </c>
      <c r="J474" s="91">
        <v>1</v>
      </c>
      <c r="K474" s="91">
        <f>SUMIFS(VENTAS[Cantidad],VENTAS[Código del producto Vendido],STOCK[[#This Row],[Code]])</f>
        <v>1</v>
      </c>
      <c r="L474" s="91">
        <f>STOCK[[#This Row],[Entradas]]-STOCK[[#This Row],[Salidas]]</f>
        <v>0</v>
      </c>
      <c r="M474" s="76">
        <f>STOCK[[#This Row],[Precio Final]]*10%</f>
        <v>2</v>
      </c>
      <c r="N474" s="76">
        <v>194</v>
      </c>
      <c r="O474" s="76">
        <v>17.6</v>
      </c>
      <c r="P474" s="76">
        <v>11.0227272727273</v>
      </c>
      <c r="Q474" s="91">
        <v>265</v>
      </c>
      <c r="R474" s="76">
        <v>17</v>
      </c>
      <c r="S474" s="76">
        <f>STOCK[[#This Row],[Peso (g)]]*STOCK[[#This Row],[Precio Envío Kilogramo (USD)]]/1000</f>
        <v>4.505</v>
      </c>
      <c r="T474" s="76">
        <f>STOCK[[#This Row],[Costo Unitario (USD)]]+STOCK[[#This Row],[Costo Envío (USD)]]+STOCK[[#This Row],[Comisión 10%]]</f>
        <v>17.5277272727273</v>
      </c>
      <c r="U474" s="76">
        <f>STOCK[[#This Row],[Costo total]]*1.5</f>
        <v>26.2915909090909</v>
      </c>
      <c r="V474" s="76">
        <v>20</v>
      </c>
      <c r="W474" s="76">
        <f>STOCK[[#This Row],[Precio Final]]-STOCK[[#This Row],[Costo total]]</f>
        <v>2.4722727272727</v>
      </c>
      <c r="X474" s="76">
        <f>STOCK[[#This Row],[Ganancia Unitaria]]*STOCK[[#This Row],[Salidas]]</f>
        <v>2.4722727272727</v>
      </c>
      <c r="Y474" s="76" t="s">
        <v>894</v>
      </c>
      <c r="AA474" s="76">
        <f>STOCK[[#This Row],[Costo total]]*STOCK[[#This Row],[Entradas]]</f>
        <v>17.5277272727273</v>
      </c>
      <c r="AB474" s="76">
        <f>STOCK[[#This Row],[Stock Actual]]*STOCK[[#This Row],[Costo total]]</f>
        <v>0</v>
      </c>
    </row>
    <row r="475" s="77" customFormat="1" ht="50" hidden="1" customHeight="1" spans="1:28">
      <c r="A475" s="77" t="s">
        <v>988</v>
      </c>
      <c r="B475" s="6"/>
      <c r="C475" s="77" t="s">
        <v>30</v>
      </c>
      <c r="D475" s="77" t="s">
        <v>173</v>
      </c>
      <c r="E475" s="77" t="s">
        <v>989</v>
      </c>
      <c r="F475" s="77" t="s">
        <v>44</v>
      </c>
      <c r="G475" s="77" t="s">
        <v>34</v>
      </c>
      <c r="H475" s="77">
        <f>STOCK[[#This Row],[Precio Final]]</f>
        <v>12</v>
      </c>
      <c r="I475" s="77">
        <f>STOCK[[#This Row],[Precio Venta Ideal (x1.5)]]</f>
        <v>13.2518181818182</v>
      </c>
      <c r="J475" s="92">
        <v>1</v>
      </c>
      <c r="K475" s="92">
        <f>SUMIFS(VENTAS[Cantidad],VENTAS[Código del producto Vendido],STOCK[[#This Row],[Code]])</f>
        <v>1</v>
      </c>
      <c r="L475" s="92">
        <f>STOCK[[#This Row],[Entradas]]-STOCK[[#This Row],[Salidas]]</f>
        <v>0</v>
      </c>
      <c r="M475" s="77">
        <f>STOCK[[#This Row],[Precio Final]]*10%</f>
        <v>1.2</v>
      </c>
      <c r="N475" s="77">
        <v>85</v>
      </c>
      <c r="O475" s="77">
        <v>17.6</v>
      </c>
      <c r="P475" s="77">
        <v>4.82954545454545</v>
      </c>
      <c r="Q475" s="92">
        <v>165</v>
      </c>
      <c r="R475" s="77">
        <v>17</v>
      </c>
      <c r="S475" s="77">
        <f>STOCK[[#This Row],[Peso (g)]]*STOCK[[#This Row],[Precio Envío Kilogramo (USD)]]/1000</f>
        <v>2.805</v>
      </c>
      <c r="T475" s="76">
        <f>STOCK[[#This Row],[Costo Unitario (USD)]]+STOCK[[#This Row],[Costo Envío (USD)]]+STOCK[[#This Row],[Comisión 10%]]</f>
        <v>8.83454545454545</v>
      </c>
      <c r="U475" s="77">
        <f>STOCK[[#This Row],[Costo total]]*1.5</f>
        <v>13.2518181818182</v>
      </c>
      <c r="V475" s="77">
        <v>12</v>
      </c>
      <c r="W475" s="77">
        <f>STOCK[[#This Row],[Precio Final]]-STOCK[[#This Row],[Costo total]]</f>
        <v>3.16545454545455</v>
      </c>
      <c r="X475" s="77">
        <f>STOCK[[#This Row],[Ganancia Unitaria]]*STOCK[[#This Row],[Salidas]]</f>
        <v>3.16545454545455</v>
      </c>
      <c r="Y475" s="77" t="s">
        <v>894</v>
      </c>
      <c r="AA475" s="77">
        <f>STOCK[[#This Row],[Costo total]]*STOCK[[#This Row],[Entradas]]</f>
        <v>8.83454545454545</v>
      </c>
      <c r="AB475" s="77">
        <f>STOCK[[#This Row],[Stock Actual]]*STOCK[[#This Row],[Costo total]]</f>
        <v>0</v>
      </c>
    </row>
    <row r="476" s="76" customFormat="1" ht="50" hidden="1" customHeight="1" spans="1:28">
      <c r="A476" s="76" t="s">
        <v>990</v>
      </c>
      <c r="B476" s="6"/>
      <c r="C476" s="76" t="s">
        <v>30</v>
      </c>
      <c r="D476" s="76" t="s">
        <v>173</v>
      </c>
      <c r="E476" s="76" t="s">
        <v>989</v>
      </c>
      <c r="F476" s="76" t="s">
        <v>47</v>
      </c>
      <c r="G476" s="76" t="s">
        <v>34</v>
      </c>
      <c r="H476" s="76">
        <f>STOCK[[#This Row],[Precio Final]]</f>
        <v>12</v>
      </c>
      <c r="I476" s="76">
        <f>STOCK[[#This Row],[Precio Venta Ideal (x1.5)]]</f>
        <v>12.8693181818182</v>
      </c>
      <c r="J476" s="91">
        <v>1</v>
      </c>
      <c r="K476" s="91">
        <f>SUMIFS(VENTAS[Cantidad],VENTAS[Código del producto Vendido],STOCK[[#This Row],[Code]])</f>
        <v>1</v>
      </c>
      <c r="L476" s="91">
        <f>STOCK[[#This Row],[Entradas]]-STOCK[[#This Row],[Salidas]]</f>
        <v>0</v>
      </c>
      <c r="M476" s="76">
        <f>STOCK[[#This Row],[Precio Final]]*10%</f>
        <v>1.2</v>
      </c>
      <c r="N476" s="76">
        <v>85</v>
      </c>
      <c r="O476" s="76">
        <v>17.6</v>
      </c>
      <c r="P476" s="76">
        <v>4.82954545454545</v>
      </c>
      <c r="Q476" s="91">
        <v>150</v>
      </c>
      <c r="R476" s="76">
        <v>17</v>
      </c>
      <c r="S476" s="76">
        <f>STOCK[[#This Row],[Peso (g)]]*STOCK[[#This Row],[Precio Envío Kilogramo (USD)]]/1000</f>
        <v>2.55</v>
      </c>
      <c r="T476" s="76">
        <f>STOCK[[#This Row],[Costo Unitario (USD)]]+STOCK[[#This Row],[Costo Envío (USD)]]+STOCK[[#This Row],[Comisión 10%]]</f>
        <v>8.57954545454545</v>
      </c>
      <c r="U476" s="76">
        <f>STOCK[[#This Row],[Costo total]]*1.5</f>
        <v>12.8693181818182</v>
      </c>
      <c r="V476" s="76">
        <v>12</v>
      </c>
      <c r="W476" s="76">
        <f>STOCK[[#This Row],[Precio Final]]-STOCK[[#This Row],[Costo total]]</f>
        <v>3.42045454545455</v>
      </c>
      <c r="X476" s="76">
        <f>STOCK[[#This Row],[Ganancia Unitaria]]*STOCK[[#This Row],[Salidas]]</f>
        <v>3.42045454545455</v>
      </c>
      <c r="Y476" s="76" t="s">
        <v>926</v>
      </c>
      <c r="AA476" s="76">
        <f>STOCK[[#This Row],[Costo total]]*STOCK[[#This Row],[Entradas]]</f>
        <v>8.57954545454545</v>
      </c>
      <c r="AB476" s="76">
        <f>STOCK[[#This Row],[Stock Actual]]*STOCK[[#This Row],[Costo total]]</f>
        <v>0</v>
      </c>
    </row>
    <row r="477" s="77" customFormat="1" ht="50" hidden="1" customHeight="1" spans="1:28">
      <c r="A477" s="77" t="s">
        <v>991</v>
      </c>
      <c r="B477" s="6"/>
      <c r="C477" s="77" t="s">
        <v>30</v>
      </c>
      <c r="D477" s="77" t="s">
        <v>173</v>
      </c>
      <c r="E477" s="77" t="s">
        <v>946</v>
      </c>
      <c r="F477" s="77" t="s">
        <v>992</v>
      </c>
      <c r="G477" s="77" t="s">
        <v>34</v>
      </c>
      <c r="H477" s="77">
        <f>STOCK[[#This Row],[Precio Final]]</f>
        <v>10</v>
      </c>
      <c r="I477" s="77">
        <f>STOCK[[#This Row],[Precio Venta Ideal (x1.5)]]</f>
        <v>12.5693181818182</v>
      </c>
      <c r="J477" s="92">
        <v>2</v>
      </c>
      <c r="K477" s="92">
        <f>SUMIFS(VENTAS[Cantidad],VENTAS[Código del producto Vendido],STOCK[[#This Row],[Code]])</f>
        <v>2</v>
      </c>
      <c r="L477" s="92">
        <f>STOCK[[#This Row],[Entradas]]-STOCK[[#This Row],[Salidas]]</f>
        <v>0</v>
      </c>
      <c r="M477" s="77">
        <f>STOCK[[#This Row],[Precio Final]]*10%</f>
        <v>1</v>
      </c>
      <c r="N477" s="77">
        <v>85</v>
      </c>
      <c r="O477" s="77">
        <v>17.6</v>
      </c>
      <c r="P477" s="77">
        <v>4.82954545454545</v>
      </c>
      <c r="Q477" s="92">
        <v>150</v>
      </c>
      <c r="R477" s="77">
        <v>17</v>
      </c>
      <c r="S477" s="77">
        <f>STOCK[[#This Row],[Peso (g)]]*STOCK[[#This Row],[Precio Envío Kilogramo (USD)]]/1000</f>
        <v>2.55</v>
      </c>
      <c r="T477" s="76">
        <f>STOCK[[#This Row],[Costo Unitario (USD)]]+STOCK[[#This Row],[Costo Envío (USD)]]+STOCK[[#This Row],[Comisión 10%]]</f>
        <v>8.37954545454545</v>
      </c>
      <c r="U477" s="77">
        <f>STOCK[[#This Row],[Costo total]]*1.5</f>
        <v>12.5693181818182</v>
      </c>
      <c r="V477" s="77">
        <v>10</v>
      </c>
      <c r="W477" s="77">
        <f>STOCK[[#This Row],[Precio Final]]-STOCK[[#This Row],[Costo total]]</f>
        <v>1.62045454545455</v>
      </c>
      <c r="X477" s="77">
        <f>STOCK[[#This Row],[Ganancia Unitaria]]*STOCK[[#This Row],[Salidas]]</f>
        <v>3.2409090909091</v>
      </c>
      <c r="AA477" s="77">
        <f>STOCK[[#This Row],[Costo total]]*STOCK[[#This Row],[Entradas]]</f>
        <v>16.7590909090909</v>
      </c>
      <c r="AB477" s="77">
        <f>STOCK[[#This Row],[Stock Actual]]*STOCK[[#This Row],[Costo total]]</f>
        <v>0</v>
      </c>
    </row>
    <row r="478" s="76" customFormat="1" ht="50" hidden="1" customHeight="1" spans="1:28">
      <c r="A478" s="76" t="s">
        <v>993</v>
      </c>
      <c r="B478" s="6"/>
      <c r="C478" s="76" t="s">
        <v>30</v>
      </c>
      <c r="D478" s="76" t="s">
        <v>42</v>
      </c>
      <c r="E478" s="76" t="s">
        <v>994</v>
      </c>
      <c r="F478" s="76" t="s">
        <v>995</v>
      </c>
      <c r="G478" s="76" t="s">
        <v>34</v>
      </c>
      <c r="H478" s="76">
        <f>STOCK[[#This Row],[Precio Final]]</f>
        <v>22</v>
      </c>
      <c r="I478" s="76">
        <f>STOCK[[#This Row],[Precio Venta Ideal (x1.5)]]</f>
        <v>24.7568181818182</v>
      </c>
      <c r="J478" s="91">
        <v>1</v>
      </c>
      <c r="K478" s="91">
        <f>SUMIFS(VENTAS[Cantidad],VENTAS[Código del producto Vendido],STOCK[[#This Row],[Code]])</f>
        <v>1</v>
      </c>
      <c r="L478" s="91">
        <f>STOCK[[#This Row],[Entradas]]-STOCK[[#This Row],[Salidas]]</f>
        <v>0</v>
      </c>
      <c r="M478" s="76">
        <f>STOCK[[#This Row],[Precio Final]]*10%</f>
        <v>2.2</v>
      </c>
      <c r="N478" s="76">
        <v>162</v>
      </c>
      <c r="O478" s="76">
        <v>17.6</v>
      </c>
      <c r="P478" s="76">
        <v>9.20454545454545</v>
      </c>
      <c r="Q478" s="91">
        <v>300</v>
      </c>
      <c r="R478" s="76">
        <v>17</v>
      </c>
      <c r="S478" s="76">
        <f>STOCK[[#This Row],[Peso (g)]]*STOCK[[#This Row],[Precio Envío Kilogramo (USD)]]/1000</f>
        <v>5.1</v>
      </c>
      <c r="T478" s="76">
        <f>STOCK[[#This Row],[Costo Unitario (USD)]]+STOCK[[#This Row],[Costo Envío (USD)]]+STOCK[[#This Row],[Comisión 10%]]</f>
        <v>16.5045454545455</v>
      </c>
      <c r="U478" s="76">
        <f>STOCK[[#This Row],[Costo total]]*1.5</f>
        <v>24.7568181818182</v>
      </c>
      <c r="V478" s="76">
        <v>22</v>
      </c>
      <c r="W478" s="76">
        <f>STOCK[[#This Row],[Precio Final]]-STOCK[[#This Row],[Costo total]]</f>
        <v>5.49545454545455</v>
      </c>
      <c r="X478" s="76">
        <f>STOCK[[#This Row],[Ganancia Unitaria]]*STOCK[[#This Row],[Salidas]]</f>
        <v>5.49545454545455</v>
      </c>
      <c r="Y478" s="76" t="s">
        <v>894</v>
      </c>
      <c r="AA478" s="76">
        <f>STOCK[[#This Row],[Costo total]]*STOCK[[#This Row],[Entradas]]</f>
        <v>16.5045454545455</v>
      </c>
      <c r="AB478" s="76">
        <f>STOCK[[#This Row],[Stock Actual]]*STOCK[[#This Row],[Costo total]]</f>
        <v>0</v>
      </c>
    </row>
    <row r="479" s="77" customFormat="1" ht="50" hidden="1" customHeight="1" spans="1:28">
      <c r="A479" s="77" t="s">
        <v>996</v>
      </c>
      <c r="B479" s="6"/>
      <c r="C479" s="77" t="s">
        <v>30</v>
      </c>
      <c r="D479" s="77" t="s">
        <v>173</v>
      </c>
      <c r="E479" s="77" t="s">
        <v>997</v>
      </c>
      <c r="F479" s="77" t="s">
        <v>47</v>
      </c>
      <c r="G479" s="77" t="s">
        <v>34</v>
      </c>
      <c r="H479" s="77">
        <f>STOCK[[#This Row],[Precio Final]]</f>
        <v>14</v>
      </c>
      <c r="I479" s="77">
        <f>STOCK[[#This Row],[Precio Venta Ideal (x1.5)]]</f>
        <v>16.02</v>
      </c>
      <c r="J479" s="92">
        <v>2</v>
      </c>
      <c r="K479" s="92">
        <f>SUMIFS(VENTAS[Cantidad],VENTAS[Código del producto Vendido],STOCK[[#This Row],[Code]])</f>
        <v>1</v>
      </c>
      <c r="L479" s="92">
        <f>STOCK[[#This Row],[Entradas]]-STOCK[[#This Row],[Salidas]]</f>
        <v>1</v>
      </c>
      <c r="M479" s="77">
        <f>STOCK[[#This Row],[Precio Final]]*10%</f>
        <v>1.4</v>
      </c>
      <c r="N479" s="77">
        <v>99</v>
      </c>
      <c r="O479" s="77">
        <v>17.6</v>
      </c>
      <c r="P479" s="77">
        <v>5.625</v>
      </c>
      <c r="Q479" s="92">
        <v>215</v>
      </c>
      <c r="R479" s="77">
        <v>17</v>
      </c>
      <c r="S479" s="77">
        <f>STOCK[[#This Row],[Peso (g)]]*STOCK[[#This Row],[Precio Envío Kilogramo (USD)]]/1000</f>
        <v>3.655</v>
      </c>
      <c r="T479" s="76">
        <f>STOCK[[#This Row],[Costo Unitario (USD)]]+STOCK[[#This Row],[Costo Envío (USD)]]+STOCK[[#This Row],[Comisión 10%]]</f>
        <v>10.68</v>
      </c>
      <c r="U479" s="77">
        <f>STOCK[[#This Row],[Costo total]]*1.5</f>
        <v>16.02</v>
      </c>
      <c r="V479" s="77">
        <v>14</v>
      </c>
      <c r="W479" s="77">
        <f>STOCK[[#This Row],[Precio Final]]-STOCK[[#This Row],[Costo total]]</f>
        <v>3.32</v>
      </c>
      <c r="X479" s="77">
        <f>STOCK[[#This Row],[Ganancia Unitaria]]*STOCK[[#This Row],[Salidas]]</f>
        <v>3.32</v>
      </c>
      <c r="Y479" s="77" t="s">
        <v>894</v>
      </c>
      <c r="AA479" s="77">
        <f>STOCK[[#This Row],[Costo total]]*STOCK[[#This Row],[Entradas]]</f>
        <v>21.36</v>
      </c>
      <c r="AB479" s="77">
        <f>STOCK[[#This Row],[Stock Actual]]*STOCK[[#This Row],[Costo total]]</f>
        <v>10.68</v>
      </c>
    </row>
    <row r="480" s="76" customFormat="1" ht="50" hidden="1" customHeight="1" spans="1:28">
      <c r="A480" s="76" t="s">
        <v>998</v>
      </c>
      <c r="B480" s="6"/>
      <c r="C480" s="76" t="s">
        <v>30</v>
      </c>
      <c r="D480" s="76" t="s">
        <v>173</v>
      </c>
      <c r="E480" s="76" t="s">
        <v>997</v>
      </c>
      <c r="F480" s="76" t="s">
        <v>60</v>
      </c>
      <c r="G480" s="76" t="s">
        <v>34</v>
      </c>
      <c r="H480" s="76">
        <f>STOCK[[#This Row],[Precio Final]]</f>
        <v>14</v>
      </c>
      <c r="I480" s="76">
        <f>STOCK[[#This Row],[Precio Venta Ideal (x1.5)]]</f>
        <v>16.02</v>
      </c>
      <c r="J480" s="91">
        <v>2</v>
      </c>
      <c r="K480" s="91">
        <f>SUMIFS(VENTAS[Cantidad],VENTAS[Código del producto Vendido],STOCK[[#This Row],[Code]])</f>
        <v>1</v>
      </c>
      <c r="L480" s="91">
        <f>STOCK[[#This Row],[Entradas]]-STOCK[[#This Row],[Salidas]]</f>
        <v>1</v>
      </c>
      <c r="M480" s="76">
        <f>STOCK[[#This Row],[Precio Final]]*10%</f>
        <v>1.4</v>
      </c>
      <c r="N480" s="76">
        <v>99</v>
      </c>
      <c r="O480" s="76">
        <v>17.6</v>
      </c>
      <c r="P480" s="76">
        <v>5.625</v>
      </c>
      <c r="Q480" s="91">
        <v>215</v>
      </c>
      <c r="R480" s="76">
        <v>17</v>
      </c>
      <c r="S480" s="76">
        <f>STOCK[[#This Row],[Peso (g)]]*STOCK[[#This Row],[Precio Envío Kilogramo (USD)]]/1000</f>
        <v>3.655</v>
      </c>
      <c r="T480" s="76">
        <f>STOCK[[#This Row],[Costo Unitario (USD)]]+STOCK[[#This Row],[Costo Envío (USD)]]+STOCK[[#This Row],[Comisión 10%]]</f>
        <v>10.68</v>
      </c>
      <c r="U480" s="76">
        <f>STOCK[[#This Row],[Costo total]]*1.5</f>
        <v>16.02</v>
      </c>
      <c r="V480" s="76">
        <v>14</v>
      </c>
      <c r="W480" s="76">
        <f>STOCK[[#This Row],[Precio Final]]-STOCK[[#This Row],[Costo total]]</f>
        <v>3.32</v>
      </c>
      <c r="X480" s="76">
        <f>STOCK[[#This Row],[Ganancia Unitaria]]*STOCK[[#This Row],[Salidas]]</f>
        <v>3.32</v>
      </c>
      <c r="Y480" s="76" t="s">
        <v>894</v>
      </c>
      <c r="AA480" s="76">
        <f>STOCK[[#This Row],[Costo total]]*STOCK[[#This Row],[Entradas]]</f>
        <v>21.36</v>
      </c>
      <c r="AB480" s="76">
        <f>STOCK[[#This Row],[Stock Actual]]*STOCK[[#This Row],[Costo total]]</f>
        <v>10.68</v>
      </c>
    </row>
    <row r="481" s="77" customFormat="1" ht="50" hidden="1" customHeight="1" spans="1:28">
      <c r="A481" s="77" t="s">
        <v>999</v>
      </c>
      <c r="B481" s="6"/>
      <c r="C481" s="77" t="s">
        <v>30</v>
      </c>
      <c r="D481" s="77" t="s">
        <v>173</v>
      </c>
      <c r="E481" s="77" t="s">
        <v>1000</v>
      </c>
      <c r="F481" s="77" t="s">
        <v>44</v>
      </c>
      <c r="G481" s="77" t="s">
        <v>34</v>
      </c>
      <c r="H481" s="77">
        <f>STOCK[[#This Row],[Precio Final]]</f>
        <v>14</v>
      </c>
      <c r="I481" s="77">
        <f>STOCK[[#This Row],[Precio Venta Ideal (x1.5)]]</f>
        <v>16.02</v>
      </c>
      <c r="J481" s="92">
        <v>1</v>
      </c>
      <c r="K481" s="92">
        <f>SUMIFS(VENTAS[Cantidad],VENTAS[Código del producto Vendido],STOCK[[#This Row],[Code]])</f>
        <v>1</v>
      </c>
      <c r="L481" s="92">
        <f>STOCK[[#This Row],[Entradas]]-STOCK[[#This Row],[Salidas]]</f>
        <v>0</v>
      </c>
      <c r="M481" s="77">
        <f>STOCK[[#This Row],[Precio Final]]*10%</f>
        <v>1.4</v>
      </c>
      <c r="N481" s="77">
        <v>99</v>
      </c>
      <c r="O481" s="77">
        <v>17.6</v>
      </c>
      <c r="P481" s="77">
        <v>5.625</v>
      </c>
      <c r="Q481" s="92">
        <v>215</v>
      </c>
      <c r="R481" s="77">
        <v>17</v>
      </c>
      <c r="S481" s="77">
        <f>STOCK[[#This Row],[Peso (g)]]*STOCK[[#This Row],[Precio Envío Kilogramo (USD)]]/1000</f>
        <v>3.655</v>
      </c>
      <c r="T481" s="76">
        <f>STOCK[[#This Row],[Costo Unitario (USD)]]+STOCK[[#This Row],[Costo Envío (USD)]]+STOCK[[#This Row],[Comisión 10%]]</f>
        <v>10.68</v>
      </c>
      <c r="U481" s="77">
        <f>STOCK[[#This Row],[Costo total]]*1.5</f>
        <v>16.02</v>
      </c>
      <c r="V481" s="77">
        <v>14</v>
      </c>
      <c r="W481" s="77">
        <f>STOCK[[#This Row],[Precio Final]]-STOCK[[#This Row],[Costo total]]</f>
        <v>3.32</v>
      </c>
      <c r="X481" s="77">
        <f>STOCK[[#This Row],[Ganancia Unitaria]]*STOCK[[#This Row],[Salidas]]</f>
        <v>3.32</v>
      </c>
      <c r="Y481" s="77" t="s">
        <v>894</v>
      </c>
      <c r="AA481" s="77">
        <f>STOCK[[#This Row],[Costo total]]*STOCK[[#This Row],[Entradas]]</f>
        <v>10.68</v>
      </c>
      <c r="AB481" s="77">
        <f>STOCK[[#This Row],[Stock Actual]]*STOCK[[#This Row],[Costo total]]</f>
        <v>0</v>
      </c>
    </row>
    <row r="482" s="76" customFormat="1" ht="50" hidden="1" customHeight="1" spans="1:29">
      <c r="A482" s="76" t="s">
        <v>1001</v>
      </c>
      <c r="B482" s="6"/>
      <c r="C482" s="76" t="s">
        <v>30</v>
      </c>
      <c r="D482" s="76" t="s">
        <v>215</v>
      </c>
      <c r="E482" s="76" t="s">
        <v>1002</v>
      </c>
      <c r="F482" s="76" t="s">
        <v>60</v>
      </c>
      <c r="G482" s="76" t="s">
        <v>34</v>
      </c>
      <c r="H482" s="76">
        <f>STOCK[[#This Row],[Precio Final]]</f>
        <v>25</v>
      </c>
      <c r="I482" s="76">
        <f>STOCK[[#This Row],[Precio Venta Ideal (x1.5)]]</f>
        <v>26.740909090909</v>
      </c>
      <c r="J482" s="91">
        <v>2</v>
      </c>
      <c r="K482" s="91">
        <f>SUMIFS(VENTAS[Cantidad],VENTAS[Código del producto Vendido],STOCK[[#This Row],[Code]])</f>
        <v>1</v>
      </c>
      <c r="L482" s="91">
        <f>STOCK[[#This Row],[Entradas]]-STOCK[[#This Row],[Salidas]]</f>
        <v>1</v>
      </c>
      <c r="M482" s="76">
        <f>STOCK[[#This Row],[Precio Final]]*10%</f>
        <v>2.5</v>
      </c>
      <c r="N482" s="76">
        <v>180</v>
      </c>
      <c r="O482" s="76">
        <v>17.6</v>
      </c>
      <c r="P482" s="76">
        <v>10.2272727272727</v>
      </c>
      <c r="Q482" s="91">
        <v>300</v>
      </c>
      <c r="R482" s="76">
        <v>17</v>
      </c>
      <c r="S482" s="76">
        <f>STOCK[[#This Row],[Peso (g)]]*STOCK[[#This Row],[Precio Envío Kilogramo (USD)]]/1000</f>
        <v>5.1</v>
      </c>
      <c r="T482" s="76">
        <f>STOCK[[#This Row],[Costo Unitario (USD)]]+STOCK[[#This Row],[Costo Envío (USD)]]+STOCK[[#This Row],[Comisión 10%]]</f>
        <v>17.8272727272727</v>
      </c>
      <c r="U482" s="76">
        <f>STOCK[[#This Row],[Costo total]]*1.5</f>
        <v>26.740909090909</v>
      </c>
      <c r="V482" s="76">
        <v>25</v>
      </c>
      <c r="W482" s="76">
        <f>STOCK[[#This Row],[Precio Final]]-STOCK[[#This Row],[Costo total]]</f>
        <v>7.1727272727273</v>
      </c>
      <c r="X482" s="76">
        <f>STOCK[[#This Row],[Ganancia Unitaria]]*STOCK[[#This Row],[Salidas]]</f>
        <v>7.1727272727273</v>
      </c>
      <c r="Y482" s="76" t="s">
        <v>894</v>
      </c>
      <c r="AA482" s="76">
        <f>STOCK[[#This Row],[Costo total]]*STOCK[[#This Row],[Entradas]]</f>
        <v>35.6545454545454</v>
      </c>
      <c r="AB482" s="76">
        <f>STOCK[[#This Row],[Stock Actual]]*STOCK[[#This Row],[Costo total]]</f>
        <v>17.8272727272727</v>
      </c>
      <c r="AC482" s="76">
        <v>22</v>
      </c>
    </row>
    <row r="483" s="77" customFormat="1" ht="50" hidden="1" customHeight="1" spans="1:28">
      <c r="A483" s="77" t="s">
        <v>1003</v>
      </c>
      <c r="B483" s="6"/>
      <c r="C483" s="77" t="s">
        <v>30</v>
      </c>
      <c r="D483" s="77" t="s">
        <v>42</v>
      </c>
      <c r="E483" s="77" t="s">
        <v>1002</v>
      </c>
      <c r="F483" s="77" t="s">
        <v>1004</v>
      </c>
      <c r="G483" s="77" t="s">
        <v>34</v>
      </c>
      <c r="H483" s="77">
        <f>STOCK[[#This Row],[Precio Final]]</f>
        <v>25</v>
      </c>
      <c r="I483" s="77">
        <f>STOCK[[#This Row],[Precio Venta Ideal (x1.5)]]</f>
        <v>26.740909090909</v>
      </c>
      <c r="J483" s="92">
        <v>2</v>
      </c>
      <c r="K483" s="92">
        <f>SUMIFS(VENTAS[Cantidad],VENTAS[Código del producto Vendido],STOCK[[#This Row],[Code]])</f>
        <v>2</v>
      </c>
      <c r="L483" s="92">
        <f>STOCK[[#This Row],[Entradas]]-STOCK[[#This Row],[Salidas]]</f>
        <v>0</v>
      </c>
      <c r="M483" s="77">
        <f>STOCK[[#This Row],[Precio Final]]*10%</f>
        <v>2.5</v>
      </c>
      <c r="N483" s="77">
        <v>180</v>
      </c>
      <c r="O483" s="77">
        <v>17.6</v>
      </c>
      <c r="P483" s="77">
        <v>10.2272727272727</v>
      </c>
      <c r="Q483" s="92">
        <v>300</v>
      </c>
      <c r="R483" s="77">
        <v>17</v>
      </c>
      <c r="S483" s="77">
        <f>STOCK[[#This Row],[Peso (g)]]*STOCK[[#This Row],[Precio Envío Kilogramo (USD)]]/1000</f>
        <v>5.1</v>
      </c>
      <c r="T483" s="76">
        <f>STOCK[[#This Row],[Costo Unitario (USD)]]+STOCK[[#This Row],[Costo Envío (USD)]]+STOCK[[#This Row],[Comisión 10%]]</f>
        <v>17.8272727272727</v>
      </c>
      <c r="U483" s="77">
        <f>STOCK[[#This Row],[Costo total]]*1.5</f>
        <v>26.740909090909</v>
      </c>
      <c r="V483" s="77">
        <v>25</v>
      </c>
      <c r="W483" s="77">
        <f>STOCK[[#This Row],[Precio Final]]-STOCK[[#This Row],[Costo total]]</f>
        <v>7.1727272727273</v>
      </c>
      <c r="X483" s="77">
        <f>STOCK[[#This Row],[Ganancia Unitaria]]*STOCK[[#This Row],[Salidas]]</f>
        <v>14.3454545454546</v>
      </c>
      <c r="Y483" s="77" t="s">
        <v>894</v>
      </c>
      <c r="AA483" s="77">
        <f>STOCK[[#This Row],[Costo total]]*STOCK[[#This Row],[Entradas]]</f>
        <v>35.6545454545454</v>
      </c>
      <c r="AB483" s="77">
        <f>STOCK[[#This Row],[Stock Actual]]*STOCK[[#This Row],[Costo total]]</f>
        <v>0</v>
      </c>
    </row>
    <row r="484" s="76" customFormat="1" ht="50" hidden="1" customHeight="1" spans="1:28">
      <c r="A484" s="76" t="s">
        <v>1005</v>
      </c>
      <c r="B484" s="6"/>
      <c r="C484" s="76" t="s">
        <v>30</v>
      </c>
      <c r="D484" s="76" t="s">
        <v>36</v>
      </c>
      <c r="E484" s="76" t="s">
        <v>1006</v>
      </c>
      <c r="F484" s="76" t="s">
        <v>47</v>
      </c>
      <c r="G484" s="76" t="s">
        <v>34</v>
      </c>
      <c r="H484" s="76">
        <f>STOCK[[#This Row],[Precio Final]]</f>
        <v>25</v>
      </c>
      <c r="I484" s="76">
        <f>STOCK[[#This Row],[Precio Venta Ideal (x1.5)]]</f>
        <v>25.7181818181818</v>
      </c>
      <c r="J484" s="91">
        <v>2</v>
      </c>
      <c r="K484" s="91">
        <f>SUMIFS(VENTAS[Cantidad],VENTAS[Código del producto Vendido],STOCK[[#This Row],[Code]])</f>
        <v>2</v>
      </c>
      <c r="L484" s="91">
        <f>STOCK[[#This Row],[Entradas]]-STOCK[[#This Row],[Salidas]]</f>
        <v>0</v>
      </c>
      <c r="M484" s="76">
        <f>STOCK[[#This Row],[Precio Final]]*10%</f>
        <v>2.5</v>
      </c>
      <c r="N484" s="76">
        <v>168</v>
      </c>
      <c r="O484" s="76">
        <v>17.6</v>
      </c>
      <c r="P484" s="76">
        <v>9.54545454545454</v>
      </c>
      <c r="Q484" s="91">
        <v>300</v>
      </c>
      <c r="R484" s="76">
        <v>17</v>
      </c>
      <c r="S484" s="76">
        <f>STOCK[[#This Row],[Peso (g)]]*STOCK[[#This Row],[Precio Envío Kilogramo (USD)]]/1000</f>
        <v>5.1</v>
      </c>
      <c r="T484" s="76">
        <f>STOCK[[#This Row],[Costo Unitario (USD)]]+STOCK[[#This Row],[Costo Envío (USD)]]+STOCK[[#This Row],[Comisión 10%]]</f>
        <v>17.1454545454545</v>
      </c>
      <c r="U484" s="76">
        <f>STOCK[[#This Row],[Costo total]]*1.5</f>
        <v>25.7181818181818</v>
      </c>
      <c r="V484" s="76">
        <v>25</v>
      </c>
      <c r="W484" s="76">
        <f>STOCK[[#This Row],[Precio Final]]-STOCK[[#This Row],[Costo total]]</f>
        <v>7.85454545454546</v>
      </c>
      <c r="X484" s="76">
        <f>STOCK[[#This Row],[Ganancia Unitaria]]*STOCK[[#This Row],[Salidas]]</f>
        <v>15.7090909090909</v>
      </c>
      <c r="Y484" s="76" t="s">
        <v>894</v>
      </c>
      <c r="AA484" s="76">
        <f>STOCK[[#This Row],[Costo total]]*STOCK[[#This Row],[Entradas]]</f>
        <v>34.2909090909091</v>
      </c>
      <c r="AB484" s="76">
        <f>STOCK[[#This Row],[Stock Actual]]*STOCK[[#This Row],[Costo total]]</f>
        <v>0</v>
      </c>
    </row>
    <row r="485" s="77" customFormat="1" ht="50" hidden="1" customHeight="1" spans="1:28">
      <c r="A485" s="77" t="s">
        <v>1007</v>
      </c>
      <c r="B485" s="6"/>
      <c r="C485" s="77" t="s">
        <v>30</v>
      </c>
      <c r="D485" s="77" t="s">
        <v>1008</v>
      </c>
      <c r="E485" s="77" t="s">
        <v>1009</v>
      </c>
      <c r="F485" s="77" t="s">
        <v>81</v>
      </c>
      <c r="G485" s="77" t="s">
        <v>34</v>
      </c>
      <c r="H485" s="77">
        <f>STOCK[[#This Row],[Precio Final]]</f>
        <v>35</v>
      </c>
      <c r="I485" s="77">
        <f>STOCK[[#This Row],[Precio Venta Ideal (x1.5)]]</f>
        <v>42.3443181818183</v>
      </c>
      <c r="J485" s="92">
        <v>1</v>
      </c>
      <c r="K485" s="92">
        <f>SUMIFS(VENTAS[Cantidad],VENTAS[Código del producto Vendido],STOCK[[#This Row],[Code]])</f>
        <v>1</v>
      </c>
      <c r="L485" s="92">
        <f>STOCK[[#This Row],[Entradas]]-STOCK[[#This Row],[Salidas]]</f>
        <v>0</v>
      </c>
      <c r="M485" s="77">
        <f>STOCK[[#This Row],[Precio Final]]*10%</f>
        <v>3.5</v>
      </c>
      <c r="N485" s="77">
        <v>272</v>
      </c>
      <c r="O485" s="77">
        <v>17.6</v>
      </c>
      <c r="P485" s="77">
        <v>15.4545454545455</v>
      </c>
      <c r="Q485" s="92">
        <v>530</v>
      </c>
      <c r="R485" s="77">
        <v>17.5</v>
      </c>
      <c r="S485" s="77">
        <f>STOCK[[#This Row],[Peso (g)]]*STOCK[[#This Row],[Precio Envío Kilogramo (USD)]]/1000</f>
        <v>9.275</v>
      </c>
      <c r="T485" s="76">
        <f>STOCK[[#This Row],[Costo Unitario (USD)]]+STOCK[[#This Row],[Costo Envío (USD)]]+STOCK[[#This Row],[Comisión 10%]]</f>
        <v>28.2295454545455</v>
      </c>
      <c r="U485" s="77">
        <f>STOCK[[#This Row],[Costo total]]*1.5</f>
        <v>42.3443181818183</v>
      </c>
      <c r="V485" s="77">
        <v>35</v>
      </c>
      <c r="W485" s="77">
        <f>STOCK[[#This Row],[Precio Final]]-STOCK[[#This Row],[Costo total]]</f>
        <v>6.7704545454545</v>
      </c>
      <c r="X485" s="77">
        <f>STOCK[[#This Row],[Ganancia Unitaria]]*STOCK[[#This Row],[Salidas]]</f>
        <v>6.7704545454545</v>
      </c>
      <c r="Y485" s="77" t="s">
        <v>926</v>
      </c>
      <c r="AA485" s="77">
        <f>STOCK[[#This Row],[Costo total]]*STOCK[[#This Row],[Entradas]]</f>
        <v>28.2295454545455</v>
      </c>
      <c r="AB485" s="77">
        <f>STOCK[[#This Row],[Stock Actual]]*STOCK[[#This Row],[Costo total]]</f>
        <v>0</v>
      </c>
    </row>
    <row r="486" s="76" customFormat="1" ht="50" hidden="1" customHeight="1" spans="1:28">
      <c r="A486" s="76" t="s">
        <v>1010</v>
      </c>
      <c r="B486" s="6"/>
      <c r="C486" s="76" t="s">
        <v>30</v>
      </c>
      <c r="D486" s="76" t="s">
        <v>212</v>
      </c>
      <c r="E486" s="76" t="s">
        <v>1009</v>
      </c>
      <c r="F486" s="76" t="s">
        <v>44</v>
      </c>
      <c r="G486" s="76" t="s">
        <v>34</v>
      </c>
      <c r="H486" s="76">
        <f>STOCK[[#This Row],[Precio Final]]</f>
        <v>35</v>
      </c>
      <c r="I486" s="76">
        <f>STOCK[[#This Row],[Precio Venta Ideal (x1.5)]]</f>
        <v>41.5568181818183</v>
      </c>
      <c r="J486" s="91">
        <v>1</v>
      </c>
      <c r="K486" s="91">
        <f>SUMIFS(VENTAS[Cantidad],VENTAS[Código del producto Vendido],STOCK[[#This Row],[Code]])</f>
        <v>1</v>
      </c>
      <c r="L486" s="91">
        <f>STOCK[[#This Row],[Entradas]]-STOCK[[#This Row],[Salidas]]</f>
        <v>0</v>
      </c>
      <c r="M486" s="76">
        <f>STOCK[[#This Row],[Precio Final]]*10%</f>
        <v>3.5</v>
      </c>
      <c r="N486" s="76">
        <v>272</v>
      </c>
      <c r="O486" s="76">
        <v>17.6</v>
      </c>
      <c r="P486" s="76">
        <v>15.4545454545455</v>
      </c>
      <c r="Q486" s="91">
        <v>500</v>
      </c>
      <c r="R486" s="76">
        <v>17.5</v>
      </c>
      <c r="S486" s="76">
        <f>STOCK[[#This Row],[Peso (g)]]*STOCK[[#This Row],[Precio Envío Kilogramo (USD)]]/1000</f>
        <v>8.75</v>
      </c>
      <c r="T486" s="76">
        <f>STOCK[[#This Row],[Costo Unitario (USD)]]+STOCK[[#This Row],[Costo Envío (USD)]]+STOCK[[#This Row],[Comisión 10%]]</f>
        <v>27.7045454545455</v>
      </c>
      <c r="U486" s="76">
        <f>STOCK[[#This Row],[Costo total]]*1.5</f>
        <v>41.5568181818183</v>
      </c>
      <c r="V486" s="76">
        <v>35</v>
      </c>
      <c r="W486" s="76">
        <f>STOCK[[#This Row],[Precio Final]]-STOCK[[#This Row],[Costo total]]</f>
        <v>7.2954545454545</v>
      </c>
      <c r="X486" s="76">
        <f>STOCK[[#This Row],[Ganancia Unitaria]]*STOCK[[#This Row],[Salidas]]</f>
        <v>7.2954545454545</v>
      </c>
      <c r="Y486" s="76" t="s">
        <v>926</v>
      </c>
      <c r="AA486" s="76">
        <f>STOCK[[#This Row],[Costo total]]*STOCK[[#This Row],[Entradas]]</f>
        <v>27.7045454545455</v>
      </c>
      <c r="AB486" s="76">
        <f>STOCK[[#This Row],[Stock Actual]]*STOCK[[#This Row],[Costo total]]</f>
        <v>0</v>
      </c>
    </row>
    <row r="487" s="77" customFormat="1" ht="50" hidden="1" customHeight="1" spans="1:28">
      <c r="A487" s="77" t="s">
        <v>1011</v>
      </c>
      <c r="B487" s="6"/>
      <c r="C487" s="77" t="s">
        <v>30</v>
      </c>
      <c r="D487" s="77" t="s">
        <v>1012</v>
      </c>
      <c r="E487" s="77" t="s">
        <v>1009</v>
      </c>
      <c r="F487" s="77" t="s">
        <v>210</v>
      </c>
      <c r="G487" s="77" t="s">
        <v>34</v>
      </c>
      <c r="H487" s="77">
        <f>STOCK[[#This Row],[Precio Final]]</f>
        <v>35</v>
      </c>
      <c r="I487" s="77">
        <f>STOCK[[#This Row],[Precio Venta Ideal (x1.5)]]</f>
        <v>38.5380681818182</v>
      </c>
      <c r="J487" s="92">
        <v>2</v>
      </c>
      <c r="K487" s="92">
        <f>SUMIFS(VENTAS[Cantidad],VENTAS[Código del producto Vendido],STOCK[[#This Row],[Code]])</f>
        <v>2</v>
      </c>
      <c r="L487" s="92">
        <f>STOCK[[#This Row],[Entradas]]-STOCK[[#This Row],[Salidas]]</f>
        <v>0</v>
      </c>
      <c r="M487" s="77">
        <f>STOCK[[#This Row],[Precio Final]]*10%</f>
        <v>3.5</v>
      </c>
      <c r="N487" s="77">
        <v>272</v>
      </c>
      <c r="O487" s="77">
        <v>17.6</v>
      </c>
      <c r="P487" s="77">
        <v>15.4545454545455</v>
      </c>
      <c r="Q487" s="92">
        <v>385</v>
      </c>
      <c r="R487" s="77">
        <v>17.5</v>
      </c>
      <c r="S487" s="77">
        <f>STOCK[[#This Row],[Peso (g)]]*STOCK[[#This Row],[Precio Envío Kilogramo (USD)]]/1000</f>
        <v>6.7375</v>
      </c>
      <c r="T487" s="76">
        <f>STOCK[[#This Row],[Costo Unitario (USD)]]+STOCK[[#This Row],[Costo Envío (USD)]]+STOCK[[#This Row],[Comisión 10%]]</f>
        <v>25.6920454545455</v>
      </c>
      <c r="U487" s="77">
        <f>STOCK[[#This Row],[Costo total]]*1.5</f>
        <v>38.5380681818182</v>
      </c>
      <c r="V487" s="77">
        <v>35</v>
      </c>
      <c r="W487" s="77">
        <f>STOCK[[#This Row],[Precio Final]]-STOCK[[#This Row],[Costo total]]</f>
        <v>9.3079545454545</v>
      </c>
      <c r="X487" s="77">
        <f>STOCK[[#This Row],[Ganancia Unitaria]]*STOCK[[#This Row],[Salidas]]</f>
        <v>18.615909090909</v>
      </c>
      <c r="Y487" s="77" t="s">
        <v>894</v>
      </c>
      <c r="AA487" s="77">
        <f>STOCK[[#This Row],[Costo total]]*STOCK[[#This Row],[Entradas]]</f>
        <v>51.384090909091</v>
      </c>
      <c r="AB487" s="77">
        <f>STOCK[[#This Row],[Stock Actual]]*STOCK[[#This Row],[Costo total]]</f>
        <v>0</v>
      </c>
    </row>
    <row r="488" s="76" customFormat="1" ht="50" hidden="1" customHeight="1" spans="1:28">
      <c r="A488" s="76" t="s">
        <v>1013</v>
      </c>
      <c r="B488" s="6"/>
      <c r="C488" s="76" t="s">
        <v>30</v>
      </c>
      <c r="D488" s="76" t="s">
        <v>545</v>
      </c>
      <c r="E488" s="76" t="s">
        <v>1014</v>
      </c>
      <c r="F488" s="76" t="s">
        <v>47</v>
      </c>
      <c r="G488" s="76" t="s">
        <v>34</v>
      </c>
      <c r="H488" s="76">
        <f>STOCK[[#This Row],[Precio Final]]</f>
        <v>12</v>
      </c>
      <c r="I488" s="76">
        <f>STOCK[[#This Row],[Precio Venta Ideal (x1.5)]]</f>
        <v>13.3482954545455</v>
      </c>
      <c r="J488" s="91">
        <v>2</v>
      </c>
      <c r="K488" s="91">
        <f>SUMIFS(VENTAS[Cantidad],VENTAS[Código del producto Vendido],STOCK[[#This Row],[Code]])</f>
        <v>2</v>
      </c>
      <c r="L488" s="91">
        <f>STOCK[[#This Row],[Entradas]]-STOCK[[#This Row],[Salidas]]</f>
        <v>0</v>
      </c>
      <c r="M488" s="76">
        <f>STOCK[[#This Row],[Precio Final]]*10%</f>
        <v>1.2</v>
      </c>
      <c r="N488" s="76">
        <v>97</v>
      </c>
      <c r="O488" s="76">
        <v>17.6</v>
      </c>
      <c r="P488" s="76">
        <v>5.51136363636364</v>
      </c>
      <c r="Q488" s="91">
        <v>125</v>
      </c>
      <c r="R488" s="76">
        <v>17.5</v>
      </c>
      <c r="S488" s="76">
        <f>STOCK[[#This Row],[Peso (g)]]*STOCK[[#This Row],[Precio Envío Kilogramo (USD)]]/1000</f>
        <v>2.1875</v>
      </c>
      <c r="T488" s="76">
        <f>STOCK[[#This Row],[Costo Unitario (USD)]]+STOCK[[#This Row],[Costo Envío (USD)]]+STOCK[[#This Row],[Comisión 10%]]</f>
        <v>8.89886363636364</v>
      </c>
      <c r="U488" s="76">
        <f>STOCK[[#This Row],[Costo total]]*1.5</f>
        <v>13.3482954545455</v>
      </c>
      <c r="V488" s="76">
        <v>12</v>
      </c>
      <c r="W488" s="76">
        <f>STOCK[[#This Row],[Precio Final]]-STOCK[[#This Row],[Costo total]]</f>
        <v>3.10113636363636</v>
      </c>
      <c r="X488" s="76">
        <f>STOCK[[#This Row],[Ganancia Unitaria]]*STOCK[[#This Row],[Salidas]]</f>
        <v>6.20227272727272</v>
      </c>
      <c r="Y488" s="76" t="s">
        <v>926</v>
      </c>
      <c r="AA488" s="76">
        <f>STOCK[[#This Row],[Costo total]]*STOCK[[#This Row],[Entradas]]</f>
        <v>17.7977272727273</v>
      </c>
      <c r="AB488" s="76">
        <f>STOCK[[#This Row],[Stock Actual]]*STOCK[[#This Row],[Costo total]]</f>
        <v>0</v>
      </c>
    </row>
    <row r="489" s="77" customFormat="1" ht="50" hidden="1" customHeight="1" spans="1:28">
      <c r="A489" s="77" t="s">
        <v>1015</v>
      </c>
      <c r="B489" s="6"/>
      <c r="C489" s="77" t="s">
        <v>30</v>
      </c>
      <c r="D489" s="77" t="s">
        <v>173</v>
      </c>
      <c r="E489" s="77" t="s">
        <v>1016</v>
      </c>
      <c r="F489" s="77" t="s">
        <v>38</v>
      </c>
      <c r="G489" s="77" t="s">
        <v>34</v>
      </c>
      <c r="H489" s="77">
        <f>STOCK[[#This Row],[Precio Final]]</f>
        <v>12</v>
      </c>
      <c r="I489" s="77">
        <f>STOCK[[#This Row],[Precio Venta Ideal (x1.5)]]</f>
        <v>12.5352272727273</v>
      </c>
      <c r="J489" s="92">
        <v>1</v>
      </c>
      <c r="K489" s="92">
        <f>SUMIFS(VENTAS[Cantidad],VENTAS[Código del producto Vendido],STOCK[[#This Row],[Code]])</f>
        <v>1</v>
      </c>
      <c r="L489" s="92">
        <f>STOCK[[#This Row],[Entradas]]-STOCK[[#This Row],[Salidas]]</f>
        <v>0</v>
      </c>
      <c r="M489" s="77">
        <f>STOCK[[#This Row],[Precio Final]]*10%</f>
        <v>1.2</v>
      </c>
      <c r="N489" s="77">
        <v>89</v>
      </c>
      <c r="O489" s="77">
        <v>17.6</v>
      </c>
      <c r="P489" s="77">
        <v>5.05681818181818</v>
      </c>
      <c r="Q489" s="92">
        <v>120</v>
      </c>
      <c r="R489" s="77">
        <v>17.5</v>
      </c>
      <c r="S489" s="77">
        <f>STOCK[[#This Row],[Peso (g)]]*STOCK[[#This Row],[Precio Envío Kilogramo (USD)]]/1000</f>
        <v>2.1</v>
      </c>
      <c r="T489" s="76">
        <f>STOCK[[#This Row],[Costo Unitario (USD)]]+STOCK[[#This Row],[Costo Envío (USD)]]+STOCK[[#This Row],[Comisión 10%]]</f>
        <v>8.35681818181818</v>
      </c>
      <c r="U489" s="77">
        <f>STOCK[[#This Row],[Costo total]]*1.5</f>
        <v>12.5352272727273</v>
      </c>
      <c r="V489" s="77">
        <v>12</v>
      </c>
      <c r="W489" s="77">
        <f>STOCK[[#This Row],[Precio Final]]-STOCK[[#This Row],[Costo total]]</f>
        <v>3.64318181818182</v>
      </c>
      <c r="X489" s="77">
        <f>STOCK[[#This Row],[Ganancia Unitaria]]*STOCK[[#This Row],[Salidas]]</f>
        <v>3.64318181818182</v>
      </c>
      <c r="Y489" s="77" t="s">
        <v>894</v>
      </c>
      <c r="AA489" s="77">
        <f>STOCK[[#This Row],[Costo total]]*STOCK[[#This Row],[Entradas]]</f>
        <v>8.35681818181818</v>
      </c>
      <c r="AB489" s="77">
        <f>STOCK[[#This Row],[Stock Actual]]*STOCK[[#This Row],[Costo total]]</f>
        <v>0</v>
      </c>
    </row>
    <row r="490" s="76" customFormat="1" ht="50" hidden="1" customHeight="1" spans="1:28">
      <c r="A490" s="76" t="s">
        <v>1017</v>
      </c>
      <c r="B490" s="6"/>
      <c r="C490" s="76" t="s">
        <v>30</v>
      </c>
      <c r="D490" s="76" t="s">
        <v>173</v>
      </c>
      <c r="E490" s="76" t="s">
        <v>1016</v>
      </c>
      <c r="F490" s="76" t="s">
        <v>60</v>
      </c>
      <c r="G490" s="76" t="s">
        <v>34</v>
      </c>
      <c r="H490" s="76">
        <f>STOCK[[#This Row],[Precio Final]]</f>
        <v>12</v>
      </c>
      <c r="I490" s="76">
        <f>STOCK[[#This Row],[Precio Venta Ideal (x1.5)]]</f>
        <v>12.5352272727273</v>
      </c>
      <c r="J490" s="91">
        <v>2</v>
      </c>
      <c r="K490" s="91">
        <f>SUMIFS(VENTAS[Cantidad],VENTAS[Código del producto Vendido],STOCK[[#This Row],[Code]])</f>
        <v>2</v>
      </c>
      <c r="L490" s="91">
        <f>STOCK[[#This Row],[Entradas]]-STOCK[[#This Row],[Salidas]]</f>
        <v>0</v>
      </c>
      <c r="M490" s="76">
        <f>STOCK[[#This Row],[Precio Final]]*10%</f>
        <v>1.2</v>
      </c>
      <c r="N490" s="76">
        <v>89</v>
      </c>
      <c r="O490" s="76">
        <v>17.6</v>
      </c>
      <c r="P490" s="76">
        <v>5.05681818181818</v>
      </c>
      <c r="Q490" s="91">
        <v>120</v>
      </c>
      <c r="R490" s="76">
        <v>17.5</v>
      </c>
      <c r="S490" s="76">
        <f>STOCK[[#This Row],[Peso (g)]]*STOCK[[#This Row],[Precio Envío Kilogramo (USD)]]/1000</f>
        <v>2.1</v>
      </c>
      <c r="T490" s="76">
        <f>STOCK[[#This Row],[Costo Unitario (USD)]]+STOCK[[#This Row],[Costo Envío (USD)]]+STOCK[[#This Row],[Comisión 10%]]</f>
        <v>8.35681818181818</v>
      </c>
      <c r="U490" s="76">
        <f>STOCK[[#This Row],[Costo total]]*1.5</f>
        <v>12.5352272727273</v>
      </c>
      <c r="V490" s="76">
        <v>12</v>
      </c>
      <c r="W490" s="76">
        <f>STOCK[[#This Row],[Precio Final]]-STOCK[[#This Row],[Costo total]]</f>
        <v>3.64318181818182</v>
      </c>
      <c r="X490" s="76">
        <f>STOCK[[#This Row],[Ganancia Unitaria]]*STOCK[[#This Row],[Salidas]]</f>
        <v>7.28636363636364</v>
      </c>
      <c r="Y490" s="76" t="s">
        <v>926</v>
      </c>
      <c r="AA490" s="76">
        <f>STOCK[[#This Row],[Costo total]]*STOCK[[#This Row],[Entradas]]</f>
        <v>16.7136363636364</v>
      </c>
      <c r="AB490" s="76">
        <f>STOCK[[#This Row],[Stock Actual]]*STOCK[[#This Row],[Costo total]]</f>
        <v>0</v>
      </c>
    </row>
    <row r="491" s="77" customFormat="1" ht="50" hidden="1" customHeight="1" spans="1:28">
      <c r="A491" s="77" t="s">
        <v>1018</v>
      </c>
      <c r="B491" s="6"/>
      <c r="C491" s="77" t="s">
        <v>30</v>
      </c>
      <c r="D491" s="77" t="s">
        <v>173</v>
      </c>
      <c r="E491" s="77" t="s">
        <v>1016</v>
      </c>
      <c r="F491" s="77" t="s">
        <v>47</v>
      </c>
      <c r="G491" s="77" t="s">
        <v>34</v>
      </c>
      <c r="H491" s="77">
        <f>STOCK[[#This Row],[Precio Final]]</f>
        <v>12</v>
      </c>
      <c r="I491" s="77">
        <f>STOCK[[#This Row],[Precio Venta Ideal (x1.5)]]</f>
        <v>12.5352272727273</v>
      </c>
      <c r="J491" s="92">
        <v>1</v>
      </c>
      <c r="K491" s="92">
        <f>SUMIFS(VENTAS[Cantidad],VENTAS[Código del producto Vendido],STOCK[[#This Row],[Code]])</f>
        <v>1</v>
      </c>
      <c r="L491" s="92">
        <f>STOCK[[#This Row],[Entradas]]-STOCK[[#This Row],[Salidas]]</f>
        <v>0</v>
      </c>
      <c r="M491" s="77">
        <f>STOCK[[#This Row],[Precio Final]]*10%</f>
        <v>1.2</v>
      </c>
      <c r="N491" s="77">
        <v>89</v>
      </c>
      <c r="O491" s="77">
        <v>17.6</v>
      </c>
      <c r="P491" s="77">
        <v>5.05681818181818</v>
      </c>
      <c r="Q491" s="92">
        <v>120</v>
      </c>
      <c r="R491" s="77">
        <v>17.5</v>
      </c>
      <c r="S491" s="77">
        <f>STOCK[[#This Row],[Peso (g)]]*STOCK[[#This Row],[Precio Envío Kilogramo (USD)]]/1000</f>
        <v>2.1</v>
      </c>
      <c r="T491" s="76">
        <f>STOCK[[#This Row],[Costo Unitario (USD)]]+STOCK[[#This Row],[Costo Envío (USD)]]+STOCK[[#This Row],[Comisión 10%]]</f>
        <v>8.35681818181818</v>
      </c>
      <c r="U491" s="77">
        <f>STOCK[[#This Row],[Costo total]]*1.5</f>
        <v>12.5352272727273</v>
      </c>
      <c r="V491" s="77">
        <v>12</v>
      </c>
      <c r="W491" s="77">
        <f>STOCK[[#This Row],[Precio Final]]-STOCK[[#This Row],[Costo total]]</f>
        <v>3.64318181818182</v>
      </c>
      <c r="X491" s="77">
        <f>STOCK[[#This Row],[Ganancia Unitaria]]*STOCK[[#This Row],[Salidas]]</f>
        <v>3.64318181818182</v>
      </c>
      <c r="Y491" s="77" t="s">
        <v>926</v>
      </c>
      <c r="AA491" s="77">
        <f>STOCK[[#This Row],[Costo total]]*STOCK[[#This Row],[Entradas]]</f>
        <v>8.35681818181818</v>
      </c>
      <c r="AB491" s="77">
        <f>STOCK[[#This Row],[Stock Actual]]*STOCK[[#This Row],[Costo total]]</f>
        <v>0</v>
      </c>
    </row>
    <row r="492" s="76" customFormat="1" ht="50" hidden="1" customHeight="1" spans="1:29">
      <c r="A492" s="76" t="s">
        <v>1019</v>
      </c>
      <c r="B492" s="6"/>
      <c r="C492" s="76" t="s">
        <v>30</v>
      </c>
      <c r="D492" s="76" t="s">
        <v>195</v>
      </c>
      <c r="E492" s="76" t="s">
        <v>1020</v>
      </c>
      <c r="F492" s="76" t="s">
        <v>38</v>
      </c>
      <c r="G492" s="76" t="s">
        <v>34</v>
      </c>
      <c r="H492" s="76">
        <f>STOCK[[#This Row],[Precio Final]]</f>
        <v>20</v>
      </c>
      <c r="I492" s="76">
        <f>STOCK[[#This Row],[Precio Venta Ideal (x1.5)]]</f>
        <v>15.1575</v>
      </c>
      <c r="J492" s="91">
        <v>2</v>
      </c>
      <c r="K492" s="91">
        <f>SUMIFS(VENTAS[Cantidad],VENTAS[Código del producto Vendido],STOCK[[#This Row],[Code]])</f>
        <v>1</v>
      </c>
      <c r="L492" s="91">
        <f>STOCK[[#This Row],[Entradas]]-STOCK[[#This Row],[Salidas]]</f>
        <v>1</v>
      </c>
      <c r="M492" s="76">
        <f>STOCK[[#This Row],[Precio Final]]*10%</f>
        <v>2</v>
      </c>
      <c r="N492" s="76">
        <v>110</v>
      </c>
      <c r="O492" s="76">
        <v>17.6</v>
      </c>
      <c r="P492" s="76">
        <v>6.25</v>
      </c>
      <c r="Q492" s="91">
        <v>106</v>
      </c>
      <c r="R492" s="76">
        <v>17.5</v>
      </c>
      <c r="S492" s="76">
        <f>STOCK[[#This Row],[Peso (g)]]*STOCK[[#This Row],[Precio Envío Kilogramo (USD)]]/1000</f>
        <v>1.855</v>
      </c>
      <c r="T492" s="76">
        <f>STOCK[[#This Row],[Costo Unitario (USD)]]+STOCK[[#This Row],[Costo Envío (USD)]]+STOCK[[#This Row],[Comisión 10%]]</f>
        <v>10.105</v>
      </c>
      <c r="U492" s="76">
        <f>STOCK[[#This Row],[Costo total]]*1.5</f>
        <v>15.1575</v>
      </c>
      <c r="V492" s="76">
        <v>20</v>
      </c>
      <c r="W492" s="76">
        <f>STOCK[[#This Row],[Precio Final]]-STOCK[[#This Row],[Costo total]]</f>
        <v>9.895</v>
      </c>
      <c r="X492" s="76">
        <f>STOCK[[#This Row],[Ganancia Unitaria]]*STOCK[[#This Row],[Salidas]]</f>
        <v>9.895</v>
      </c>
      <c r="AA492" s="76">
        <f>STOCK[[#This Row],[Costo total]]*STOCK[[#This Row],[Entradas]]</f>
        <v>20.21</v>
      </c>
      <c r="AB492" s="76">
        <f>STOCK[[#This Row],[Stock Actual]]*STOCK[[#This Row],[Costo total]]</f>
        <v>10.105</v>
      </c>
      <c r="AC492" s="76">
        <v>15</v>
      </c>
    </row>
    <row r="493" s="77" customFormat="1" ht="50" hidden="1" customHeight="1" spans="1:28">
      <c r="A493" s="77" t="s">
        <v>1021</v>
      </c>
      <c r="B493" s="6"/>
      <c r="C493" s="77" t="s">
        <v>30</v>
      </c>
      <c r="D493" s="77" t="s">
        <v>151</v>
      </c>
      <c r="E493" s="77" t="s">
        <v>1022</v>
      </c>
      <c r="F493" s="77" t="s">
        <v>60</v>
      </c>
      <c r="G493" s="77" t="s">
        <v>34</v>
      </c>
      <c r="H493" s="77">
        <f>STOCK[[#This Row],[Precio Final]]</f>
        <v>19</v>
      </c>
      <c r="I493" s="77">
        <f>STOCK[[#This Row],[Precio Venta Ideal (x1.5)]]</f>
        <v>15.0075</v>
      </c>
      <c r="J493" s="92">
        <v>1</v>
      </c>
      <c r="K493" s="92">
        <f>SUMIFS(VENTAS[Cantidad],VENTAS[Código del producto Vendido],STOCK[[#This Row],[Code]])</f>
        <v>1</v>
      </c>
      <c r="L493" s="92">
        <f>STOCK[[#This Row],[Entradas]]-STOCK[[#This Row],[Salidas]]</f>
        <v>0</v>
      </c>
      <c r="M493" s="77">
        <f>STOCK[[#This Row],[Precio Final]]*10%</f>
        <v>1.9</v>
      </c>
      <c r="N493" s="77">
        <v>110</v>
      </c>
      <c r="O493" s="77">
        <v>17.6</v>
      </c>
      <c r="P493" s="77">
        <v>6.25</v>
      </c>
      <c r="Q493" s="92">
        <v>106</v>
      </c>
      <c r="R493" s="77">
        <v>17.5</v>
      </c>
      <c r="S493" s="77">
        <f>STOCK[[#This Row],[Peso (g)]]*STOCK[[#This Row],[Precio Envío Kilogramo (USD)]]/1000</f>
        <v>1.855</v>
      </c>
      <c r="T493" s="76">
        <f>STOCK[[#This Row],[Costo Unitario (USD)]]+STOCK[[#This Row],[Costo Envío (USD)]]+STOCK[[#This Row],[Comisión 10%]]</f>
        <v>10.005</v>
      </c>
      <c r="U493" s="77">
        <f>STOCK[[#This Row],[Costo total]]*1.5</f>
        <v>15.0075</v>
      </c>
      <c r="V493" s="77">
        <v>19</v>
      </c>
      <c r="W493" s="77">
        <f>STOCK[[#This Row],[Precio Final]]-STOCK[[#This Row],[Costo total]]</f>
        <v>8.995</v>
      </c>
      <c r="X493" s="77">
        <f>STOCK[[#This Row],[Ganancia Unitaria]]*STOCK[[#This Row],[Salidas]]</f>
        <v>8.995</v>
      </c>
      <c r="AA493" s="77">
        <f>STOCK[[#This Row],[Costo total]]*STOCK[[#This Row],[Entradas]]</f>
        <v>10.005</v>
      </c>
      <c r="AB493" s="77">
        <f>STOCK[[#This Row],[Stock Actual]]*STOCK[[#This Row],[Costo total]]</f>
        <v>0</v>
      </c>
    </row>
    <row r="494" s="76" customFormat="1" ht="50" hidden="1" customHeight="1" spans="1:28">
      <c r="A494" s="76" t="s">
        <v>1023</v>
      </c>
      <c r="B494" s="6"/>
      <c r="C494" s="76" t="s">
        <v>30</v>
      </c>
      <c r="D494" s="76" t="s">
        <v>151</v>
      </c>
      <c r="E494" s="76" t="s">
        <v>1022</v>
      </c>
      <c r="F494" s="76" t="s">
        <v>47</v>
      </c>
      <c r="G494" s="76" t="s">
        <v>34</v>
      </c>
      <c r="H494" s="76">
        <f>STOCK[[#This Row],[Precio Final]]</f>
        <v>19</v>
      </c>
      <c r="I494" s="76">
        <f>STOCK[[#This Row],[Precio Venta Ideal (x1.5)]]</f>
        <v>15.0075</v>
      </c>
      <c r="J494" s="91">
        <v>1</v>
      </c>
      <c r="K494" s="91">
        <f>SUMIFS(VENTAS[Cantidad],VENTAS[Código del producto Vendido],STOCK[[#This Row],[Code]])</f>
        <v>1</v>
      </c>
      <c r="L494" s="91">
        <f>STOCK[[#This Row],[Entradas]]-STOCK[[#This Row],[Salidas]]</f>
        <v>0</v>
      </c>
      <c r="M494" s="76">
        <f>STOCK[[#This Row],[Precio Final]]*10%</f>
        <v>1.9</v>
      </c>
      <c r="N494" s="76">
        <v>110</v>
      </c>
      <c r="O494" s="76">
        <v>17.6</v>
      </c>
      <c r="P494" s="76">
        <v>6.25</v>
      </c>
      <c r="Q494" s="91">
        <v>106</v>
      </c>
      <c r="R494" s="76">
        <v>17.5</v>
      </c>
      <c r="S494" s="76">
        <f>STOCK[[#This Row],[Peso (g)]]*STOCK[[#This Row],[Precio Envío Kilogramo (USD)]]/1000</f>
        <v>1.855</v>
      </c>
      <c r="T494" s="76">
        <f>STOCK[[#This Row],[Costo Unitario (USD)]]+STOCK[[#This Row],[Costo Envío (USD)]]+STOCK[[#This Row],[Comisión 10%]]</f>
        <v>10.005</v>
      </c>
      <c r="U494" s="76">
        <f>STOCK[[#This Row],[Costo total]]*1.5</f>
        <v>15.0075</v>
      </c>
      <c r="V494" s="76">
        <v>19</v>
      </c>
      <c r="W494" s="76">
        <f>STOCK[[#This Row],[Precio Final]]-STOCK[[#This Row],[Costo total]]</f>
        <v>8.995</v>
      </c>
      <c r="X494" s="76">
        <f>STOCK[[#This Row],[Ganancia Unitaria]]*STOCK[[#This Row],[Salidas]]</f>
        <v>8.995</v>
      </c>
      <c r="AA494" s="76">
        <f>STOCK[[#This Row],[Costo total]]*STOCK[[#This Row],[Entradas]]</f>
        <v>10.005</v>
      </c>
      <c r="AB494" s="76">
        <f>STOCK[[#This Row],[Stock Actual]]*STOCK[[#This Row],[Costo total]]</f>
        <v>0</v>
      </c>
    </row>
    <row r="495" s="77" customFormat="1" ht="50" hidden="1" customHeight="1" spans="1:28">
      <c r="A495" s="77" t="s">
        <v>1024</v>
      </c>
      <c r="B495" s="6"/>
      <c r="C495" s="77" t="s">
        <v>30</v>
      </c>
      <c r="D495" s="77" t="s">
        <v>173</v>
      </c>
      <c r="E495" s="77" t="s">
        <v>1025</v>
      </c>
      <c r="F495" s="77" t="s">
        <v>38</v>
      </c>
      <c r="G495" s="77" t="s">
        <v>34</v>
      </c>
      <c r="H495" s="77">
        <f>STOCK[[#This Row],[Precio Final]]</f>
        <v>12</v>
      </c>
      <c r="I495" s="77">
        <f>STOCK[[#This Row],[Precio Venta Ideal (x1.5)]]</f>
        <v>11.9386363636364</v>
      </c>
      <c r="J495" s="92">
        <v>1</v>
      </c>
      <c r="K495" s="92">
        <f>SUMIFS(VENTAS[Cantidad],VENTAS[Código del producto Vendido],STOCK[[#This Row],[Code]])</f>
        <v>1</v>
      </c>
      <c r="L495" s="92">
        <f>STOCK[[#This Row],[Entradas]]-STOCK[[#This Row],[Salidas]]</f>
        <v>0</v>
      </c>
      <c r="M495" s="77">
        <f>STOCK[[#This Row],[Precio Final]]*10%</f>
        <v>1.2</v>
      </c>
      <c r="N495" s="77">
        <v>82</v>
      </c>
      <c r="O495" s="77">
        <v>17.6</v>
      </c>
      <c r="P495" s="77">
        <v>4.65909090909091</v>
      </c>
      <c r="Q495" s="92">
        <v>120</v>
      </c>
      <c r="R495" s="77">
        <v>17.5</v>
      </c>
      <c r="S495" s="77">
        <f>STOCK[[#This Row],[Peso (g)]]*STOCK[[#This Row],[Precio Envío Kilogramo (USD)]]/1000</f>
        <v>2.1</v>
      </c>
      <c r="T495" s="76">
        <f>STOCK[[#This Row],[Costo Unitario (USD)]]+STOCK[[#This Row],[Costo Envío (USD)]]+STOCK[[#This Row],[Comisión 10%]]</f>
        <v>7.95909090909091</v>
      </c>
      <c r="U495" s="77">
        <f>STOCK[[#This Row],[Costo total]]*1.5</f>
        <v>11.9386363636364</v>
      </c>
      <c r="V495" s="77">
        <v>12</v>
      </c>
      <c r="W495" s="77">
        <f>STOCK[[#This Row],[Precio Final]]-STOCK[[#This Row],[Costo total]]</f>
        <v>4.04090909090909</v>
      </c>
      <c r="X495" s="77">
        <f>STOCK[[#This Row],[Ganancia Unitaria]]*STOCK[[#This Row],[Salidas]]</f>
        <v>4.04090909090909</v>
      </c>
      <c r="Y495" s="77" t="s">
        <v>894</v>
      </c>
      <c r="AA495" s="77">
        <f>STOCK[[#This Row],[Costo total]]*STOCK[[#This Row],[Entradas]]</f>
        <v>7.95909090909091</v>
      </c>
      <c r="AB495" s="77">
        <f>STOCK[[#This Row],[Stock Actual]]*STOCK[[#This Row],[Costo total]]</f>
        <v>0</v>
      </c>
    </row>
    <row r="496" s="76" customFormat="1" ht="50" hidden="1" customHeight="1" spans="1:28">
      <c r="A496" s="76" t="s">
        <v>1026</v>
      </c>
      <c r="B496" s="6"/>
      <c r="C496" s="76" t="s">
        <v>30</v>
      </c>
      <c r="D496" s="76" t="s">
        <v>173</v>
      </c>
      <c r="E496" s="76" t="s">
        <v>1025</v>
      </c>
      <c r="F496" s="76" t="s">
        <v>60</v>
      </c>
      <c r="G496" s="76" t="s">
        <v>34</v>
      </c>
      <c r="H496" s="76">
        <f>STOCK[[#This Row],[Precio Final]]</f>
        <v>12</v>
      </c>
      <c r="I496" s="76">
        <f>STOCK[[#This Row],[Precio Venta Ideal (x1.5)]]</f>
        <v>11.9386363636364</v>
      </c>
      <c r="J496" s="91">
        <v>1</v>
      </c>
      <c r="K496" s="91">
        <f>SUMIFS(VENTAS[Cantidad],VENTAS[Código del producto Vendido],STOCK[[#This Row],[Code]])</f>
        <v>1</v>
      </c>
      <c r="L496" s="91">
        <f>STOCK[[#This Row],[Entradas]]-STOCK[[#This Row],[Salidas]]</f>
        <v>0</v>
      </c>
      <c r="M496" s="76">
        <f>STOCK[[#This Row],[Precio Final]]*10%</f>
        <v>1.2</v>
      </c>
      <c r="N496" s="76">
        <v>82</v>
      </c>
      <c r="O496" s="76">
        <v>17.6</v>
      </c>
      <c r="P496" s="76">
        <v>4.65909090909091</v>
      </c>
      <c r="Q496" s="91">
        <v>120</v>
      </c>
      <c r="R496" s="76">
        <v>17.5</v>
      </c>
      <c r="S496" s="76">
        <f>STOCK[[#This Row],[Peso (g)]]*STOCK[[#This Row],[Precio Envío Kilogramo (USD)]]/1000</f>
        <v>2.1</v>
      </c>
      <c r="T496" s="76">
        <f>STOCK[[#This Row],[Costo Unitario (USD)]]+STOCK[[#This Row],[Costo Envío (USD)]]+STOCK[[#This Row],[Comisión 10%]]</f>
        <v>7.95909090909091</v>
      </c>
      <c r="U496" s="76">
        <f>STOCK[[#This Row],[Costo total]]*1.5</f>
        <v>11.9386363636364</v>
      </c>
      <c r="V496" s="76">
        <v>12</v>
      </c>
      <c r="W496" s="76">
        <f>STOCK[[#This Row],[Precio Final]]-STOCK[[#This Row],[Costo total]]</f>
        <v>4.04090909090909</v>
      </c>
      <c r="X496" s="76">
        <f>STOCK[[#This Row],[Ganancia Unitaria]]*STOCK[[#This Row],[Salidas]]</f>
        <v>4.04090909090909</v>
      </c>
      <c r="Y496" s="76" t="s">
        <v>894</v>
      </c>
      <c r="AA496" s="76">
        <f>STOCK[[#This Row],[Costo total]]*STOCK[[#This Row],[Entradas]]</f>
        <v>7.95909090909091</v>
      </c>
      <c r="AB496" s="76">
        <f>STOCK[[#This Row],[Stock Actual]]*STOCK[[#This Row],[Costo total]]</f>
        <v>0</v>
      </c>
    </row>
    <row r="497" s="77" customFormat="1" ht="50" hidden="1" customHeight="1" spans="1:28">
      <c r="A497" s="77" t="s">
        <v>1027</v>
      </c>
      <c r="B497" s="6"/>
      <c r="C497" s="77" t="s">
        <v>30</v>
      </c>
      <c r="D497" s="77" t="s">
        <v>173</v>
      </c>
      <c r="E497" s="77" t="s">
        <v>1025</v>
      </c>
      <c r="F497" s="77" t="s">
        <v>47</v>
      </c>
      <c r="G497" s="77" t="s">
        <v>34</v>
      </c>
      <c r="H497" s="77">
        <f>STOCK[[#This Row],[Precio Final]]</f>
        <v>12</v>
      </c>
      <c r="I497" s="77">
        <f>STOCK[[#This Row],[Precio Venta Ideal (x1.5)]]</f>
        <v>11.9386363636364</v>
      </c>
      <c r="J497" s="92">
        <v>1</v>
      </c>
      <c r="K497" s="92">
        <f>SUMIFS(VENTAS[Cantidad],VENTAS[Código del producto Vendido],STOCK[[#This Row],[Code]])</f>
        <v>1</v>
      </c>
      <c r="L497" s="92">
        <f>STOCK[[#This Row],[Entradas]]-STOCK[[#This Row],[Salidas]]</f>
        <v>0</v>
      </c>
      <c r="M497" s="77">
        <f>STOCK[[#This Row],[Precio Final]]*10%</f>
        <v>1.2</v>
      </c>
      <c r="N497" s="77">
        <v>82</v>
      </c>
      <c r="O497" s="77">
        <v>17.6</v>
      </c>
      <c r="P497" s="77">
        <v>4.65909090909091</v>
      </c>
      <c r="Q497" s="92">
        <v>120</v>
      </c>
      <c r="R497" s="77">
        <v>17.5</v>
      </c>
      <c r="S497" s="77">
        <f>STOCK[[#This Row],[Peso (g)]]*STOCK[[#This Row],[Precio Envío Kilogramo (USD)]]/1000</f>
        <v>2.1</v>
      </c>
      <c r="T497" s="76">
        <f>STOCK[[#This Row],[Costo Unitario (USD)]]+STOCK[[#This Row],[Costo Envío (USD)]]+STOCK[[#This Row],[Comisión 10%]]</f>
        <v>7.95909090909091</v>
      </c>
      <c r="U497" s="77">
        <f>STOCK[[#This Row],[Costo total]]*1.5</f>
        <v>11.9386363636364</v>
      </c>
      <c r="V497" s="77">
        <v>12</v>
      </c>
      <c r="W497" s="77">
        <f>STOCK[[#This Row],[Precio Final]]-STOCK[[#This Row],[Costo total]]</f>
        <v>4.04090909090909</v>
      </c>
      <c r="X497" s="77">
        <f>STOCK[[#This Row],[Ganancia Unitaria]]*STOCK[[#This Row],[Salidas]]</f>
        <v>4.04090909090909</v>
      </c>
      <c r="Y497" s="77" t="s">
        <v>894</v>
      </c>
      <c r="AA497" s="77">
        <f>STOCK[[#This Row],[Costo total]]*STOCK[[#This Row],[Entradas]]</f>
        <v>7.95909090909091</v>
      </c>
      <c r="AB497" s="77">
        <f>STOCK[[#This Row],[Stock Actual]]*STOCK[[#This Row],[Costo total]]</f>
        <v>0</v>
      </c>
    </row>
    <row r="498" s="76" customFormat="1" ht="50" hidden="1" customHeight="1" spans="1:28">
      <c r="A498" s="76" t="s">
        <v>1028</v>
      </c>
      <c r="B498" s="6"/>
      <c r="C498" s="76" t="s">
        <v>30</v>
      </c>
      <c r="D498" s="76" t="s">
        <v>173</v>
      </c>
      <c r="E498" s="76" t="s">
        <v>1029</v>
      </c>
      <c r="F498" s="76" t="s">
        <v>60</v>
      </c>
      <c r="G498" s="76" t="s">
        <v>34</v>
      </c>
      <c r="H498" s="76">
        <f>STOCK[[#This Row],[Precio Final]]</f>
        <v>12</v>
      </c>
      <c r="I498" s="76">
        <f>STOCK[[#This Row],[Precio Venta Ideal (x1.5)]]</f>
        <v>13.4335227272727</v>
      </c>
      <c r="J498" s="91">
        <v>3</v>
      </c>
      <c r="K498" s="91">
        <f>SUMIFS(VENTAS[Cantidad],VENTAS[Código del producto Vendido],STOCK[[#This Row],[Code]])</f>
        <v>3</v>
      </c>
      <c r="L498" s="91">
        <f>STOCK[[#This Row],[Entradas]]-STOCK[[#This Row],[Salidas]]</f>
        <v>0</v>
      </c>
      <c r="M498" s="76">
        <f>STOCK[[#This Row],[Precio Final]]*10%</f>
        <v>1.2</v>
      </c>
      <c r="N498" s="76">
        <v>98</v>
      </c>
      <c r="O498" s="76">
        <v>17.6</v>
      </c>
      <c r="P498" s="76">
        <v>5.56818181818182</v>
      </c>
      <c r="Q498" s="91">
        <v>125</v>
      </c>
      <c r="R498" s="76">
        <v>17.5</v>
      </c>
      <c r="S498" s="76">
        <f>STOCK[[#This Row],[Peso (g)]]*STOCK[[#This Row],[Precio Envío Kilogramo (USD)]]/1000</f>
        <v>2.1875</v>
      </c>
      <c r="T498" s="76">
        <f>STOCK[[#This Row],[Costo Unitario (USD)]]+STOCK[[#This Row],[Costo Envío (USD)]]+STOCK[[#This Row],[Comisión 10%]]</f>
        <v>8.95568181818182</v>
      </c>
      <c r="U498" s="76">
        <f>STOCK[[#This Row],[Costo total]]*1.5</f>
        <v>13.4335227272727</v>
      </c>
      <c r="V498" s="76">
        <v>12</v>
      </c>
      <c r="W498" s="76">
        <f>STOCK[[#This Row],[Precio Final]]-STOCK[[#This Row],[Costo total]]</f>
        <v>3.04431818181818</v>
      </c>
      <c r="X498" s="76">
        <f>STOCK[[#This Row],[Ganancia Unitaria]]*STOCK[[#This Row],[Salidas]]</f>
        <v>9.13295454545454</v>
      </c>
      <c r="Y498" s="76" t="s">
        <v>891</v>
      </c>
      <c r="AA498" s="76">
        <f>STOCK[[#This Row],[Costo total]]*STOCK[[#This Row],[Entradas]]</f>
        <v>26.8670454545455</v>
      </c>
      <c r="AB498" s="76">
        <f>STOCK[[#This Row],[Stock Actual]]*STOCK[[#This Row],[Costo total]]</f>
        <v>0</v>
      </c>
    </row>
    <row r="499" s="77" customFormat="1" ht="50" hidden="1" customHeight="1" spans="1:28">
      <c r="A499" s="77" t="s">
        <v>1030</v>
      </c>
      <c r="B499" s="6"/>
      <c r="C499" s="77" t="s">
        <v>30</v>
      </c>
      <c r="D499" s="77" t="s">
        <v>545</v>
      </c>
      <c r="E499" s="77" t="s">
        <v>1031</v>
      </c>
      <c r="F499" s="77" t="s">
        <v>47</v>
      </c>
      <c r="G499" s="77" t="s">
        <v>34</v>
      </c>
      <c r="H499" s="77">
        <f>STOCK[[#This Row],[Precio Final]]</f>
        <v>12</v>
      </c>
      <c r="I499" s="77">
        <f>STOCK[[#This Row],[Precio Venta Ideal (x1.5)]]</f>
        <v>7.50511363636363</v>
      </c>
      <c r="J499" s="92">
        <v>1</v>
      </c>
      <c r="K499" s="92">
        <f>SUMIFS(VENTAS[Cantidad],VENTAS[Código del producto Vendido],STOCK[[#This Row],[Code]])</f>
        <v>1</v>
      </c>
      <c r="L499" s="92">
        <f>STOCK[[#This Row],[Entradas]]-STOCK[[#This Row],[Salidas]]</f>
        <v>0</v>
      </c>
      <c r="M499" s="77">
        <f>STOCK[[#This Row],[Precio Final]]*10%</f>
        <v>1.2</v>
      </c>
      <c r="N499" s="77">
        <v>50</v>
      </c>
      <c r="O499" s="77">
        <v>17.6</v>
      </c>
      <c r="P499" s="77">
        <v>2.84090909090909</v>
      </c>
      <c r="Q499" s="92">
        <v>55</v>
      </c>
      <c r="R499" s="77">
        <v>17.5</v>
      </c>
      <c r="S499" s="77">
        <f>STOCK[[#This Row],[Peso (g)]]*STOCK[[#This Row],[Precio Envío Kilogramo (USD)]]/1000</f>
        <v>0.9625</v>
      </c>
      <c r="T499" s="76">
        <f>STOCK[[#This Row],[Costo Unitario (USD)]]+STOCK[[#This Row],[Costo Envío (USD)]]+STOCK[[#This Row],[Comisión 10%]]</f>
        <v>5.00340909090909</v>
      </c>
      <c r="U499" s="77">
        <f>STOCK[[#This Row],[Costo total]]*1.5</f>
        <v>7.50511363636363</v>
      </c>
      <c r="V499" s="77">
        <v>12</v>
      </c>
      <c r="W499" s="77">
        <f>STOCK[[#This Row],[Precio Final]]-STOCK[[#This Row],[Costo total]]</f>
        <v>6.99659090909091</v>
      </c>
      <c r="X499" s="77">
        <f>STOCK[[#This Row],[Ganancia Unitaria]]*STOCK[[#This Row],[Salidas]]</f>
        <v>6.99659090909091</v>
      </c>
      <c r="Y499" s="77" t="s">
        <v>894</v>
      </c>
      <c r="AA499" s="77">
        <f>STOCK[[#This Row],[Costo total]]*STOCK[[#This Row],[Entradas]]</f>
        <v>5.00340909090909</v>
      </c>
      <c r="AB499" s="77">
        <f>STOCK[[#This Row],[Stock Actual]]*STOCK[[#This Row],[Costo total]]</f>
        <v>0</v>
      </c>
    </row>
    <row r="500" s="76" customFormat="1" ht="50" hidden="1" customHeight="1" spans="1:28">
      <c r="A500" s="76" t="s">
        <v>1032</v>
      </c>
      <c r="B500" s="6"/>
      <c r="C500" s="76" t="s">
        <v>30</v>
      </c>
      <c r="D500" s="76" t="s">
        <v>154</v>
      </c>
      <c r="E500" s="76" t="s">
        <v>1033</v>
      </c>
      <c r="F500" s="76" t="s">
        <v>60</v>
      </c>
      <c r="G500" s="76" t="s">
        <v>34</v>
      </c>
      <c r="H500" s="76">
        <f>STOCK[[#This Row],[Precio Final]]</f>
        <v>35</v>
      </c>
      <c r="I500" s="76">
        <f>STOCK[[#This Row],[Precio Venta Ideal (x1.5)]]</f>
        <v>42.2727272727273</v>
      </c>
      <c r="J500" s="91">
        <v>3</v>
      </c>
      <c r="K500" s="91">
        <f>SUMIFS(VENTAS[Cantidad],VENTAS[Código del producto Vendido],STOCK[[#This Row],[Code]])</f>
        <v>3</v>
      </c>
      <c r="L500" s="91">
        <f>STOCK[[#This Row],[Entradas]]-STOCK[[#This Row],[Salidas]]</f>
        <v>0</v>
      </c>
      <c r="M500" s="76">
        <f>STOCK[[#This Row],[Precio Final]]*10%</f>
        <v>3.5</v>
      </c>
      <c r="N500" s="76">
        <v>265</v>
      </c>
      <c r="O500" s="76">
        <v>17.6</v>
      </c>
      <c r="P500" s="76">
        <v>15.0568181818182</v>
      </c>
      <c r="Q500" s="91">
        <v>550</v>
      </c>
      <c r="R500" s="76">
        <v>17.5</v>
      </c>
      <c r="S500" s="76">
        <f>STOCK[[#This Row],[Peso (g)]]*STOCK[[#This Row],[Precio Envío Kilogramo (USD)]]/1000</f>
        <v>9.625</v>
      </c>
      <c r="T500" s="76">
        <f>STOCK[[#This Row],[Costo Unitario (USD)]]+STOCK[[#This Row],[Costo Envío (USD)]]+STOCK[[#This Row],[Comisión 10%]]</f>
        <v>28.1818181818182</v>
      </c>
      <c r="U500" s="76">
        <f>STOCK[[#This Row],[Costo total]]*1.5</f>
        <v>42.2727272727273</v>
      </c>
      <c r="V500" s="76">
        <v>35</v>
      </c>
      <c r="W500" s="76">
        <f>STOCK[[#This Row],[Precio Final]]-STOCK[[#This Row],[Costo total]]</f>
        <v>6.8181818181818</v>
      </c>
      <c r="X500" s="76">
        <f>STOCK[[#This Row],[Ganancia Unitaria]]*STOCK[[#This Row],[Salidas]]</f>
        <v>20.4545454545454</v>
      </c>
      <c r="AA500" s="76">
        <f>STOCK[[#This Row],[Costo total]]*STOCK[[#This Row],[Entradas]]</f>
        <v>84.5454545454546</v>
      </c>
      <c r="AB500" s="76">
        <f>STOCK[[#This Row],[Stock Actual]]*STOCK[[#This Row],[Costo total]]</f>
        <v>0</v>
      </c>
    </row>
    <row r="501" s="77" customFormat="1" ht="50" hidden="1" customHeight="1" spans="1:28">
      <c r="A501" s="77" t="s">
        <v>1034</v>
      </c>
      <c r="B501" s="6"/>
      <c r="C501" s="77" t="s">
        <v>30</v>
      </c>
      <c r="D501" s="77" t="s">
        <v>154</v>
      </c>
      <c r="E501" s="77" t="s">
        <v>1033</v>
      </c>
      <c r="F501" s="77" t="s">
        <v>47</v>
      </c>
      <c r="G501" s="77" t="s">
        <v>34</v>
      </c>
      <c r="H501" s="77">
        <f>STOCK[[#This Row],[Precio Final]]</f>
        <v>35</v>
      </c>
      <c r="I501" s="77">
        <f>STOCK[[#This Row],[Precio Venta Ideal (x1.5)]]</f>
        <v>42.2727272727273</v>
      </c>
      <c r="J501" s="92">
        <v>3</v>
      </c>
      <c r="K501" s="92">
        <f>SUMIFS(VENTAS[Cantidad],VENTAS[Código del producto Vendido],STOCK[[#This Row],[Code]])</f>
        <v>3</v>
      </c>
      <c r="L501" s="92">
        <f>STOCK[[#This Row],[Entradas]]-STOCK[[#This Row],[Salidas]]</f>
        <v>0</v>
      </c>
      <c r="M501" s="77">
        <f>STOCK[[#This Row],[Precio Final]]*10%</f>
        <v>3.5</v>
      </c>
      <c r="N501" s="77">
        <v>265</v>
      </c>
      <c r="O501" s="77">
        <v>17.6</v>
      </c>
      <c r="P501" s="77">
        <v>15.0568181818182</v>
      </c>
      <c r="Q501" s="92">
        <v>550</v>
      </c>
      <c r="R501" s="77">
        <v>17.5</v>
      </c>
      <c r="S501" s="77">
        <f>STOCK[[#This Row],[Peso (g)]]*STOCK[[#This Row],[Precio Envío Kilogramo (USD)]]/1000</f>
        <v>9.625</v>
      </c>
      <c r="T501" s="76">
        <f>STOCK[[#This Row],[Costo Unitario (USD)]]+STOCK[[#This Row],[Costo Envío (USD)]]+STOCK[[#This Row],[Comisión 10%]]</f>
        <v>28.1818181818182</v>
      </c>
      <c r="U501" s="77">
        <f>STOCK[[#This Row],[Costo total]]*1.5</f>
        <v>42.2727272727273</v>
      </c>
      <c r="V501" s="77">
        <v>35</v>
      </c>
      <c r="W501" s="77">
        <f>STOCK[[#This Row],[Precio Final]]-STOCK[[#This Row],[Costo total]]</f>
        <v>6.8181818181818</v>
      </c>
      <c r="X501" s="77">
        <f>STOCK[[#This Row],[Ganancia Unitaria]]*STOCK[[#This Row],[Salidas]]</f>
        <v>20.4545454545454</v>
      </c>
      <c r="AA501" s="77">
        <f>STOCK[[#This Row],[Costo total]]*STOCK[[#This Row],[Entradas]]</f>
        <v>84.5454545454546</v>
      </c>
      <c r="AB501" s="77">
        <f>STOCK[[#This Row],[Stock Actual]]*STOCK[[#This Row],[Costo total]]</f>
        <v>0</v>
      </c>
    </row>
    <row r="502" s="76" customFormat="1" ht="50" hidden="1" customHeight="1" spans="1:28">
      <c r="A502" s="76" t="s">
        <v>1035</v>
      </c>
      <c r="B502" s="6"/>
      <c r="C502" s="76" t="s">
        <v>30</v>
      </c>
      <c r="D502" s="76" t="s">
        <v>151</v>
      </c>
      <c r="E502" s="76" t="s">
        <v>1036</v>
      </c>
      <c r="F502" s="76" t="s">
        <v>47</v>
      </c>
      <c r="G502" s="76" t="s">
        <v>34</v>
      </c>
      <c r="H502" s="76">
        <f>STOCK[[#This Row],[Precio Final]]</f>
        <v>23</v>
      </c>
      <c r="I502" s="76">
        <f>STOCK[[#This Row],[Precio Venta Ideal (x1.5)]]</f>
        <v>25.3875</v>
      </c>
      <c r="J502" s="91">
        <v>2</v>
      </c>
      <c r="K502" s="91">
        <f>SUMIFS(VENTAS[Cantidad],VENTAS[Código del producto Vendido],STOCK[[#This Row],[Code]])</f>
        <v>1</v>
      </c>
      <c r="L502" s="91">
        <f>STOCK[[#This Row],[Entradas]]-STOCK[[#This Row],[Salidas]]</f>
        <v>1</v>
      </c>
      <c r="M502" s="76">
        <f>STOCK[[#This Row],[Precio Final]]*10%</f>
        <v>2.3</v>
      </c>
      <c r="N502" s="76">
        <v>165</v>
      </c>
      <c r="O502" s="76">
        <v>17.6</v>
      </c>
      <c r="P502" s="76">
        <v>9.375</v>
      </c>
      <c r="Q502" s="91">
        <v>300</v>
      </c>
      <c r="R502" s="76">
        <v>17.5</v>
      </c>
      <c r="S502" s="76">
        <f>STOCK[[#This Row],[Peso (g)]]*STOCK[[#This Row],[Precio Envío Kilogramo (USD)]]/1000</f>
        <v>5.25</v>
      </c>
      <c r="T502" s="76">
        <f>STOCK[[#This Row],[Costo Unitario (USD)]]+STOCK[[#This Row],[Costo Envío (USD)]]+STOCK[[#This Row],[Comisión 10%]]</f>
        <v>16.925</v>
      </c>
      <c r="U502" s="76">
        <f>STOCK[[#This Row],[Costo total]]*1.5</f>
        <v>25.3875</v>
      </c>
      <c r="V502" s="76">
        <v>23</v>
      </c>
      <c r="W502" s="76">
        <f>STOCK[[#This Row],[Precio Final]]-STOCK[[#This Row],[Costo total]]</f>
        <v>6.075</v>
      </c>
      <c r="X502" s="76">
        <f>STOCK[[#This Row],[Ganancia Unitaria]]*STOCK[[#This Row],[Salidas]]</f>
        <v>6.075</v>
      </c>
      <c r="AA502" s="76">
        <f>STOCK[[#This Row],[Costo total]]*STOCK[[#This Row],[Entradas]]</f>
        <v>33.85</v>
      </c>
      <c r="AB502" s="76">
        <f>STOCK[[#This Row],[Stock Actual]]*STOCK[[#This Row],[Costo total]]</f>
        <v>16.925</v>
      </c>
    </row>
    <row r="503" s="77" customFormat="1" ht="50" hidden="1" customHeight="1" spans="1:28">
      <c r="A503" s="77" t="s">
        <v>1037</v>
      </c>
      <c r="B503" s="6"/>
      <c r="C503" s="77" t="s">
        <v>30</v>
      </c>
      <c r="D503" s="77" t="s">
        <v>151</v>
      </c>
      <c r="E503" s="77" t="s">
        <v>1038</v>
      </c>
      <c r="F503" s="77" t="s">
        <v>210</v>
      </c>
      <c r="G503" s="77" t="s">
        <v>34</v>
      </c>
      <c r="H503" s="77">
        <f>STOCK[[#This Row],[Precio Final]]</f>
        <v>25</v>
      </c>
      <c r="I503" s="77">
        <f>STOCK[[#This Row],[Precio Venta Ideal (x1.5)]]</f>
        <v>25.6875</v>
      </c>
      <c r="J503" s="92">
        <v>1</v>
      </c>
      <c r="K503" s="92">
        <f>SUMIFS(VENTAS[Cantidad],VENTAS[Código del producto Vendido],STOCK[[#This Row],[Code]])</f>
        <v>1</v>
      </c>
      <c r="L503" s="92">
        <f>STOCK[[#This Row],[Entradas]]-STOCK[[#This Row],[Salidas]]</f>
        <v>0</v>
      </c>
      <c r="M503" s="77">
        <f>STOCK[[#This Row],[Precio Final]]*10%</f>
        <v>2.5</v>
      </c>
      <c r="N503" s="77">
        <v>165</v>
      </c>
      <c r="O503" s="77">
        <v>17.6</v>
      </c>
      <c r="P503" s="77">
        <v>9.375</v>
      </c>
      <c r="Q503" s="92">
        <v>300</v>
      </c>
      <c r="R503" s="77">
        <v>17.5</v>
      </c>
      <c r="S503" s="77">
        <f>STOCK[[#This Row],[Peso (g)]]*STOCK[[#This Row],[Precio Envío Kilogramo (USD)]]/1000</f>
        <v>5.25</v>
      </c>
      <c r="T503" s="76">
        <f>STOCK[[#This Row],[Costo Unitario (USD)]]+STOCK[[#This Row],[Costo Envío (USD)]]+STOCK[[#This Row],[Comisión 10%]]</f>
        <v>17.125</v>
      </c>
      <c r="U503" s="77">
        <f>STOCK[[#This Row],[Costo total]]*1.5</f>
        <v>25.6875</v>
      </c>
      <c r="V503" s="77">
        <v>25</v>
      </c>
      <c r="W503" s="77">
        <f>STOCK[[#This Row],[Precio Final]]-STOCK[[#This Row],[Costo total]]</f>
        <v>7.875</v>
      </c>
      <c r="X503" s="77">
        <f>STOCK[[#This Row],[Ganancia Unitaria]]*STOCK[[#This Row],[Salidas]]</f>
        <v>7.875</v>
      </c>
      <c r="AA503" s="77">
        <f>STOCK[[#This Row],[Costo total]]*STOCK[[#This Row],[Entradas]]</f>
        <v>17.125</v>
      </c>
      <c r="AB503" s="77">
        <f>STOCK[[#This Row],[Stock Actual]]*STOCK[[#This Row],[Costo total]]</f>
        <v>0</v>
      </c>
    </row>
    <row r="504" s="76" customFormat="1" ht="50" hidden="1" customHeight="1" spans="1:28">
      <c r="A504" s="76" t="s">
        <v>1039</v>
      </c>
      <c r="B504" s="6"/>
      <c r="C504" s="76" t="s">
        <v>30</v>
      </c>
      <c r="D504" s="76" t="s">
        <v>154</v>
      </c>
      <c r="E504" s="76" t="s">
        <v>1040</v>
      </c>
      <c r="F504" s="76" t="s">
        <v>38</v>
      </c>
      <c r="G504" s="76" t="s">
        <v>34</v>
      </c>
      <c r="H504" s="76">
        <f>STOCK[[#This Row],[Precio Final]]</f>
        <v>35</v>
      </c>
      <c r="I504" s="76">
        <f>STOCK[[#This Row],[Precio Venta Ideal (x1.5)]]</f>
        <v>46.5340909090909</v>
      </c>
      <c r="J504" s="91">
        <v>4</v>
      </c>
      <c r="K504" s="91">
        <f>SUMIFS(VENTAS[Cantidad],VENTAS[Código del producto Vendido],STOCK[[#This Row],[Code]])</f>
        <v>4</v>
      </c>
      <c r="L504" s="91">
        <f>STOCK[[#This Row],[Entradas]]-STOCK[[#This Row],[Salidas]]</f>
        <v>0</v>
      </c>
      <c r="M504" s="76">
        <f>STOCK[[#This Row],[Precio Final]]*10%</f>
        <v>3.5</v>
      </c>
      <c r="N504" s="76">
        <v>315</v>
      </c>
      <c r="O504" s="76">
        <v>17.6</v>
      </c>
      <c r="P504" s="76">
        <v>17.8977272727273</v>
      </c>
      <c r="Q504" s="91">
        <v>550</v>
      </c>
      <c r="R504" s="76">
        <v>17.5</v>
      </c>
      <c r="S504" s="76">
        <f>STOCK[[#This Row],[Peso (g)]]*STOCK[[#This Row],[Precio Envío Kilogramo (USD)]]/1000</f>
        <v>9.625</v>
      </c>
      <c r="T504" s="76">
        <f>STOCK[[#This Row],[Costo Unitario (USD)]]+STOCK[[#This Row],[Costo Envío (USD)]]+STOCK[[#This Row],[Comisión 10%]]</f>
        <v>31.0227272727273</v>
      </c>
      <c r="U504" s="76">
        <f>STOCK[[#This Row],[Costo total]]*1.5</f>
        <v>46.5340909090909</v>
      </c>
      <c r="V504" s="76">
        <v>35</v>
      </c>
      <c r="W504" s="76">
        <f>STOCK[[#This Row],[Precio Final]]-STOCK[[#This Row],[Costo total]]</f>
        <v>3.9772727272727</v>
      </c>
      <c r="X504" s="76">
        <f>STOCK[[#This Row],[Ganancia Unitaria]]*STOCK[[#This Row],[Salidas]]</f>
        <v>15.9090909090908</v>
      </c>
      <c r="AA504" s="76">
        <f>STOCK[[#This Row],[Costo total]]*STOCK[[#This Row],[Entradas]]</f>
        <v>124.090909090909</v>
      </c>
      <c r="AB504" s="76">
        <f>STOCK[[#This Row],[Stock Actual]]*STOCK[[#This Row],[Costo total]]</f>
        <v>0</v>
      </c>
    </row>
    <row r="505" s="77" customFormat="1" ht="50" hidden="1" customHeight="1" spans="1:28">
      <c r="A505" s="77" t="s">
        <v>1041</v>
      </c>
      <c r="B505" s="6"/>
      <c r="C505" s="77" t="s">
        <v>30</v>
      </c>
      <c r="D505" s="77" t="s">
        <v>154</v>
      </c>
      <c r="E505" s="77" t="s">
        <v>1040</v>
      </c>
      <c r="F505" s="77" t="s">
        <v>60</v>
      </c>
      <c r="G505" s="77" t="s">
        <v>34</v>
      </c>
      <c r="H505" s="77">
        <f>STOCK[[#This Row],[Precio Final]]</f>
        <v>35</v>
      </c>
      <c r="I505" s="77">
        <f>STOCK[[#This Row],[Precio Venta Ideal (x1.5)]]</f>
        <v>46.5340909090909</v>
      </c>
      <c r="J505" s="92">
        <v>3</v>
      </c>
      <c r="K505" s="92">
        <f>SUMIFS(VENTAS[Cantidad],VENTAS[Código del producto Vendido],STOCK[[#This Row],[Code]])</f>
        <v>3</v>
      </c>
      <c r="L505" s="92">
        <f>STOCK[[#This Row],[Entradas]]-STOCK[[#This Row],[Salidas]]</f>
        <v>0</v>
      </c>
      <c r="M505" s="77">
        <f>STOCK[[#This Row],[Precio Final]]*10%</f>
        <v>3.5</v>
      </c>
      <c r="N505" s="77">
        <v>315</v>
      </c>
      <c r="O505" s="77">
        <v>17.6</v>
      </c>
      <c r="P505" s="77">
        <v>17.8977272727273</v>
      </c>
      <c r="Q505" s="92">
        <v>550</v>
      </c>
      <c r="R505" s="77">
        <v>17.5</v>
      </c>
      <c r="S505" s="77">
        <f>STOCK[[#This Row],[Peso (g)]]*STOCK[[#This Row],[Precio Envío Kilogramo (USD)]]/1000</f>
        <v>9.625</v>
      </c>
      <c r="T505" s="76">
        <f>STOCK[[#This Row],[Costo Unitario (USD)]]+STOCK[[#This Row],[Costo Envío (USD)]]+STOCK[[#This Row],[Comisión 10%]]</f>
        <v>31.0227272727273</v>
      </c>
      <c r="U505" s="77">
        <f>STOCK[[#This Row],[Costo total]]*1.5</f>
        <v>46.5340909090909</v>
      </c>
      <c r="V505" s="77">
        <v>35</v>
      </c>
      <c r="W505" s="77">
        <f>STOCK[[#This Row],[Precio Final]]-STOCK[[#This Row],[Costo total]]</f>
        <v>3.9772727272727</v>
      </c>
      <c r="X505" s="77">
        <f>STOCK[[#This Row],[Ganancia Unitaria]]*STOCK[[#This Row],[Salidas]]</f>
        <v>11.9318181818181</v>
      </c>
      <c r="AA505" s="77">
        <f>STOCK[[#This Row],[Costo total]]*STOCK[[#This Row],[Entradas]]</f>
        <v>93.0681818181819</v>
      </c>
      <c r="AB505" s="77">
        <f>STOCK[[#This Row],[Stock Actual]]*STOCK[[#This Row],[Costo total]]</f>
        <v>0</v>
      </c>
    </row>
    <row r="506" s="76" customFormat="1" ht="50" hidden="1" customHeight="1" spans="1:28">
      <c r="A506" s="76" t="s">
        <v>1042</v>
      </c>
      <c r="B506" s="6"/>
      <c r="C506" s="76" t="s">
        <v>30</v>
      </c>
      <c r="D506" s="76" t="s">
        <v>154</v>
      </c>
      <c r="E506" s="76" t="s">
        <v>1040</v>
      </c>
      <c r="F506" s="76" t="s">
        <v>47</v>
      </c>
      <c r="G506" s="76" t="s">
        <v>34</v>
      </c>
      <c r="H506" s="76">
        <f>STOCK[[#This Row],[Precio Final]]</f>
        <v>35</v>
      </c>
      <c r="I506" s="76">
        <f>STOCK[[#This Row],[Precio Venta Ideal (x1.5)]]</f>
        <v>46.5340909090909</v>
      </c>
      <c r="J506" s="91">
        <v>2</v>
      </c>
      <c r="K506" s="91">
        <f>SUMIFS(VENTAS[Cantidad],VENTAS[Código del producto Vendido],STOCK[[#This Row],[Code]])</f>
        <v>2</v>
      </c>
      <c r="L506" s="91">
        <f>STOCK[[#This Row],[Entradas]]-STOCK[[#This Row],[Salidas]]</f>
        <v>0</v>
      </c>
      <c r="M506" s="76">
        <f>STOCK[[#This Row],[Precio Final]]*10%</f>
        <v>3.5</v>
      </c>
      <c r="N506" s="76">
        <v>315</v>
      </c>
      <c r="O506" s="76">
        <v>17.6</v>
      </c>
      <c r="P506" s="76">
        <v>17.8977272727273</v>
      </c>
      <c r="Q506" s="91">
        <v>550</v>
      </c>
      <c r="R506" s="76">
        <v>17.5</v>
      </c>
      <c r="S506" s="76">
        <f>STOCK[[#This Row],[Peso (g)]]*STOCK[[#This Row],[Precio Envío Kilogramo (USD)]]/1000</f>
        <v>9.625</v>
      </c>
      <c r="T506" s="76">
        <f>STOCK[[#This Row],[Costo Unitario (USD)]]+STOCK[[#This Row],[Costo Envío (USD)]]+STOCK[[#This Row],[Comisión 10%]]</f>
        <v>31.0227272727273</v>
      </c>
      <c r="U506" s="76">
        <f>STOCK[[#This Row],[Costo total]]*1.5</f>
        <v>46.5340909090909</v>
      </c>
      <c r="V506" s="76">
        <v>35</v>
      </c>
      <c r="W506" s="76">
        <f>STOCK[[#This Row],[Precio Final]]-STOCK[[#This Row],[Costo total]]</f>
        <v>3.9772727272727</v>
      </c>
      <c r="X506" s="76">
        <f>STOCK[[#This Row],[Ganancia Unitaria]]*STOCK[[#This Row],[Salidas]]</f>
        <v>7.9545454545454</v>
      </c>
      <c r="AA506" s="76">
        <f>STOCK[[#This Row],[Costo total]]*STOCK[[#This Row],[Entradas]]</f>
        <v>62.0454545454546</v>
      </c>
      <c r="AB506" s="76">
        <f>STOCK[[#This Row],[Stock Actual]]*STOCK[[#This Row],[Costo total]]</f>
        <v>0</v>
      </c>
    </row>
    <row r="507" s="77" customFormat="1" ht="50" hidden="1" customHeight="1" spans="1:28">
      <c r="A507" s="77" t="s">
        <v>1043</v>
      </c>
      <c r="B507" s="6"/>
      <c r="C507" s="77" t="s">
        <v>30</v>
      </c>
      <c r="D507" s="77" t="s">
        <v>154</v>
      </c>
      <c r="E507" s="77" t="s">
        <v>1044</v>
      </c>
      <c r="F507" s="77" t="s">
        <v>1045</v>
      </c>
      <c r="G507" s="77" t="s">
        <v>34</v>
      </c>
      <c r="H507" s="77">
        <f>STOCK[[#This Row],[Precio Final]]</f>
        <v>30</v>
      </c>
      <c r="I507" s="77">
        <f>STOCK[[#This Row],[Precio Venta Ideal (x1.5)]]</f>
        <v>43.2272727272727</v>
      </c>
      <c r="J507" s="92">
        <v>3</v>
      </c>
      <c r="K507" s="92">
        <f>SUMIFS(VENTAS[Cantidad],VENTAS[Código del producto Vendido],STOCK[[#This Row],[Code]])</f>
        <v>3</v>
      </c>
      <c r="L507" s="92">
        <f>STOCK[[#This Row],[Entradas]]-STOCK[[#This Row],[Salidas]]</f>
        <v>0</v>
      </c>
      <c r="M507" s="77">
        <f>STOCK[[#This Row],[Precio Final]]*10%</f>
        <v>3</v>
      </c>
      <c r="N507" s="77">
        <v>285</v>
      </c>
      <c r="O507" s="77">
        <v>17.6</v>
      </c>
      <c r="P507" s="77">
        <v>16.1931818181818</v>
      </c>
      <c r="Q507" s="92">
        <v>550</v>
      </c>
      <c r="R507" s="77">
        <v>17.5</v>
      </c>
      <c r="S507" s="77">
        <f>STOCK[[#This Row],[Peso (g)]]*STOCK[[#This Row],[Precio Envío Kilogramo (USD)]]/1000</f>
        <v>9.625</v>
      </c>
      <c r="T507" s="76">
        <f>STOCK[[#This Row],[Costo Unitario (USD)]]+STOCK[[#This Row],[Costo Envío (USD)]]+STOCK[[#This Row],[Comisión 10%]]</f>
        <v>28.8181818181818</v>
      </c>
      <c r="U507" s="77">
        <f>STOCK[[#This Row],[Costo total]]*1.5</f>
        <v>43.2272727272727</v>
      </c>
      <c r="V507" s="77">
        <v>30</v>
      </c>
      <c r="W507" s="77">
        <f>STOCK[[#This Row],[Precio Final]]-STOCK[[#This Row],[Costo total]]</f>
        <v>1.1818181818182</v>
      </c>
      <c r="X507" s="77">
        <f>STOCK[[#This Row],[Ganancia Unitaria]]*STOCK[[#This Row],[Salidas]]</f>
        <v>3.5454545454546</v>
      </c>
      <c r="AA507" s="77">
        <f>STOCK[[#This Row],[Costo total]]*STOCK[[#This Row],[Entradas]]</f>
        <v>86.4545454545454</v>
      </c>
      <c r="AB507" s="77">
        <f>STOCK[[#This Row],[Stock Actual]]*STOCK[[#This Row],[Costo total]]</f>
        <v>0</v>
      </c>
    </row>
    <row r="508" s="76" customFormat="1" ht="50" hidden="1" customHeight="1" spans="1:28">
      <c r="A508" s="76" t="s">
        <v>1046</v>
      </c>
      <c r="B508" s="6"/>
      <c r="C508" s="76" t="s">
        <v>30</v>
      </c>
      <c r="D508" s="76" t="s">
        <v>154</v>
      </c>
      <c r="E508" s="76" t="s">
        <v>1044</v>
      </c>
      <c r="F508" s="76" t="s">
        <v>47</v>
      </c>
      <c r="G508" s="76" t="s">
        <v>34</v>
      </c>
      <c r="H508" s="76">
        <f>STOCK[[#This Row],[Precio Final]]</f>
        <v>35</v>
      </c>
      <c r="I508" s="76">
        <f>STOCK[[#This Row],[Precio Venta Ideal (x1.5)]]</f>
        <v>43.9772727272727</v>
      </c>
      <c r="J508" s="91">
        <v>2</v>
      </c>
      <c r="K508" s="91">
        <f>SUMIFS(VENTAS[Cantidad],VENTAS[Código del producto Vendido],STOCK[[#This Row],[Code]])</f>
        <v>2</v>
      </c>
      <c r="L508" s="91">
        <f>STOCK[[#This Row],[Entradas]]-STOCK[[#This Row],[Salidas]]</f>
        <v>0</v>
      </c>
      <c r="M508" s="76">
        <f>STOCK[[#This Row],[Precio Final]]*10%</f>
        <v>3.5</v>
      </c>
      <c r="N508" s="76">
        <v>285</v>
      </c>
      <c r="O508" s="76">
        <v>17.6</v>
      </c>
      <c r="P508" s="76">
        <v>16.1931818181818</v>
      </c>
      <c r="Q508" s="91">
        <v>550</v>
      </c>
      <c r="R508" s="76">
        <v>17.5</v>
      </c>
      <c r="S508" s="76">
        <f>STOCK[[#This Row],[Peso (g)]]*STOCK[[#This Row],[Precio Envío Kilogramo (USD)]]/1000</f>
        <v>9.625</v>
      </c>
      <c r="T508" s="76">
        <f>STOCK[[#This Row],[Costo Unitario (USD)]]+STOCK[[#This Row],[Costo Envío (USD)]]+STOCK[[#This Row],[Comisión 10%]]</f>
        <v>29.3181818181818</v>
      </c>
      <c r="U508" s="76">
        <f>STOCK[[#This Row],[Costo total]]*1.5</f>
        <v>43.9772727272727</v>
      </c>
      <c r="V508" s="76">
        <v>35</v>
      </c>
      <c r="W508" s="76">
        <f>STOCK[[#This Row],[Precio Final]]-STOCK[[#This Row],[Costo total]]</f>
        <v>5.6818181818182</v>
      </c>
      <c r="X508" s="76">
        <f>STOCK[[#This Row],[Ganancia Unitaria]]*STOCK[[#This Row],[Salidas]]</f>
        <v>11.3636363636364</v>
      </c>
      <c r="AA508" s="76">
        <f>STOCK[[#This Row],[Costo total]]*STOCK[[#This Row],[Entradas]]</f>
        <v>58.6363636363636</v>
      </c>
      <c r="AB508" s="76">
        <f>STOCK[[#This Row],[Stock Actual]]*STOCK[[#This Row],[Costo total]]</f>
        <v>0</v>
      </c>
    </row>
    <row r="509" s="77" customFormat="1" ht="50" hidden="1" customHeight="1" spans="1:28">
      <c r="A509" s="77" t="s">
        <v>1047</v>
      </c>
      <c r="B509" s="6"/>
      <c r="C509" s="77" t="s">
        <v>30</v>
      </c>
      <c r="D509" s="77" t="s">
        <v>151</v>
      </c>
      <c r="E509" s="77" t="s">
        <v>1048</v>
      </c>
      <c r="F509" s="77" t="s">
        <v>60</v>
      </c>
      <c r="G509" s="77" t="s">
        <v>34</v>
      </c>
      <c r="H509" s="77">
        <f>STOCK[[#This Row],[Precio Final]]</f>
        <v>20</v>
      </c>
      <c r="I509" s="77">
        <f>STOCK[[#This Row],[Precio Venta Ideal (x1.5)]]</f>
        <v>30.971590909091</v>
      </c>
      <c r="J509" s="92">
        <v>1</v>
      </c>
      <c r="K509" s="92">
        <f>SUMIFS(VENTAS[Cantidad],VENTAS[Código del producto Vendido],STOCK[[#This Row],[Code]])</f>
        <v>1</v>
      </c>
      <c r="L509" s="92">
        <f>STOCK[[#This Row],[Entradas]]-STOCK[[#This Row],[Salidas]]</f>
        <v>0</v>
      </c>
      <c r="M509" s="77">
        <f>STOCK[[#This Row],[Precio Final]]*10%</f>
        <v>2</v>
      </c>
      <c r="N509" s="77">
        <v>205</v>
      </c>
      <c r="O509" s="77">
        <v>17.6</v>
      </c>
      <c r="P509" s="77">
        <v>11.6477272727273</v>
      </c>
      <c r="Q509" s="92">
        <v>400</v>
      </c>
      <c r="R509" s="77">
        <v>17.5</v>
      </c>
      <c r="S509" s="77">
        <f>STOCK[[#This Row],[Peso (g)]]*STOCK[[#This Row],[Precio Envío Kilogramo (USD)]]/1000</f>
        <v>7</v>
      </c>
      <c r="T509" s="76">
        <f>STOCK[[#This Row],[Costo Unitario (USD)]]+STOCK[[#This Row],[Costo Envío (USD)]]+STOCK[[#This Row],[Comisión 10%]]</f>
        <v>20.6477272727273</v>
      </c>
      <c r="U509" s="77">
        <f>STOCK[[#This Row],[Costo total]]*1.5</f>
        <v>30.971590909091</v>
      </c>
      <c r="V509" s="77">
        <v>20</v>
      </c>
      <c r="W509" s="77">
        <f>STOCK[[#This Row],[Precio Final]]-STOCK[[#This Row],[Costo total]]</f>
        <v>-0.647727272727302</v>
      </c>
      <c r="X509" s="77">
        <f>STOCK[[#This Row],[Ganancia Unitaria]]*STOCK[[#This Row],[Salidas]]</f>
        <v>-0.647727272727302</v>
      </c>
      <c r="AA509" s="77">
        <f>STOCK[[#This Row],[Costo total]]*STOCK[[#This Row],[Entradas]]</f>
        <v>20.6477272727273</v>
      </c>
      <c r="AB509" s="77">
        <f>STOCK[[#This Row],[Stock Actual]]*STOCK[[#This Row],[Costo total]]</f>
        <v>0</v>
      </c>
    </row>
    <row r="510" s="76" customFormat="1" ht="50" hidden="1" customHeight="1" spans="1:28">
      <c r="A510" s="76" t="s">
        <v>1049</v>
      </c>
      <c r="B510" s="6"/>
      <c r="C510" s="76" t="s">
        <v>30</v>
      </c>
      <c r="D510" s="76" t="s">
        <v>151</v>
      </c>
      <c r="E510" s="76" t="s">
        <v>1048</v>
      </c>
      <c r="F510" s="76" t="s">
        <v>47</v>
      </c>
      <c r="G510" s="76" t="s">
        <v>34</v>
      </c>
      <c r="H510" s="76">
        <f>STOCK[[#This Row],[Precio Final]]</f>
        <v>30</v>
      </c>
      <c r="I510" s="76">
        <f>STOCK[[#This Row],[Precio Venta Ideal (x1.5)]]</f>
        <v>32.4715909090909</v>
      </c>
      <c r="J510" s="91">
        <v>1</v>
      </c>
      <c r="K510" s="91">
        <f>SUMIFS(VENTAS[Cantidad],VENTAS[Código del producto Vendido],STOCK[[#This Row],[Code]])</f>
        <v>1</v>
      </c>
      <c r="L510" s="91">
        <f>STOCK[[#This Row],[Entradas]]-STOCK[[#This Row],[Salidas]]</f>
        <v>0</v>
      </c>
      <c r="M510" s="76">
        <f>STOCK[[#This Row],[Precio Final]]*10%</f>
        <v>3</v>
      </c>
      <c r="N510" s="76">
        <v>205</v>
      </c>
      <c r="O510" s="76">
        <v>17.6</v>
      </c>
      <c r="P510" s="76">
        <v>11.6477272727273</v>
      </c>
      <c r="Q510" s="91">
        <v>400</v>
      </c>
      <c r="R510" s="76">
        <v>17.5</v>
      </c>
      <c r="S510" s="76">
        <f>STOCK[[#This Row],[Peso (g)]]*STOCK[[#This Row],[Precio Envío Kilogramo (USD)]]/1000</f>
        <v>7</v>
      </c>
      <c r="T510" s="76">
        <f>STOCK[[#This Row],[Costo Unitario (USD)]]+STOCK[[#This Row],[Costo Envío (USD)]]+STOCK[[#This Row],[Comisión 10%]]</f>
        <v>21.6477272727273</v>
      </c>
      <c r="U510" s="76">
        <f>STOCK[[#This Row],[Costo total]]*1.5</f>
        <v>32.4715909090909</v>
      </c>
      <c r="V510" s="76">
        <v>30</v>
      </c>
      <c r="W510" s="76">
        <f>STOCK[[#This Row],[Precio Final]]-STOCK[[#This Row],[Costo total]]</f>
        <v>8.3522727272727</v>
      </c>
      <c r="X510" s="76">
        <f>STOCK[[#This Row],[Ganancia Unitaria]]*STOCK[[#This Row],[Salidas]]</f>
        <v>8.3522727272727</v>
      </c>
      <c r="AA510" s="76">
        <f>STOCK[[#This Row],[Costo total]]*STOCK[[#This Row],[Entradas]]</f>
        <v>21.6477272727273</v>
      </c>
      <c r="AB510" s="76">
        <f>STOCK[[#This Row],[Stock Actual]]*STOCK[[#This Row],[Costo total]]</f>
        <v>0</v>
      </c>
    </row>
    <row r="511" s="77" customFormat="1" ht="50" hidden="1" customHeight="1" spans="1:28">
      <c r="A511" s="77" t="s">
        <v>1050</v>
      </c>
      <c r="B511" s="6"/>
      <c r="C511" s="77" t="s">
        <v>30</v>
      </c>
      <c r="D511" s="77" t="s">
        <v>151</v>
      </c>
      <c r="E511" s="77" t="s">
        <v>1048</v>
      </c>
      <c r="F511" s="77" t="s">
        <v>44</v>
      </c>
      <c r="G511" s="77" t="s">
        <v>34</v>
      </c>
      <c r="H511" s="77">
        <f>STOCK[[#This Row],[Precio Final]]</f>
        <v>30</v>
      </c>
      <c r="I511" s="77">
        <f>STOCK[[#This Row],[Precio Venta Ideal (x1.5)]]</f>
        <v>32.4715909090909</v>
      </c>
      <c r="J511" s="92">
        <v>3</v>
      </c>
      <c r="K511" s="92">
        <f>SUMIFS(VENTAS[Cantidad],VENTAS[Código del producto Vendido],STOCK[[#This Row],[Code]])</f>
        <v>3</v>
      </c>
      <c r="L511" s="92">
        <f>STOCK[[#This Row],[Entradas]]-STOCK[[#This Row],[Salidas]]</f>
        <v>0</v>
      </c>
      <c r="M511" s="77">
        <f>STOCK[[#This Row],[Precio Final]]*10%</f>
        <v>3</v>
      </c>
      <c r="N511" s="77">
        <v>205</v>
      </c>
      <c r="O511" s="77">
        <v>17.6</v>
      </c>
      <c r="P511" s="77">
        <v>11.6477272727273</v>
      </c>
      <c r="Q511" s="92">
        <v>400</v>
      </c>
      <c r="R511" s="77">
        <v>17.5</v>
      </c>
      <c r="S511" s="77">
        <f>STOCK[[#This Row],[Peso (g)]]*STOCK[[#This Row],[Precio Envío Kilogramo (USD)]]/1000</f>
        <v>7</v>
      </c>
      <c r="T511" s="76">
        <f>STOCK[[#This Row],[Costo Unitario (USD)]]+STOCK[[#This Row],[Costo Envío (USD)]]+STOCK[[#This Row],[Comisión 10%]]</f>
        <v>21.6477272727273</v>
      </c>
      <c r="U511" s="77">
        <f>STOCK[[#This Row],[Costo total]]*1.5</f>
        <v>32.4715909090909</v>
      </c>
      <c r="V511" s="77">
        <v>30</v>
      </c>
      <c r="W511" s="77">
        <f>STOCK[[#This Row],[Precio Final]]-STOCK[[#This Row],[Costo total]]</f>
        <v>8.3522727272727</v>
      </c>
      <c r="X511" s="77">
        <f>STOCK[[#This Row],[Ganancia Unitaria]]*STOCK[[#This Row],[Salidas]]</f>
        <v>25.0568181818181</v>
      </c>
      <c r="AA511" s="77">
        <f>STOCK[[#This Row],[Costo total]]*STOCK[[#This Row],[Entradas]]</f>
        <v>64.9431818181819</v>
      </c>
      <c r="AB511" s="77">
        <f>STOCK[[#This Row],[Stock Actual]]*STOCK[[#This Row],[Costo total]]</f>
        <v>0</v>
      </c>
    </row>
    <row r="512" s="76" customFormat="1" ht="50" hidden="1" customHeight="1" spans="1:28">
      <c r="A512" s="76" t="s">
        <v>1051</v>
      </c>
      <c r="B512" s="6"/>
      <c r="C512" s="76" t="s">
        <v>30</v>
      </c>
      <c r="D512" s="76" t="s">
        <v>1012</v>
      </c>
      <c r="E512" s="76" t="s">
        <v>1052</v>
      </c>
      <c r="F512" s="76" t="s">
        <v>86</v>
      </c>
      <c r="G512" s="76" t="s">
        <v>34</v>
      </c>
      <c r="H512" s="76">
        <f>STOCK[[#This Row],[Precio Final]]</f>
        <v>30</v>
      </c>
      <c r="I512" s="76">
        <f>STOCK[[#This Row],[Precio Venta Ideal (x1.5)]]</f>
        <v>36.7056818181818</v>
      </c>
      <c r="J512" s="91">
        <v>1</v>
      </c>
      <c r="K512" s="91">
        <f>SUMIFS(VENTAS[Cantidad],VENTAS[Código del producto Vendido],STOCK[[#This Row],[Code]])</f>
        <v>1</v>
      </c>
      <c r="L512" s="91">
        <f>STOCK[[#This Row],[Entradas]]-STOCK[[#This Row],[Salidas]]</f>
        <v>0</v>
      </c>
      <c r="M512" s="76">
        <f>STOCK[[#This Row],[Precio Final]]*10%</f>
        <v>3</v>
      </c>
      <c r="N512" s="76">
        <v>267</v>
      </c>
      <c r="O512" s="76">
        <v>17.6</v>
      </c>
      <c r="P512" s="76">
        <v>15.1704545454545</v>
      </c>
      <c r="Q512" s="91">
        <v>360</v>
      </c>
      <c r="R512" s="76">
        <v>17.5</v>
      </c>
      <c r="S512" s="76">
        <f>STOCK[[#This Row],[Peso (g)]]*STOCK[[#This Row],[Precio Envío Kilogramo (USD)]]/1000</f>
        <v>6.3</v>
      </c>
      <c r="T512" s="76">
        <f>STOCK[[#This Row],[Costo Unitario (USD)]]+STOCK[[#This Row],[Costo Envío (USD)]]+STOCK[[#This Row],[Comisión 10%]]</f>
        <v>24.4704545454545</v>
      </c>
      <c r="U512" s="76">
        <f>STOCK[[#This Row],[Costo total]]*1.5</f>
        <v>36.7056818181818</v>
      </c>
      <c r="V512" s="76">
        <v>30</v>
      </c>
      <c r="W512" s="76">
        <f>STOCK[[#This Row],[Precio Final]]-STOCK[[#This Row],[Costo total]]</f>
        <v>5.5295454545455</v>
      </c>
      <c r="X512" s="76">
        <f>STOCK[[#This Row],[Ganancia Unitaria]]*STOCK[[#This Row],[Salidas]]</f>
        <v>5.5295454545455</v>
      </c>
      <c r="Y512" s="76" t="s">
        <v>926</v>
      </c>
      <c r="AA512" s="76">
        <f>STOCK[[#This Row],[Costo total]]*STOCK[[#This Row],[Entradas]]</f>
        <v>24.4704545454545</v>
      </c>
      <c r="AB512" s="76">
        <f>STOCK[[#This Row],[Stock Actual]]*STOCK[[#This Row],[Costo total]]</f>
        <v>0</v>
      </c>
    </row>
    <row r="513" s="77" customFormat="1" ht="50" hidden="1" customHeight="1" spans="1:28">
      <c r="A513" s="77" t="s">
        <v>1053</v>
      </c>
      <c r="B513" s="6"/>
      <c r="C513" s="77" t="s">
        <v>30</v>
      </c>
      <c r="D513" s="77" t="s">
        <v>1012</v>
      </c>
      <c r="E513" s="77" t="s">
        <v>1052</v>
      </c>
      <c r="F513" s="77" t="s">
        <v>210</v>
      </c>
      <c r="G513" s="77" t="s">
        <v>34</v>
      </c>
      <c r="H513" s="77">
        <f>STOCK[[#This Row],[Precio Final]]</f>
        <v>30</v>
      </c>
      <c r="I513" s="77">
        <f>STOCK[[#This Row],[Precio Venta Ideal (x1.5)]]</f>
        <v>36.7056818181818</v>
      </c>
      <c r="J513" s="92">
        <v>1</v>
      </c>
      <c r="K513" s="92">
        <f>SUMIFS(VENTAS[Cantidad],VENTAS[Código del producto Vendido],STOCK[[#This Row],[Code]])</f>
        <v>1</v>
      </c>
      <c r="L513" s="92">
        <f>STOCK[[#This Row],[Entradas]]-STOCK[[#This Row],[Salidas]]</f>
        <v>0</v>
      </c>
      <c r="M513" s="77">
        <f>STOCK[[#This Row],[Precio Final]]*10%</f>
        <v>3</v>
      </c>
      <c r="N513" s="77">
        <v>267</v>
      </c>
      <c r="O513" s="77">
        <v>17.6</v>
      </c>
      <c r="P513" s="77">
        <v>15.1704545454545</v>
      </c>
      <c r="Q513" s="92">
        <v>360</v>
      </c>
      <c r="R513" s="77">
        <v>17.5</v>
      </c>
      <c r="S513" s="77">
        <f>STOCK[[#This Row],[Peso (g)]]*STOCK[[#This Row],[Precio Envío Kilogramo (USD)]]/1000</f>
        <v>6.3</v>
      </c>
      <c r="T513" s="76">
        <f>STOCK[[#This Row],[Costo Unitario (USD)]]+STOCK[[#This Row],[Costo Envío (USD)]]+STOCK[[#This Row],[Comisión 10%]]</f>
        <v>24.4704545454545</v>
      </c>
      <c r="U513" s="77">
        <f>STOCK[[#This Row],[Costo total]]*1.5</f>
        <v>36.7056818181818</v>
      </c>
      <c r="V513" s="77">
        <v>30</v>
      </c>
      <c r="W513" s="77">
        <f>STOCK[[#This Row],[Precio Final]]-STOCK[[#This Row],[Costo total]]</f>
        <v>5.5295454545455</v>
      </c>
      <c r="X513" s="77">
        <f>STOCK[[#This Row],[Ganancia Unitaria]]*STOCK[[#This Row],[Salidas]]</f>
        <v>5.5295454545455</v>
      </c>
      <c r="Y513" s="77" t="s">
        <v>926</v>
      </c>
      <c r="AA513" s="77">
        <f>STOCK[[#This Row],[Costo total]]*STOCK[[#This Row],[Entradas]]</f>
        <v>24.4704545454545</v>
      </c>
      <c r="AB513" s="77">
        <f>STOCK[[#This Row],[Stock Actual]]*STOCK[[#This Row],[Costo total]]</f>
        <v>0</v>
      </c>
    </row>
    <row r="514" s="76" customFormat="1" ht="50" hidden="1" customHeight="1" spans="1:28">
      <c r="A514" s="76" t="s">
        <v>1054</v>
      </c>
      <c r="B514" s="6"/>
      <c r="C514" s="76" t="s">
        <v>30</v>
      </c>
      <c r="D514" s="76" t="s">
        <v>1055</v>
      </c>
      <c r="E514" s="76" t="s">
        <v>1052</v>
      </c>
      <c r="F514" s="76" t="s">
        <v>44</v>
      </c>
      <c r="G514" s="76" t="s">
        <v>34</v>
      </c>
      <c r="H514" s="76">
        <f>STOCK[[#This Row],[Precio Final]]</f>
        <v>30</v>
      </c>
      <c r="I514" s="76">
        <f>STOCK[[#This Row],[Precio Venta Ideal (x1.5)]]</f>
        <v>36.7056818181818</v>
      </c>
      <c r="J514" s="91">
        <v>2</v>
      </c>
      <c r="K514" s="91">
        <f>SUMIFS(VENTAS[Cantidad],VENTAS[Código del producto Vendido],STOCK[[#This Row],[Code]])</f>
        <v>0</v>
      </c>
      <c r="L514" s="91">
        <f>STOCK[[#This Row],[Entradas]]-STOCK[[#This Row],[Salidas]]</f>
        <v>2</v>
      </c>
      <c r="M514" s="76">
        <f>STOCK[[#This Row],[Precio Final]]*10%</f>
        <v>3</v>
      </c>
      <c r="N514" s="76">
        <v>267</v>
      </c>
      <c r="O514" s="76">
        <v>17.6</v>
      </c>
      <c r="P514" s="76">
        <v>15.1704545454545</v>
      </c>
      <c r="Q514" s="91">
        <v>360</v>
      </c>
      <c r="R514" s="76">
        <v>17.5</v>
      </c>
      <c r="S514" s="76">
        <f>STOCK[[#This Row],[Peso (g)]]*STOCK[[#This Row],[Precio Envío Kilogramo (USD)]]/1000</f>
        <v>6.3</v>
      </c>
      <c r="T514" s="76">
        <f>STOCK[[#This Row],[Costo Unitario (USD)]]+STOCK[[#This Row],[Costo Envío (USD)]]+STOCK[[#This Row],[Comisión 10%]]</f>
        <v>24.4704545454545</v>
      </c>
      <c r="U514" s="76">
        <f>STOCK[[#This Row],[Costo total]]*1.5</f>
        <v>36.7056818181818</v>
      </c>
      <c r="V514" s="76">
        <v>30</v>
      </c>
      <c r="W514" s="76">
        <f>STOCK[[#This Row],[Precio Final]]-STOCK[[#This Row],[Costo total]]</f>
        <v>5.5295454545455</v>
      </c>
      <c r="X514" s="76">
        <f>STOCK[[#This Row],[Ganancia Unitaria]]*STOCK[[#This Row],[Salidas]]</f>
        <v>0</v>
      </c>
      <c r="Y514" s="76" t="s">
        <v>926</v>
      </c>
      <c r="AA514" s="76">
        <f>STOCK[[#This Row],[Costo total]]*STOCK[[#This Row],[Entradas]]</f>
        <v>48.940909090909</v>
      </c>
      <c r="AB514" s="76">
        <f>STOCK[[#This Row],[Stock Actual]]*STOCK[[#This Row],[Costo total]]</f>
        <v>48.940909090909</v>
      </c>
    </row>
    <row r="515" s="77" customFormat="1" ht="50" hidden="1" customHeight="1" spans="1:28">
      <c r="A515" s="77" t="s">
        <v>1056</v>
      </c>
      <c r="B515" s="6"/>
      <c r="C515" s="77" t="s">
        <v>30</v>
      </c>
      <c r="D515" s="77" t="s">
        <v>151</v>
      </c>
      <c r="E515" s="77" t="s">
        <v>1057</v>
      </c>
      <c r="F515" s="77" t="s">
        <v>210</v>
      </c>
      <c r="G515" s="77" t="s">
        <v>34</v>
      </c>
      <c r="H515" s="77">
        <f>STOCK[[#This Row],[Precio Final]]</f>
        <v>20</v>
      </c>
      <c r="I515" s="77">
        <f>STOCK[[#This Row],[Precio Venta Ideal (x1.5)]]</f>
        <v>25.2954545454546</v>
      </c>
      <c r="J515" s="92">
        <v>1</v>
      </c>
      <c r="K515" s="92">
        <f>SUMIFS(VENTAS[Cantidad],VENTAS[Código del producto Vendido],STOCK[[#This Row],[Code]])</f>
        <v>1</v>
      </c>
      <c r="L515" s="92">
        <f>STOCK[[#This Row],[Entradas]]-STOCK[[#This Row],[Salidas]]</f>
        <v>0</v>
      </c>
      <c r="M515" s="77">
        <f>STOCK[[#This Row],[Precio Final]]*10%</f>
        <v>2</v>
      </c>
      <c r="N515" s="77">
        <v>200</v>
      </c>
      <c r="O515" s="77">
        <v>17.6</v>
      </c>
      <c r="P515" s="77">
        <v>11.3636363636364</v>
      </c>
      <c r="Q515" s="92">
        <v>200</v>
      </c>
      <c r="R515" s="77">
        <v>17.5</v>
      </c>
      <c r="S515" s="77">
        <f>STOCK[[#This Row],[Peso (g)]]*STOCK[[#This Row],[Precio Envío Kilogramo (USD)]]/1000</f>
        <v>3.5</v>
      </c>
      <c r="T515" s="76">
        <f>STOCK[[#This Row],[Costo Unitario (USD)]]+STOCK[[#This Row],[Costo Envío (USD)]]+STOCK[[#This Row],[Comisión 10%]]</f>
        <v>16.8636363636364</v>
      </c>
      <c r="U515" s="77">
        <f>STOCK[[#This Row],[Costo total]]*1.5</f>
        <v>25.2954545454546</v>
      </c>
      <c r="V515" s="77">
        <v>20</v>
      </c>
      <c r="W515" s="77">
        <f>STOCK[[#This Row],[Precio Final]]-STOCK[[#This Row],[Costo total]]</f>
        <v>3.1363636363636</v>
      </c>
      <c r="X515" s="77">
        <f>STOCK[[#This Row],[Ganancia Unitaria]]*STOCK[[#This Row],[Salidas]]</f>
        <v>3.1363636363636</v>
      </c>
      <c r="AA515" s="77">
        <f>STOCK[[#This Row],[Costo total]]*STOCK[[#This Row],[Entradas]]</f>
        <v>16.8636363636364</v>
      </c>
      <c r="AB515" s="77">
        <f>STOCK[[#This Row],[Stock Actual]]*STOCK[[#This Row],[Costo total]]</f>
        <v>0</v>
      </c>
    </row>
    <row r="516" s="76" customFormat="1" ht="50" hidden="1" customHeight="1" spans="1:29">
      <c r="A516" s="76" t="s">
        <v>1058</v>
      </c>
      <c r="B516" s="6"/>
      <c r="C516" s="76" t="s">
        <v>30</v>
      </c>
      <c r="D516" s="76" t="s">
        <v>704</v>
      </c>
      <c r="E516" s="76" t="s">
        <v>1059</v>
      </c>
      <c r="F516" s="76" t="s">
        <v>60</v>
      </c>
      <c r="G516" s="76" t="s">
        <v>702</v>
      </c>
      <c r="H516" s="76">
        <f>STOCK[[#This Row],[Precio Final]]</f>
        <v>8</v>
      </c>
      <c r="I516" s="76">
        <f>STOCK[[#This Row],[Precio Venta Ideal (x1.5)]]</f>
        <v>8.68897058823529</v>
      </c>
      <c r="J516" s="91">
        <v>4</v>
      </c>
      <c r="K516" s="91">
        <f>SUMIFS(VENTAS[Cantidad],VENTAS[Código del producto Vendido],STOCK[[#This Row],[Code]])</f>
        <v>1</v>
      </c>
      <c r="L516" s="91">
        <f>STOCK[[#This Row],[Entradas]]-STOCK[[#This Row],[Salidas]]</f>
        <v>3</v>
      </c>
      <c r="M516" s="76">
        <f>STOCK[[#This Row],[Precio Final]]*10%</f>
        <v>0.8</v>
      </c>
      <c r="N516" s="76">
        <v>70</v>
      </c>
      <c r="O516" s="76">
        <v>17</v>
      </c>
      <c r="P516" s="76">
        <v>4.11764705882353</v>
      </c>
      <c r="Q516" s="91">
        <v>50</v>
      </c>
      <c r="R516" s="76">
        <v>17.5</v>
      </c>
      <c r="S516" s="76">
        <f>STOCK[[#This Row],[Peso (g)]]*STOCK[[#This Row],[Precio Envío Kilogramo (USD)]]/1000</f>
        <v>0.875</v>
      </c>
      <c r="T516" s="76">
        <f>STOCK[[#This Row],[Costo Unitario (USD)]]+STOCK[[#This Row],[Costo Envío (USD)]]+STOCK[[#This Row],[Comisión 10%]]</f>
        <v>5.79264705882353</v>
      </c>
      <c r="U516" s="76">
        <f>STOCK[[#This Row],[Costo total]]*1.5</f>
        <v>8.68897058823529</v>
      </c>
      <c r="V516" s="76">
        <v>8</v>
      </c>
      <c r="W516" s="76">
        <f>STOCK[[#This Row],[Precio Final]]-STOCK[[#This Row],[Costo total]]</f>
        <v>2.20735294117647</v>
      </c>
      <c r="X516" s="76">
        <f>STOCK[[#This Row],[Ganancia Unitaria]]*STOCK[[#This Row],[Salidas]]</f>
        <v>2.20735294117647</v>
      </c>
      <c r="AA516" s="76">
        <f>STOCK[[#This Row],[Costo total]]*STOCK[[#This Row],[Entradas]]</f>
        <v>23.1705882352941</v>
      </c>
      <c r="AB516" s="76">
        <f>STOCK[[#This Row],[Stock Actual]]*STOCK[[#This Row],[Costo total]]</f>
        <v>17.3779411764706</v>
      </c>
      <c r="AC516" s="76">
        <v>7</v>
      </c>
    </row>
    <row r="517" s="77" customFormat="1" ht="50" hidden="1" customHeight="1" spans="2:28">
      <c r="B517" s="6"/>
      <c r="H517" s="77">
        <f>STOCK[[#This Row],[Precio Final]]</f>
        <v>0</v>
      </c>
      <c r="I517" s="77">
        <f>STOCK[[#This Row],[Precio Venta Ideal (x1.5)]]</f>
        <v>0</v>
      </c>
      <c r="J517" s="92"/>
      <c r="K517" s="92">
        <f>SUMIFS(VENTAS[Cantidad],VENTAS[Código del producto Vendido],STOCK[[#This Row],[Code]])</f>
        <v>0</v>
      </c>
      <c r="L517" s="92">
        <f>STOCK[[#This Row],[Entradas]]-STOCK[[#This Row],[Salidas]]</f>
        <v>0</v>
      </c>
      <c r="M517" s="77">
        <f>STOCK[[#This Row],[Precio Final]]*10%</f>
        <v>0</v>
      </c>
      <c r="Q517" s="92"/>
      <c r="S517" s="77">
        <f>STOCK[[#This Row],[Peso (g)]]*STOCK[[#This Row],[Precio Envío Kilogramo (USD)]]/1000</f>
        <v>0</v>
      </c>
      <c r="T517" s="76">
        <f>STOCK[[#This Row],[Costo Unitario (USD)]]+STOCK[[#This Row],[Costo Envío (USD)]]+STOCK[[#This Row],[Comisión 10%]]</f>
        <v>0</v>
      </c>
      <c r="U517" s="77">
        <f>STOCK[[#This Row],[Costo total]]*1.5</f>
        <v>0</v>
      </c>
      <c r="W517" s="77">
        <f>STOCK[[#This Row],[Precio Final]]-STOCK[[#This Row],[Costo total]]</f>
        <v>0</v>
      </c>
      <c r="X517" s="77">
        <f>STOCK[[#This Row],[Ganancia Unitaria]]*STOCK[[#This Row],[Salidas]]</f>
        <v>0</v>
      </c>
      <c r="AA517" s="77">
        <f>STOCK[[#This Row],[Costo total]]*STOCK[[#This Row],[Entradas]]</f>
        <v>0</v>
      </c>
      <c r="AB517" s="77">
        <f>STOCK[[#This Row],[Stock Actual]]*STOCK[[#This Row],[Costo total]]</f>
        <v>0</v>
      </c>
    </row>
    <row r="518" s="76" customFormat="1" ht="50" hidden="1" customHeight="1" spans="1:29">
      <c r="A518" s="76" t="s">
        <v>1060</v>
      </c>
      <c r="B518" s="6"/>
      <c r="C518" s="76" t="s">
        <v>30</v>
      </c>
      <c r="D518" s="76" t="s">
        <v>704</v>
      </c>
      <c r="E518" s="76" t="s">
        <v>1061</v>
      </c>
      <c r="F518" s="76" t="s">
        <v>38</v>
      </c>
      <c r="G518" s="76" t="s">
        <v>702</v>
      </c>
      <c r="H518" s="76">
        <f>STOCK[[#This Row],[Precio Final]]</f>
        <v>8</v>
      </c>
      <c r="I518" s="76">
        <f>STOCK[[#This Row],[Precio Venta Ideal (x1.5)]]</f>
        <v>7.80661764705882</v>
      </c>
      <c r="J518" s="91">
        <v>6</v>
      </c>
      <c r="K518" s="91">
        <f>SUMIFS(VENTAS[Cantidad],VENTAS[Código del producto Vendido],STOCK[[#This Row],[Code]])</f>
        <v>2</v>
      </c>
      <c r="L518" s="91">
        <f>STOCK[[#This Row],[Entradas]]-STOCK[[#This Row],[Salidas]]</f>
        <v>4</v>
      </c>
      <c r="M518" s="76">
        <f>STOCK[[#This Row],[Precio Final]]*10%</f>
        <v>0.8</v>
      </c>
      <c r="N518" s="76">
        <v>60</v>
      </c>
      <c r="O518" s="76">
        <v>17</v>
      </c>
      <c r="P518" s="76">
        <v>3.52941176470588</v>
      </c>
      <c r="Q518" s="91">
        <v>50</v>
      </c>
      <c r="R518" s="76">
        <v>17.5</v>
      </c>
      <c r="S518" s="76">
        <f>STOCK[[#This Row],[Peso (g)]]*STOCK[[#This Row],[Precio Envío Kilogramo (USD)]]/1000</f>
        <v>0.875</v>
      </c>
      <c r="T518" s="76">
        <f>STOCK[[#This Row],[Costo Unitario (USD)]]+STOCK[[#This Row],[Costo Envío (USD)]]+STOCK[[#This Row],[Comisión 10%]]</f>
        <v>5.20441176470588</v>
      </c>
      <c r="U518" s="76">
        <f>STOCK[[#This Row],[Costo total]]*1.5</f>
        <v>7.80661764705882</v>
      </c>
      <c r="V518" s="76">
        <v>8</v>
      </c>
      <c r="W518" s="76">
        <f>STOCK[[#This Row],[Precio Final]]-STOCK[[#This Row],[Costo total]]</f>
        <v>2.79558823529412</v>
      </c>
      <c r="X518" s="76">
        <f>STOCK[[#This Row],[Ganancia Unitaria]]*STOCK[[#This Row],[Salidas]]</f>
        <v>5.59117647058824</v>
      </c>
      <c r="AA518" s="76">
        <f>STOCK[[#This Row],[Costo total]]*STOCK[[#This Row],[Entradas]]</f>
        <v>31.2264705882353</v>
      </c>
      <c r="AB518" s="76">
        <f>STOCK[[#This Row],[Stock Actual]]*STOCK[[#This Row],[Costo total]]</f>
        <v>20.8176470588235</v>
      </c>
      <c r="AC518" s="76">
        <v>7</v>
      </c>
    </row>
    <row r="519" s="77" customFormat="1" ht="50" hidden="1" customHeight="1" spans="1:29">
      <c r="A519" s="77" t="s">
        <v>1062</v>
      </c>
      <c r="B519" s="6"/>
      <c r="C519" s="77" t="s">
        <v>30</v>
      </c>
      <c r="D519" s="77" t="s">
        <v>704</v>
      </c>
      <c r="E519" s="77" t="s">
        <v>1063</v>
      </c>
      <c r="F519" s="77" t="s">
        <v>60</v>
      </c>
      <c r="G519" s="77" t="s">
        <v>702</v>
      </c>
      <c r="H519" s="77">
        <f>STOCK[[#This Row],[Precio Final]]</f>
        <v>9</v>
      </c>
      <c r="I519" s="77">
        <f>STOCK[[#This Row],[Precio Venta Ideal (x1.5)]]</f>
        <v>8.83897058823529</v>
      </c>
      <c r="J519" s="92">
        <v>4</v>
      </c>
      <c r="K519" s="92">
        <f>SUMIFS(VENTAS[Cantidad],VENTAS[Código del producto Vendido],STOCK[[#This Row],[Code]])</f>
        <v>2</v>
      </c>
      <c r="L519" s="92">
        <f>STOCK[[#This Row],[Entradas]]-STOCK[[#This Row],[Salidas]]</f>
        <v>2</v>
      </c>
      <c r="M519" s="77">
        <f>STOCK[[#This Row],[Precio Final]]*10%</f>
        <v>0.9</v>
      </c>
      <c r="N519" s="77">
        <v>70</v>
      </c>
      <c r="O519" s="77">
        <v>17</v>
      </c>
      <c r="P519" s="77">
        <v>4.11764705882353</v>
      </c>
      <c r="Q519" s="92">
        <v>50</v>
      </c>
      <c r="R519" s="77">
        <v>17.5</v>
      </c>
      <c r="S519" s="77">
        <f>STOCK[[#This Row],[Peso (g)]]*STOCK[[#This Row],[Precio Envío Kilogramo (USD)]]/1000</f>
        <v>0.875</v>
      </c>
      <c r="T519" s="76">
        <f>STOCK[[#This Row],[Costo Unitario (USD)]]+STOCK[[#This Row],[Costo Envío (USD)]]+STOCK[[#This Row],[Comisión 10%]]</f>
        <v>5.89264705882353</v>
      </c>
      <c r="U519" s="77">
        <f>STOCK[[#This Row],[Costo total]]*1.5</f>
        <v>8.83897058823529</v>
      </c>
      <c r="V519" s="77">
        <v>9</v>
      </c>
      <c r="W519" s="77">
        <f>STOCK[[#This Row],[Precio Final]]-STOCK[[#This Row],[Costo total]]</f>
        <v>3.10735294117647</v>
      </c>
      <c r="X519" s="77">
        <f>STOCK[[#This Row],[Ganancia Unitaria]]*STOCK[[#This Row],[Salidas]]</f>
        <v>6.21470588235294</v>
      </c>
      <c r="AA519" s="77">
        <f>STOCK[[#This Row],[Costo total]]*STOCK[[#This Row],[Entradas]]</f>
        <v>23.5705882352941</v>
      </c>
      <c r="AB519" s="77">
        <f>STOCK[[#This Row],[Stock Actual]]*STOCK[[#This Row],[Costo total]]</f>
        <v>11.7852941176471</v>
      </c>
      <c r="AC519" s="77">
        <v>7</v>
      </c>
    </row>
    <row r="520" s="76" customFormat="1" ht="50" hidden="1" customHeight="1" spans="1:28">
      <c r="A520" s="76" t="s">
        <v>1064</v>
      </c>
      <c r="B520" s="6"/>
      <c r="C520" s="76" t="s">
        <v>30</v>
      </c>
      <c r="D520" s="76" t="s">
        <v>151</v>
      </c>
      <c r="E520" s="76" t="s">
        <v>1065</v>
      </c>
      <c r="F520" s="76" t="s">
        <v>60</v>
      </c>
      <c r="G520" s="76" t="s">
        <v>34</v>
      </c>
      <c r="H520" s="76">
        <f>STOCK[[#This Row],[Precio Final]]</f>
        <v>20</v>
      </c>
      <c r="I520" s="76">
        <f>STOCK[[#This Row],[Precio Venta Ideal (x1.5)]]</f>
        <v>23.4650735294118</v>
      </c>
      <c r="J520" s="91">
        <v>2</v>
      </c>
      <c r="K520" s="91">
        <f>SUMIFS(VENTAS[Cantidad],VENTAS[Código del producto Vendido],STOCK[[#This Row],[Code]])</f>
        <v>2</v>
      </c>
      <c r="L520" s="91">
        <f>STOCK[[#This Row],[Entradas]]-STOCK[[#This Row],[Salidas]]</f>
        <v>0</v>
      </c>
      <c r="M520" s="76">
        <f>STOCK[[#This Row],[Precio Final]]*10%</f>
        <v>2</v>
      </c>
      <c r="N520" s="76">
        <v>165</v>
      </c>
      <c r="O520" s="76">
        <v>17</v>
      </c>
      <c r="P520" s="76">
        <v>9.70588235294118</v>
      </c>
      <c r="Q520" s="91">
        <v>225</v>
      </c>
      <c r="R520" s="76">
        <v>17.5</v>
      </c>
      <c r="S520" s="76">
        <f>STOCK[[#This Row],[Peso (g)]]*STOCK[[#This Row],[Precio Envío Kilogramo (USD)]]/1000</f>
        <v>3.9375</v>
      </c>
      <c r="T520" s="76">
        <f>STOCK[[#This Row],[Costo Unitario (USD)]]+STOCK[[#This Row],[Costo Envío (USD)]]+STOCK[[#This Row],[Comisión 10%]]</f>
        <v>15.6433823529412</v>
      </c>
      <c r="U520" s="76">
        <f>STOCK[[#This Row],[Costo total]]*1.5</f>
        <v>23.4650735294118</v>
      </c>
      <c r="V520" s="76">
        <v>20</v>
      </c>
      <c r="W520" s="76">
        <f>STOCK[[#This Row],[Precio Final]]-STOCK[[#This Row],[Costo total]]</f>
        <v>4.35661764705882</v>
      </c>
      <c r="X520" s="76">
        <f>STOCK[[#This Row],[Ganancia Unitaria]]*STOCK[[#This Row],[Salidas]]</f>
        <v>8.71323529411764</v>
      </c>
      <c r="Y520" s="76" t="s">
        <v>926</v>
      </c>
      <c r="AA520" s="76">
        <f>STOCK[[#This Row],[Costo total]]*STOCK[[#This Row],[Entradas]]</f>
        <v>31.2867647058824</v>
      </c>
      <c r="AB520" s="76">
        <f>STOCK[[#This Row],[Stock Actual]]*STOCK[[#This Row],[Costo total]]</f>
        <v>0</v>
      </c>
    </row>
    <row r="521" s="77" customFormat="1" ht="50" hidden="1" customHeight="1" spans="1:28">
      <c r="A521" s="77" t="s">
        <v>1066</v>
      </c>
      <c r="B521" s="6"/>
      <c r="C521" s="77" t="s">
        <v>30</v>
      </c>
      <c r="D521" s="77" t="s">
        <v>151</v>
      </c>
      <c r="E521" s="77" t="s">
        <v>1065</v>
      </c>
      <c r="F521" s="77" t="s">
        <v>47</v>
      </c>
      <c r="G521" s="77" t="s">
        <v>34</v>
      </c>
      <c r="H521" s="77">
        <f>STOCK[[#This Row],[Precio Final]]</f>
        <v>20</v>
      </c>
      <c r="I521" s="77">
        <f>STOCK[[#This Row],[Precio Venta Ideal (x1.5)]]</f>
        <v>23.4650735294118</v>
      </c>
      <c r="J521" s="92">
        <v>2</v>
      </c>
      <c r="K521" s="92">
        <f>SUMIFS(VENTAS[Cantidad],VENTAS[Código del producto Vendido],STOCK[[#This Row],[Code]])</f>
        <v>2</v>
      </c>
      <c r="L521" s="92">
        <f>STOCK[[#This Row],[Entradas]]-STOCK[[#This Row],[Salidas]]</f>
        <v>0</v>
      </c>
      <c r="M521" s="77">
        <f>STOCK[[#This Row],[Precio Final]]*10%</f>
        <v>2</v>
      </c>
      <c r="N521" s="77">
        <v>165</v>
      </c>
      <c r="O521" s="77">
        <v>17</v>
      </c>
      <c r="P521" s="77">
        <v>9.70588235294118</v>
      </c>
      <c r="Q521" s="92">
        <v>225</v>
      </c>
      <c r="R521" s="77">
        <v>17.5</v>
      </c>
      <c r="S521" s="77">
        <f>STOCK[[#This Row],[Peso (g)]]*STOCK[[#This Row],[Precio Envío Kilogramo (USD)]]/1000</f>
        <v>3.9375</v>
      </c>
      <c r="T521" s="76">
        <f>STOCK[[#This Row],[Costo Unitario (USD)]]+STOCK[[#This Row],[Costo Envío (USD)]]+STOCK[[#This Row],[Comisión 10%]]</f>
        <v>15.6433823529412</v>
      </c>
      <c r="U521" s="77">
        <f>STOCK[[#This Row],[Costo total]]*1.5</f>
        <v>23.4650735294118</v>
      </c>
      <c r="V521" s="77">
        <v>20</v>
      </c>
      <c r="W521" s="77">
        <f>STOCK[[#This Row],[Precio Final]]-STOCK[[#This Row],[Costo total]]</f>
        <v>4.35661764705882</v>
      </c>
      <c r="X521" s="77">
        <f>STOCK[[#This Row],[Ganancia Unitaria]]*STOCK[[#This Row],[Salidas]]</f>
        <v>8.71323529411764</v>
      </c>
      <c r="Y521" s="77" t="s">
        <v>926</v>
      </c>
      <c r="AA521" s="77">
        <f>STOCK[[#This Row],[Costo total]]*STOCK[[#This Row],[Entradas]]</f>
        <v>31.2867647058824</v>
      </c>
      <c r="AB521" s="77">
        <f>STOCK[[#This Row],[Stock Actual]]*STOCK[[#This Row],[Costo total]]</f>
        <v>0</v>
      </c>
    </row>
    <row r="522" s="76" customFormat="1" ht="50" hidden="1" customHeight="1" spans="1:28">
      <c r="A522" s="76" t="s">
        <v>1067</v>
      </c>
      <c r="B522" s="6"/>
      <c r="C522" s="76" t="s">
        <v>30</v>
      </c>
      <c r="D522" s="76" t="s">
        <v>173</v>
      </c>
      <c r="E522" s="76" t="s">
        <v>1068</v>
      </c>
      <c r="F522" s="76" t="s">
        <v>38</v>
      </c>
      <c r="G522" s="76" t="s">
        <v>34</v>
      </c>
      <c r="H522" s="76">
        <f>STOCK[[#This Row],[Precio Final]]</f>
        <v>17</v>
      </c>
      <c r="I522" s="76">
        <f>STOCK[[#This Row],[Precio Venta Ideal (x1.5)]]</f>
        <v>21.3132352941177</v>
      </c>
      <c r="J522" s="91">
        <v>2</v>
      </c>
      <c r="K522" s="91">
        <f>SUMIFS(VENTAS[Cantidad],VENTAS[Código del producto Vendido],STOCK[[#This Row],[Code]])</f>
        <v>2</v>
      </c>
      <c r="L522" s="91">
        <f>STOCK[[#This Row],[Entradas]]-STOCK[[#This Row],[Salidas]]</f>
        <v>0</v>
      </c>
      <c r="M522" s="76">
        <f>STOCK[[#This Row],[Precio Final]]*10%</f>
        <v>1.7</v>
      </c>
      <c r="N522" s="76">
        <v>171</v>
      </c>
      <c r="O522" s="76">
        <v>17</v>
      </c>
      <c r="P522" s="76">
        <v>10.0588235294118</v>
      </c>
      <c r="Q522" s="91">
        <v>140</v>
      </c>
      <c r="R522" s="76">
        <v>17.5</v>
      </c>
      <c r="S522" s="76">
        <f>STOCK[[#This Row],[Peso (g)]]*STOCK[[#This Row],[Precio Envío Kilogramo (USD)]]/1000</f>
        <v>2.45</v>
      </c>
      <c r="T522" s="76">
        <f>STOCK[[#This Row],[Costo Unitario (USD)]]+STOCK[[#This Row],[Costo Envío (USD)]]+STOCK[[#This Row],[Comisión 10%]]</f>
        <v>14.2088235294118</v>
      </c>
      <c r="U522" s="76">
        <f>STOCK[[#This Row],[Costo total]]*1.5</f>
        <v>21.3132352941177</v>
      </c>
      <c r="V522" s="76">
        <v>17</v>
      </c>
      <c r="W522" s="76">
        <f>STOCK[[#This Row],[Precio Final]]-STOCK[[#This Row],[Costo total]]</f>
        <v>2.7911764705882</v>
      </c>
      <c r="X522" s="76">
        <f>STOCK[[#This Row],[Ganancia Unitaria]]*STOCK[[#This Row],[Salidas]]</f>
        <v>5.5823529411764</v>
      </c>
      <c r="Y522" s="76" t="s">
        <v>926</v>
      </c>
      <c r="AA522" s="76">
        <f>STOCK[[#This Row],[Costo total]]*STOCK[[#This Row],[Entradas]]</f>
        <v>28.4176470588236</v>
      </c>
      <c r="AB522" s="76">
        <f>STOCK[[#This Row],[Stock Actual]]*STOCK[[#This Row],[Costo total]]</f>
        <v>0</v>
      </c>
    </row>
    <row r="523" s="77" customFormat="1" ht="50" hidden="1" customHeight="1" spans="1:28">
      <c r="A523" s="77" t="s">
        <v>1069</v>
      </c>
      <c r="B523" s="6"/>
      <c r="C523" s="77" t="s">
        <v>30</v>
      </c>
      <c r="D523" s="77" t="s">
        <v>173</v>
      </c>
      <c r="E523" s="77" t="s">
        <v>1068</v>
      </c>
      <c r="F523" s="77" t="s">
        <v>47</v>
      </c>
      <c r="G523" s="77" t="s">
        <v>34</v>
      </c>
      <c r="H523" s="77">
        <f>STOCK[[#This Row],[Precio Final]]</f>
        <v>17</v>
      </c>
      <c r="I523" s="77">
        <f>STOCK[[#This Row],[Precio Venta Ideal (x1.5)]]</f>
        <v>21.3132352941177</v>
      </c>
      <c r="J523" s="92">
        <v>2</v>
      </c>
      <c r="K523" s="92">
        <f>SUMIFS(VENTAS[Cantidad],VENTAS[Código del producto Vendido],STOCK[[#This Row],[Code]])</f>
        <v>2</v>
      </c>
      <c r="L523" s="92">
        <f>STOCK[[#This Row],[Entradas]]-STOCK[[#This Row],[Salidas]]</f>
        <v>0</v>
      </c>
      <c r="M523" s="77">
        <f>STOCK[[#This Row],[Precio Final]]*10%</f>
        <v>1.7</v>
      </c>
      <c r="N523" s="77">
        <v>171</v>
      </c>
      <c r="O523" s="77">
        <v>17</v>
      </c>
      <c r="P523" s="77">
        <v>10.0588235294118</v>
      </c>
      <c r="Q523" s="92">
        <v>140</v>
      </c>
      <c r="R523" s="77">
        <v>17.5</v>
      </c>
      <c r="S523" s="77">
        <f>STOCK[[#This Row],[Peso (g)]]*STOCK[[#This Row],[Precio Envío Kilogramo (USD)]]/1000</f>
        <v>2.45</v>
      </c>
      <c r="T523" s="76">
        <f>STOCK[[#This Row],[Costo Unitario (USD)]]+STOCK[[#This Row],[Costo Envío (USD)]]+STOCK[[#This Row],[Comisión 10%]]</f>
        <v>14.2088235294118</v>
      </c>
      <c r="U523" s="77">
        <f>STOCK[[#This Row],[Costo total]]*1.5</f>
        <v>21.3132352941177</v>
      </c>
      <c r="V523" s="77">
        <v>17</v>
      </c>
      <c r="W523" s="77">
        <f>STOCK[[#This Row],[Precio Final]]-STOCK[[#This Row],[Costo total]]</f>
        <v>2.7911764705882</v>
      </c>
      <c r="X523" s="77">
        <f>STOCK[[#This Row],[Ganancia Unitaria]]*STOCK[[#This Row],[Salidas]]</f>
        <v>5.5823529411764</v>
      </c>
      <c r="Y523" s="77" t="s">
        <v>926</v>
      </c>
      <c r="AA523" s="77">
        <f>STOCK[[#This Row],[Costo total]]*STOCK[[#This Row],[Entradas]]</f>
        <v>28.4176470588236</v>
      </c>
      <c r="AB523" s="77">
        <f>STOCK[[#This Row],[Stock Actual]]*STOCK[[#This Row],[Costo total]]</f>
        <v>0</v>
      </c>
    </row>
    <row r="524" s="76" customFormat="1" ht="50" hidden="1" customHeight="1" spans="1:28">
      <c r="A524" s="76" t="s">
        <v>1070</v>
      </c>
      <c r="B524" s="6"/>
      <c r="C524" s="76" t="s">
        <v>30</v>
      </c>
      <c r="D524" s="76" t="s">
        <v>36</v>
      </c>
      <c r="E524" s="76" t="s">
        <v>1071</v>
      </c>
      <c r="F524" s="76" t="s">
        <v>60</v>
      </c>
      <c r="G524" s="76" t="s">
        <v>34</v>
      </c>
      <c r="H524" s="76">
        <f>STOCK[[#This Row],[Precio Final]]</f>
        <v>25</v>
      </c>
      <c r="I524" s="76">
        <f>STOCK[[#This Row],[Precio Venta Ideal (x1.5)]]</f>
        <v>33.9573529411764</v>
      </c>
      <c r="J524" s="91">
        <v>1</v>
      </c>
      <c r="K524" s="91">
        <f>SUMIFS(VENTAS[Cantidad],VENTAS[Código del producto Vendido],STOCK[[#This Row],[Code]])</f>
        <v>1</v>
      </c>
      <c r="L524" s="91">
        <f>STOCK[[#This Row],[Entradas]]-STOCK[[#This Row],[Salidas]]</f>
        <v>0</v>
      </c>
      <c r="M524" s="76">
        <f>STOCK[[#This Row],[Precio Final]]*10%</f>
        <v>2.5</v>
      </c>
      <c r="N524" s="76">
        <v>265</v>
      </c>
      <c r="O524" s="76">
        <v>17</v>
      </c>
      <c r="P524" s="76">
        <v>15.5882352941176</v>
      </c>
      <c r="Q524" s="91">
        <v>260</v>
      </c>
      <c r="R524" s="76">
        <v>17.5</v>
      </c>
      <c r="S524" s="76">
        <f>STOCK[[#This Row],[Peso (g)]]*STOCK[[#This Row],[Precio Envío Kilogramo (USD)]]/1000</f>
        <v>4.55</v>
      </c>
      <c r="T524" s="76">
        <f>STOCK[[#This Row],[Costo Unitario (USD)]]+STOCK[[#This Row],[Costo Envío (USD)]]+STOCK[[#This Row],[Comisión 10%]]</f>
        <v>22.6382352941176</v>
      </c>
      <c r="U524" s="76">
        <f>STOCK[[#This Row],[Costo total]]*1.5</f>
        <v>33.9573529411764</v>
      </c>
      <c r="V524" s="76">
        <v>25</v>
      </c>
      <c r="W524" s="76">
        <f>STOCK[[#This Row],[Precio Final]]-STOCK[[#This Row],[Costo total]]</f>
        <v>2.3617647058824</v>
      </c>
      <c r="X524" s="76">
        <f>STOCK[[#This Row],[Ganancia Unitaria]]*STOCK[[#This Row],[Salidas]]</f>
        <v>2.3617647058824</v>
      </c>
      <c r="Y524" s="76" t="s">
        <v>926</v>
      </c>
      <c r="AA524" s="76">
        <f>STOCK[[#This Row],[Costo total]]*STOCK[[#This Row],[Entradas]]</f>
        <v>22.6382352941176</v>
      </c>
      <c r="AB524" s="76">
        <f>STOCK[[#This Row],[Stock Actual]]*STOCK[[#This Row],[Costo total]]</f>
        <v>0</v>
      </c>
    </row>
    <row r="525" s="77" customFormat="1" ht="50" hidden="1" customHeight="1" spans="1:28">
      <c r="A525" s="77" t="s">
        <v>1072</v>
      </c>
      <c r="B525" s="6"/>
      <c r="C525" s="77" t="s">
        <v>30</v>
      </c>
      <c r="D525" s="77" t="s">
        <v>1073</v>
      </c>
      <c r="E525" s="77" t="s">
        <v>1074</v>
      </c>
      <c r="F525" s="77" t="s">
        <v>60</v>
      </c>
      <c r="G525" s="77" t="s">
        <v>34</v>
      </c>
      <c r="H525" s="77">
        <f>STOCK[[#This Row],[Precio Final]]</f>
        <v>20</v>
      </c>
      <c r="I525" s="77">
        <f>STOCK[[#This Row],[Precio Venta Ideal (x1.5)]]</f>
        <v>23.5235294117647</v>
      </c>
      <c r="J525" s="92">
        <v>1</v>
      </c>
      <c r="K525" s="92">
        <f>SUMIFS(VENTAS[Cantidad],VENTAS[Código del producto Vendido],STOCK[[#This Row],[Code]])</f>
        <v>1</v>
      </c>
      <c r="L525" s="92">
        <f>STOCK[[#This Row],[Entradas]]-STOCK[[#This Row],[Salidas]]</f>
        <v>0</v>
      </c>
      <c r="M525" s="77">
        <f>STOCK[[#This Row],[Precio Final]]*10%</f>
        <v>2</v>
      </c>
      <c r="N525" s="77">
        <v>185</v>
      </c>
      <c r="O525" s="77">
        <v>17</v>
      </c>
      <c r="P525" s="77">
        <v>10.8823529411765</v>
      </c>
      <c r="Q525" s="92">
        <v>160</v>
      </c>
      <c r="R525" s="77">
        <v>17.5</v>
      </c>
      <c r="S525" s="77">
        <f>STOCK[[#This Row],[Peso (g)]]*STOCK[[#This Row],[Precio Envío Kilogramo (USD)]]/1000</f>
        <v>2.8</v>
      </c>
      <c r="T525" s="76">
        <f>STOCK[[#This Row],[Costo Unitario (USD)]]+STOCK[[#This Row],[Costo Envío (USD)]]+STOCK[[#This Row],[Comisión 10%]]</f>
        <v>15.6823529411765</v>
      </c>
      <c r="U525" s="77">
        <f>STOCK[[#This Row],[Costo total]]*1.5</f>
        <v>23.5235294117647</v>
      </c>
      <c r="V525" s="77">
        <v>20</v>
      </c>
      <c r="W525" s="77">
        <f>STOCK[[#This Row],[Precio Final]]-STOCK[[#This Row],[Costo total]]</f>
        <v>4.3176470588235</v>
      </c>
      <c r="X525" s="77">
        <f>STOCK[[#This Row],[Ganancia Unitaria]]*STOCK[[#This Row],[Salidas]]</f>
        <v>4.3176470588235</v>
      </c>
      <c r="Y525" s="77" t="s">
        <v>926</v>
      </c>
      <c r="AA525" s="77">
        <f>STOCK[[#This Row],[Costo total]]*STOCK[[#This Row],[Entradas]]</f>
        <v>15.6823529411765</v>
      </c>
      <c r="AB525" s="77">
        <f>STOCK[[#This Row],[Stock Actual]]*STOCK[[#This Row],[Costo total]]</f>
        <v>0</v>
      </c>
    </row>
    <row r="526" s="76" customFormat="1" ht="50" hidden="1" customHeight="1" spans="1:28">
      <c r="A526" s="76" t="s">
        <v>1075</v>
      </c>
      <c r="B526" s="6"/>
      <c r="C526" s="76" t="s">
        <v>30</v>
      </c>
      <c r="D526" s="76" t="s">
        <v>123</v>
      </c>
      <c r="E526" s="76" t="s">
        <v>1076</v>
      </c>
      <c r="F526" s="76" t="s">
        <v>1077</v>
      </c>
      <c r="G526" s="76" t="s">
        <v>34</v>
      </c>
      <c r="H526" s="76">
        <f>STOCK[[#This Row],[Precio Final]]</f>
        <v>20</v>
      </c>
      <c r="I526" s="76">
        <f>STOCK[[#This Row],[Precio Venta Ideal (x1.5)]]</f>
        <v>36.0761029411764</v>
      </c>
      <c r="J526" s="91">
        <v>1</v>
      </c>
      <c r="K526" s="91">
        <f>SUMIFS(VENTAS[Cantidad],VENTAS[Código del producto Vendido],STOCK[[#This Row],[Code]])</f>
        <v>1</v>
      </c>
      <c r="L526" s="91">
        <f>STOCK[[#This Row],[Entradas]]-STOCK[[#This Row],[Salidas]]</f>
        <v>0</v>
      </c>
      <c r="M526" s="76">
        <f>STOCK[[#This Row],[Precio Final]]*10%</f>
        <v>2</v>
      </c>
      <c r="N526" s="76">
        <v>299</v>
      </c>
      <c r="O526" s="76">
        <v>17</v>
      </c>
      <c r="P526" s="76">
        <v>17.5882352941176</v>
      </c>
      <c r="Q526" s="91">
        <v>255</v>
      </c>
      <c r="R526" s="76">
        <v>17.5</v>
      </c>
      <c r="S526" s="76">
        <f>STOCK[[#This Row],[Peso (g)]]*STOCK[[#This Row],[Precio Envío Kilogramo (USD)]]/1000</f>
        <v>4.4625</v>
      </c>
      <c r="T526" s="76">
        <f>STOCK[[#This Row],[Costo Unitario (USD)]]+STOCK[[#This Row],[Costo Envío (USD)]]+STOCK[[#This Row],[Comisión 10%]]</f>
        <v>24.0507352941176</v>
      </c>
      <c r="U526" s="76">
        <f>STOCK[[#This Row],[Costo total]]*1.5</f>
        <v>36.0761029411764</v>
      </c>
      <c r="V526" s="76">
        <v>20</v>
      </c>
      <c r="W526" s="76">
        <f>STOCK[[#This Row],[Precio Final]]-STOCK[[#This Row],[Costo total]]</f>
        <v>-4.0507352941176</v>
      </c>
      <c r="X526" s="76">
        <f>STOCK[[#This Row],[Ganancia Unitaria]]*STOCK[[#This Row],[Salidas]]</f>
        <v>-4.0507352941176</v>
      </c>
      <c r="Y526" s="76" t="s">
        <v>926</v>
      </c>
      <c r="AA526" s="76">
        <f>STOCK[[#This Row],[Costo total]]*STOCK[[#This Row],[Entradas]]</f>
        <v>24.0507352941176</v>
      </c>
      <c r="AB526" s="76">
        <f>STOCK[[#This Row],[Stock Actual]]*STOCK[[#This Row],[Costo total]]</f>
        <v>0</v>
      </c>
    </row>
    <row r="527" s="77" customFormat="1" ht="50" hidden="1" customHeight="1" spans="1:28">
      <c r="A527" s="77" t="s">
        <v>1078</v>
      </c>
      <c r="B527" s="6"/>
      <c r="C527" s="77" t="s">
        <v>30</v>
      </c>
      <c r="D527" s="77" t="s">
        <v>42</v>
      </c>
      <c r="E527" s="77" t="s">
        <v>1079</v>
      </c>
      <c r="F527" s="77" t="s">
        <v>47</v>
      </c>
      <c r="G527" s="77" t="s">
        <v>34</v>
      </c>
      <c r="H527" s="77">
        <f>STOCK[[#This Row],[Precio Final]]</f>
        <v>35</v>
      </c>
      <c r="I527" s="77">
        <f>STOCK[[#This Row],[Precio Venta Ideal (x1.5)]]</f>
        <v>38.833455882353</v>
      </c>
      <c r="J527" s="92">
        <v>1</v>
      </c>
      <c r="K527" s="92">
        <f>SUMIFS(VENTAS[Cantidad],VENTAS[Código del producto Vendido],STOCK[[#This Row],[Code]])</f>
        <v>1</v>
      </c>
      <c r="L527" s="92">
        <f>STOCK[[#This Row],[Entradas]]-STOCK[[#This Row],[Salidas]]</f>
        <v>0</v>
      </c>
      <c r="M527" s="77">
        <f>STOCK[[#This Row],[Precio Final]]*10%</f>
        <v>3.5</v>
      </c>
      <c r="N527" s="77">
        <v>275</v>
      </c>
      <c r="O527" s="77">
        <v>17</v>
      </c>
      <c r="P527" s="77">
        <v>16.1764705882353</v>
      </c>
      <c r="Q527" s="92">
        <v>355</v>
      </c>
      <c r="R527" s="77">
        <v>17.5</v>
      </c>
      <c r="S527" s="77">
        <f>STOCK[[#This Row],[Peso (g)]]*STOCK[[#This Row],[Precio Envío Kilogramo (USD)]]/1000</f>
        <v>6.2125</v>
      </c>
      <c r="T527" s="76">
        <f>STOCK[[#This Row],[Costo Unitario (USD)]]+STOCK[[#This Row],[Costo Envío (USD)]]+STOCK[[#This Row],[Comisión 10%]]</f>
        <v>25.8889705882353</v>
      </c>
      <c r="U527" s="77">
        <f>STOCK[[#This Row],[Costo total]]*1.5</f>
        <v>38.833455882353</v>
      </c>
      <c r="V527" s="77">
        <v>35</v>
      </c>
      <c r="W527" s="77">
        <f>STOCK[[#This Row],[Precio Final]]-STOCK[[#This Row],[Costo total]]</f>
        <v>9.1110294117647</v>
      </c>
      <c r="X527" s="77">
        <f>STOCK[[#This Row],[Ganancia Unitaria]]*STOCK[[#This Row],[Salidas]]</f>
        <v>9.1110294117647</v>
      </c>
      <c r="Y527" s="77" t="s">
        <v>926</v>
      </c>
      <c r="AA527" s="77">
        <f>STOCK[[#This Row],[Costo total]]*STOCK[[#This Row],[Entradas]]</f>
        <v>25.8889705882353</v>
      </c>
      <c r="AB527" s="77">
        <f>STOCK[[#This Row],[Stock Actual]]*STOCK[[#This Row],[Costo total]]</f>
        <v>0</v>
      </c>
    </row>
    <row r="528" s="76" customFormat="1" ht="50" hidden="1" customHeight="1" spans="1:28">
      <c r="A528" s="76" t="s">
        <v>1080</v>
      </c>
      <c r="B528" s="6"/>
      <c r="C528" s="76" t="s">
        <v>30</v>
      </c>
      <c r="D528" s="76" t="s">
        <v>42</v>
      </c>
      <c r="E528" s="76" t="s">
        <v>1079</v>
      </c>
      <c r="F528" s="76" t="s">
        <v>60</v>
      </c>
      <c r="G528" s="76" t="s">
        <v>34</v>
      </c>
      <c r="H528" s="76">
        <f>STOCK[[#This Row],[Precio Final]]</f>
        <v>35</v>
      </c>
      <c r="I528" s="76">
        <f>STOCK[[#This Row],[Precio Venta Ideal (x1.5)]]</f>
        <v>38.7022058823529</v>
      </c>
      <c r="J528" s="91">
        <v>1</v>
      </c>
      <c r="K528" s="91">
        <f>SUMIFS(VENTAS[Cantidad],VENTAS[Código del producto Vendido],STOCK[[#This Row],[Code]])</f>
        <v>1</v>
      </c>
      <c r="L528" s="91">
        <f>STOCK[[#This Row],[Entradas]]-STOCK[[#This Row],[Salidas]]</f>
        <v>0</v>
      </c>
      <c r="M528" s="76">
        <f>STOCK[[#This Row],[Precio Final]]*10%</f>
        <v>3.5</v>
      </c>
      <c r="N528" s="76">
        <v>275</v>
      </c>
      <c r="O528" s="76">
        <v>17</v>
      </c>
      <c r="P528" s="76">
        <v>16.1764705882353</v>
      </c>
      <c r="Q528" s="91">
        <v>350</v>
      </c>
      <c r="R528" s="76">
        <v>17.5</v>
      </c>
      <c r="S528" s="76">
        <f>STOCK[[#This Row],[Peso (g)]]*STOCK[[#This Row],[Precio Envío Kilogramo (USD)]]/1000</f>
        <v>6.125</v>
      </c>
      <c r="T528" s="76">
        <f>STOCK[[#This Row],[Costo Unitario (USD)]]+STOCK[[#This Row],[Costo Envío (USD)]]+STOCK[[#This Row],[Comisión 10%]]</f>
        <v>25.8014705882353</v>
      </c>
      <c r="U528" s="76">
        <f>STOCK[[#This Row],[Costo total]]*1.5</f>
        <v>38.7022058823529</v>
      </c>
      <c r="V528" s="76">
        <v>35</v>
      </c>
      <c r="W528" s="76">
        <f>STOCK[[#This Row],[Precio Final]]-STOCK[[#This Row],[Costo total]]</f>
        <v>9.1985294117647</v>
      </c>
      <c r="X528" s="76">
        <f>STOCK[[#This Row],[Ganancia Unitaria]]*STOCK[[#This Row],[Salidas]]</f>
        <v>9.1985294117647</v>
      </c>
      <c r="Y528" s="76" t="s">
        <v>926</v>
      </c>
      <c r="AA528" s="76">
        <f>STOCK[[#This Row],[Costo total]]*STOCK[[#This Row],[Entradas]]</f>
        <v>25.8014705882353</v>
      </c>
      <c r="AB528" s="76">
        <f>STOCK[[#This Row],[Stock Actual]]*STOCK[[#This Row],[Costo total]]</f>
        <v>0</v>
      </c>
    </row>
    <row r="529" s="77" customFormat="1" ht="50" hidden="1" customHeight="1" spans="1:28">
      <c r="A529" s="77" t="s">
        <v>1081</v>
      </c>
      <c r="B529" s="6"/>
      <c r="C529" s="77" t="s">
        <v>30</v>
      </c>
      <c r="D529" s="77" t="s">
        <v>42</v>
      </c>
      <c r="E529" s="77" t="s">
        <v>1082</v>
      </c>
      <c r="F529" s="77" t="s">
        <v>47</v>
      </c>
      <c r="G529" s="77" t="s">
        <v>34</v>
      </c>
      <c r="H529" s="77">
        <f>STOCK[[#This Row],[Precio Final]]</f>
        <v>25</v>
      </c>
      <c r="I529" s="77">
        <f>STOCK[[#This Row],[Precio Venta Ideal (x1.5)]]</f>
        <v>27.4599264705882</v>
      </c>
      <c r="J529" s="92">
        <v>1</v>
      </c>
      <c r="K529" s="92">
        <f>SUMIFS(VENTAS[Cantidad],VENTAS[Código del producto Vendido],STOCK[[#This Row],[Code]])</f>
        <v>1</v>
      </c>
      <c r="L529" s="92">
        <f>STOCK[[#This Row],[Entradas]]-STOCK[[#This Row],[Salidas]]</f>
        <v>0</v>
      </c>
      <c r="M529" s="77">
        <f>STOCK[[#This Row],[Precio Final]]*10%</f>
        <v>2.5</v>
      </c>
      <c r="N529" s="77">
        <v>175</v>
      </c>
      <c r="O529" s="77">
        <v>17</v>
      </c>
      <c r="P529" s="77">
        <v>10.2941176470588</v>
      </c>
      <c r="Q529" s="92">
        <v>315</v>
      </c>
      <c r="R529" s="77">
        <v>17.5</v>
      </c>
      <c r="S529" s="77">
        <f>STOCK[[#This Row],[Peso (g)]]*STOCK[[#This Row],[Precio Envío Kilogramo (USD)]]/1000</f>
        <v>5.5125</v>
      </c>
      <c r="T529" s="76">
        <f>STOCK[[#This Row],[Costo Unitario (USD)]]+STOCK[[#This Row],[Costo Envío (USD)]]+STOCK[[#This Row],[Comisión 10%]]</f>
        <v>18.3066176470588</v>
      </c>
      <c r="U529" s="77">
        <f>STOCK[[#This Row],[Costo total]]*1.5</f>
        <v>27.4599264705882</v>
      </c>
      <c r="V529" s="77">
        <v>25</v>
      </c>
      <c r="W529" s="77">
        <f>STOCK[[#This Row],[Precio Final]]-STOCK[[#This Row],[Costo total]]</f>
        <v>6.6933823529412</v>
      </c>
      <c r="X529" s="77">
        <f>STOCK[[#This Row],[Ganancia Unitaria]]*STOCK[[#This Row],[Salidas]]</f>
        <v>6.6933823529412</v>
      </c>
      <c r="Y529" s="77" t="s">
        <v>926</v>
      </c>
      <c r="AA529" s="77">
        <f>STOCK[[#This Row],[Costo total]]*STOCK[[#This Row],[Entradas]]</f>
        <v>18.3066176470588</v>
      </c>
      <c r="AB529" s="77">
        <f>STOCK[[#This Row],[Stock Actual]]*STOCK[[#This Row],[Costo total]]</f>
        <v>0</v>
      </c>
    </row>
    <row r="530" s="76" customFormat="1" ht="50" hidden="1" customHeight="1" spans="1:28">
      <c r="A530" s="76" t="s">
        <v>1083</v>
      </c>
      <c r="B530" s="6"/>
      <c r="C530" s="76" t="s">
        <v>30</v>
      </c>
      <c r="D530" s="76" t="s">
        <v>42</v>
      </c>
      <c r="E530" s="76" t="s">
        <v>1084</v>
      </c>
      <c r="F530" s="76" t="s">
        <v>60</v>
      </c>
      <c r="G530" s="76" t="s">
        <v>34</v>
      </c>
      <c r="H530" s="76">
        <f>STOCK[[#This Row],[Precio Final]]</f>
        <v>25</v>
      </c>
      <c r="I530" s="76">
        <f>STOCK[[#This Row],[Precio Venta Ideal (x1.5)]]</f>
        <v>28.95</v>
      </c>
      <c r="J530" s="91">
        <v>1</v>
      </c>
      <c r="K530" s="91">
        <f>SUMIFS(VENTAS[Cantidad],VENTAS[Código del producto Vendido],STOCK[[#This Row],[Code]])</f>
        <v>1</v>
      </c>
      <c r="L530" s="91">
        <f>STOCK[[#This Row],[Entradas]]-STOCK[[#This Row],[Salidas]]</f>
        <v>0</v>
      </c>
      <c r="M530" s="76">
        <f>STOCK[[#This Row],[Precio Final]]*10%</f>
        <v>2.5</v>
      </c>
      <c r="N530" s="76">
        <v>238</v>
      </c>
      <c r="O530" s="76">
        <v>17</v>
      </c>
      <c r="P530" s="76">
        <v>14</v>
      </c>
      <c r="Q530" s="91">
        <v>160</v>
      </c>
      <c r="R530" s="76">
        <v>17.5</v>
      </c>
      <c r="S530" s="76">
        <f>STOCK[[#This Row],[Peso (g)]]*STOCK[[#This Row],[Precio Envío Kilogramo (USD)]]/1000</f>
        <v>2.8</v>
      </c>
      <c r="T530" s="76">
        <f>STOCK[[#This Row],[Costo Unitario (USD)]]+STOCK[[#This Row],[Costo Envío (USD)]]+STOCK[[#This Row],[Comisión 10%]]</f>
        <v>19.3</v>
      </c>
      <c r="U530" s="76">
        <f>STOCK[[#This Row],[Costo total]]*1.5</f>
        <v>28.95</v>
      </c>
      <c r="V530" s="76">
        <v>25</v>
      </c>
      <c r="W530" s="76">
        <f>STOCK[[#This Row],[Precio Final]]-STOCK[[#This Row],[Costo total]]</f>
        <v>5.7</v>
      </c>
      <c r="X530" s="76">
        <f>STOCK[[#This Row],[Ganancia Unitaria]]*STOCK[[#This Row],[Salidas]]</f>
        <v>5.7</v>
      </c>
      <c r="Y530" s="76" t="s">
        <v>1085</v>
      </c>
      <c r="AA530" s="76">
        <f>STOCK[[#This Row],[Costo total]]*STOCK[[#This Row],[Entradas]]</f>
        <v>19.3</v>
      </c>
      <c r="AB530" s="76">
        <f>STOCK[[#This Row],[Stock Actual]]*STOCK[[#This Row],[Costo total]]</f>
        <v>0</v>
      </c>
    </row>
    <row r="531" s="77" customFormat="1" ht="50" hidden="1" customHeight="1" spans="1:28">
      <c r="A531" s="77" t="s">
        <v>1086</v>
      </c>
      <c r="B531" s="6"/>
      <c r="C531" s="77" t="s">
        <v>30</v>
      </c>
      <c r="D531" s="77" t="s">
        <v>36</v>
      </c>
      <c r="E531" s="77" t="s">
        <v>1087</v>
      </c>
      <c r="F531" s="77" t="s">
        <v>393</v>
      </c>
      <c r="G531" s="77" t="s">
        <v>34</v>
      </c>
      <c r="H531" s="77">
        <f>STOCK[[#This Row],[Precio Final]]</f>
        <v>10</v>
      </c>
      <c r="I531" s="77">
        <f>STOCK[[#This Row],[Precio Venta Ideal (x1.5)]]</f>
        <v>8.28308823529411</v>
      </c>
      <c r="J531" s="92">
        <v>1</v>
      </c>
      <c r="K531" s="92">
        <f>SUMIFS(VENTAS[Cantidad],VENTAS[Código del producto Vendido],STOCK[[#This Row],[Code]])</f>
        <v>1</v>
      </c>
      <c r="L531" s="92">
        <f>STOCK[[#This Row],[Entradas]]-STOCK[[#This Row],[Salidas]]</f>
        <v>0</v>
      </c>
      <c r="M531" s="77">
        <f>STOCK[[#This Row],[Precio Final]]*10%</f>
        <v>1</v>
      </c>
      <c r="N531" s="77">
        <v>62</v>
      </c>
      <c r="O531" s="77">
        <v>17</v>
      </c>
      <c r="P531" s="77">
        <v>3.64705882352941</v>
      </c>
      <c r="Q531" s="92">
        <v>50</v>
      </c>
      <c r="R531" s="77">
        <v>17.5</v>
      </c>
      <c r="S531" s="77">
        <f>STOCK[[#This Row],[Peso (g)]]*STOCK[[#This Row],[Precio Envío Kilogramo (USD)]]/1000</f>
        <v>0.875</v>
      </c>
      <c r="T531" s="76">
        <f>STOCK[[#This Row],[Costo Unitario (USD)]]+STOCK[[#This Row],[Costo Envío (USD)]]+STOCK[[#This Row],[Comisión 10%]]</f>
        <v>5.52205882352941</v>
      </c>
      <c r="U531" s="77">
        <f>STOCK[[#This Row],[Costo total]]*1.5</f>
        <v>8.28308823529411</v>
      </c>
      <c r="V531" s="77">
        <v>10</v>
      </c>
      <c r="W531" s="77">
        <f>STOCK[[#This Row],[Precio Final]]-STOCK[[#This Row],[Costo total]]</f>
        <v>4.47794117647059</v>
      </c>
      <c r="X531" s="77">
        <f>STOCK[[#This Row],[Ganancia Unitaria]]*STOCK[[#This Row],[Salidas]]</f>
        <v>4.47794117647059</v>
      </c>
      <c r="Y531" s="77" t="s">
        <v>926</v>
      </c>
      <c r="AA531" s="77">
        <f>STOCK[[#This Row],[Costo total]]*STOCK[[#This Row],[Entradas]]</f>
        <v>5.52205882352941</v>
      </c>
      <c r="AB531" s="77">
        <f>STOCK[[#This Row],[Stock Actual]]*STOCK[[#This Row],[Costo total]]</f>
        <v>0</v>
      </c>
    </row>
    <row r="532" s="76" customFormat="1" ht="50" hidden="1" customHeight="1" spans="1:28">
      <c r="A532" s="76" t="s">
        <v>1088</v>
      </c>
      <c r="B532" s="6"/>
      <c r="C532" s="76" t="s">
        <v>30</v>
      </c>
      <c r="D532" s="76" t="s">
        <v>36</v>
      </c>
      <c r="E532" s="76" t="s">
        <v>1089</v>
      </c>
      <c r="F532" s="76" t="s">
        <v>60</v>
      </c>
      <c r="G532" s="76" t="s">
        <v>34</v>
      </c>
      <c r="H532" s="76">
        <f>STOCK[[#This Row],[Precio Final]]</f>
        <v>10</v>
      </c>
      <c r="I532" s="76">
        <f>STOCK[[#This Row],[Precio Venta Ideal (x1.5)]]</f>
        <v>11.8852941176471</v>
      </c>
      <c r="J532" s="91">
        <v>1</v>
      </c>
      <c r="K532" s="91">
        <f>SUMIFS(VENTAS[Cantidad],VENTAS[Código del producto Vendido],STOCK[[#This Row],[Code]])</f>
        <v>1</v>
      </c>
      <c r="L532" s="91">
        <f>STOCK[[#This Row],[Entradas]]-STOCK[[#This Row],[Salidas]]</f>
        <v>0</v>
      </c>
      <c r="M532" s="76">
        <f>STOCK[[#This Row],[Precio Final]]*10%</f>
        <v>1</v>
      </c>
      <c r="N532" s="76">
        <v>82</v>
      </c>
      <c r="O532" s="76">
        <v>17</v>
      </c>
      <c r="P532" s="76">
        <v>4.82352941176471</v>
      </c>
      <c r="Q532" s="91">
        <v>120</v>
      </c>
      <c r="R532" s="76">
        <v>17.5</v>
      </c>
      <c r="S532" s="76">
        <f>STOCK[[#This Row],[Peso (g)]]*STOCK[[#This Row],[Precio Envío Kilogramo (USD)]]/1000</f>
        <v>2.1</v>
      </c>
      <c r="T532" s="76">
        <f>STOCK[[#This Row],[Costo Unitario (USD)]]+STOCK[[#This Row],[Costo Envío (USD)]]+STOCK[[#This Row],[Comisión 10%]]</f>
        <v>7.92352941176471</v>
      </c>
      <c r="U532" s="76">
        <f>STOCK[[#This Row],[Costo total]]*1.5</f>
        <v>11.8852941176471</v>
      </c>
      <c r="V532" s="76">
        <v>10</v>
      </c>
      <c r="W532" s="76">
        <f>STOCK[[#This Row],[Precio Final]]-STOCK[[#This Row],[Costo total]]</f>
        <v>2.07647058823529</v>
      </c>
      <c r="X532" s="76">
        <f>STOCK[[#This Row],[Ganancia Unitaria]]*STOCK[[#This Row],[Salidas]]</f>
        <v>2.07647058823529</v>
      </c>
      <c r="Y532" s="76" t="s">
        <v>926</v>
      </c>
      <c r="AA532" s="76">
        <f>STOCK[[#This Row],[Costo total]]*STOCK[[#This Row],[Entradas]]</f>
        <v>7.92352941176471</v>
      </c>
      <c r="AB532" s="76">
        <f>STOCK[[#This Row],[Stock Actual]]*STOCK[[#This Row],[Costo total]]</f>
        <v>0</v>
      </c>
    </row>
    <row r="533" s="77" customFormat="1" ht="50" hidden="1" customHeight="1" spans="1:28">
      <c r="A533" s="77" t="s">
        <v>1090</v>
      </c>
      <c r="B533" s="6"/>
      <c r="C533" s="77" t="s">
        <v>30</v>
      </c>
      <c r="D533" s="77" t="s">
        <v>36</v>
      </c>
      <c r="E533" s="77" t="s">
        <v>1091</v>
      </c>
      <c r="F533" s="77" t="s">
        <v>44</v>
      </c>
      <c r="G533" s="77" t="s">
        <v>34</v>
      </c>
      <c r="H533" s="77">
        <f>STOCK[[#This Row],[Precio Final]]</f>
        <v>28</v>
      </c>
      <c r="I533" s="77">
        <f>STOCK[[#This Row],[Precio Venta Ideal (x1.5)]]</f>
        <v>34.9191176470589</v>
      </c>
      <c r="J533" s="92">
        <v>2</v>
      </c>
      <c r="K533" s="92">
        <f>SUMIFS(VENTAS[Cantidad],VENTAS[Código del producto Vendido],STOCK[[#This Row],[Code]])</f>
        <v>2</v>
      </c>
      <c r="L533" s="92">
        <f>STOCK[[#This Row],[Entradas]]-STOCK[[#This Row],[Salidas]]</f>
        <v>0</v>
      </c>
      <c r="M533" s="77">
        <f>STOCK[[#This Row],[Precio Final]]*10%</f>
        <v>2.8</v>
      </c>
      <c r="N533" s="77">
        <v>247</v>
      </c>
      <c r="O533" s="77">
        <v>17</v>
      </c>
      <c r="P533" s="77">
        <v>14.5294117647059</v>
      </c>
      <c r="Q533" s="92">
        <v>340</v>
      </c>
      <c r="R533" s="77">
        <v>17.5</v>
      </c>
      <c r="S533" s="77">
        <f>STOCK[[#This Row],[Peso (g)]]*STOCK[[#This Row],[Precio Envío Kilogramo (USD)]]/1000</f>
        <v>5.95</v>
      </c>
      <c r="T533" s="76">
        <f>STOCK[[#This Row],[Costo Unitario (USD)]]+STOCK[[#This Row],[Costo Envío (USD)]]+STOCK[[#This Row],[Comisión 10%]]</f>
        <v>23.2794117647059</v>
      </c>
      <c r="U533" s="77">
        <f>STOCK[[#This Row],[Costo total]]*1.5</f>
        <v>34.9191176470589</v>
      </c>
      <c r="V533" s="77">
        <v>28</v>
      </c>
      <c r="W533" s="77">
        <f>STOCK[[#This Row],[Precio Final]]-STOCK[[#This Row],[Costo total]]</f>
        <v>4.7205882352941</v>
      </c>
      <c r="X533" s="77">
        <f>STOCK[[#This Row],[Ganancia Unitaria]]*STOCK[[#This Row],[Salidas]]</f>
        <v>9.4411764705882</v>
      </c>
      <c r="Y533" s="77" t="s">
        <v>926</v>
      </c>
      <c r="AA533" s="77">
        <f>STOCK[[#This Row],[Costo total]]*STOCK[[#This Row],[Entradas]]</f>
        <v>46.5588235294118</v>
      </c>
      <c r="AB533" s="77">
        <f>STOCK[[#This Row],[Stock Actual]]*STOCK[[#This Row],[Costo total]]</f>
        <v>0</v>
      </c>
    </row>
    <row r="534" s="76" customFormat="1" ht="50" hidden="1" customHeight="1" spans="1:28">
      <c r="A534" s="76" t="s">
        <v>1092</v>
      </c>
      <c r="B534" s="6"/>
      <c r="C534" s="76" t="s">
        <v>30</v>
      </c>
      <c r="D534" s="76" t="s">
        <v>36</v>
      </c>
      <c r="E534" s="76" t="s">
        <v>1091</v>
      </c>
      <c r="F534" s="76" t="s">
        <v>40</v>
      </c>
      <c r="G534" s="76" t="s">
        <v>34</v>
      </c>
      <c r="H534" s="76">
        <f>STOCK[[#This Row],[Precio Final]]</f>
        <v>28</v>
      </c>
      <c r="I534" s="76">
        <f>STOCK[[#This Row],[Precio Venta Ideal (x1.5)]]</f>
        <v>34.9191176470589</v>
      </c>
      <c r="J534" s="91">
        <v>2</v>
      </c>
      <c r="K534" s="91">
        <f>SUMIFS(VENTAS[Cantidad],VENTAS[Código del producto Vendido],STOCK[[#This Row],[Code]])</f>
        <v>2</v>
      </c>
      <c r="L534" s="91">
        <f>STOCK[[#This Row],[Entradas]]-STOCK[[#This Row],[Salidas]]</f>
        <v>0</v>
      </c>
      <c r="M534" s="76">
        <f>STOCK[[#This Row],[Precio Final]]*10%</f>
        <v>2.8</v>
      </c>
      <c r="N534" s="76">
        <v>247</v>
      </c>
      <c r="O534" s="76">
        <v>17</v>
      </c>
      <c r="P534" s="76">
        <v>14.5294117647059</v>
      </c>
      <c r="Q534" s="91">
        <v>340</v>
      </c>
      <c r="R534" s="76">
        <v>17.5</v>
      </c>
      <c r="S534" s="76">
        <f>STOCK[[#This Row],[Peso (g)]]*STOCK[[#This Row],[Precio Envío Kilogramo (USD)]]/1000</f>
        <v>5.95</v>
      </c>
      <c r="T534" s="76">
        <f>STOCK[[#This Row],[Costo Unitario (USD)]]+STOCK[[#This Row],[Costo Envío (USD)]]+STOCK[[#This Row],[Comisión 10%]]</f>
        <v>23.2794117647059</v>
      </c>
      <c r="U534" s="76">
        <f>STOCK[[#This Row],[Costo total]]*1.5</f>
        <v>34.9191176470589</v>
      </c>
      <c r="V534" s="76">
        <v>28</v>
      </c>
      <c r="W534" s="76">
        <f>STOCK[[#This Row],[Precio Final]]-STOCK[[#This Row],[Costo total]]</f>
        <v>4.7205882352941</v>
      </c>
      <c r="X534" s="76">
        <f>STOCK[[#This Row],[Ganancia Unitaria]]*STOCK[[#This Row],[Salidas]]</f>
        <v>9.4411764705882</v>
      </c>
      <c r="Y534" s="76" t="s">
        <v>926</v>
      </c>
      <c r="AA534" s="76">
        <f>STOCK[[#This Row],[Costo total]]*STOCK[[#This Row],[Entradas]]</f>
        <v>46.5588235294118</v>
      </c>
      <c r="AB534" s="76">
        <f>STOCK[[#This Row],[Stock Actual]]*STOCK[[#This Row],[Costo total]]</f>
        <v>0</v>
      </c>
    </row>
    <row r="535" s="77" customFormat="1" ht="50" hidden="1" customHeight="1" spans="1:28">
      <c r="A535" s="77" t="s">
        <v>1093</v>
      </c>
      <c r="B535" s="6"/>
      <c r="C535" s="77" t="s">
        <v>30</v>
      </c>
      <c r="D535" s="77" t="s">
        <v>154</v>
      </c>
      <c r="E535" s="77" t="s">
        <v>1094</v>
      </c>
      <c r="F535" s="77" t="s">
        <v>90</v>
      </c>
      <c r="G535" s="77" t="s">
        <v>34</v>
      </c>
      <c r="H535" s="77">
        <f>STOCK[[#This Row],[Precio Final]]</f>
        <v>40</v>
      </c>
      <c r="I535" s="77">
        <f>STOCK[[#This Row],[Precio Venta Ideal (x1.5)]]</f>
        <v>54.3970588235293</v>
      </c>
      <c r="J535" s="92">
        <v>1</v>
      </c>
      <c r="K535" s="92">
        <f>SUMIFS(VENTAS[Cantidad],VENTAS[Código del producto Vendido],STOCK[[#This Row],[Code]])</f>
        <v>1</v>
      </c>
      <c r="L535" s="92">
        <f>STOCK[[#This Row],[Entradas]]-STOCK[[#This Row],[Salidas]]</f>
        <v>0</v>
      </c>
      <c r="M535" s="77">
        <f>STOCK[[#This Row],[Precio Final]]*10%</f>
        <v>4</v>
      </c>
      <c r="N535" s="77">
        <v>370</v>
      </c>
      <c r="O535" s="77">
        <v>17</v>
      </c>
      <c r="P535" s="77">
        <v>21.7647058823529</v>
      </c>
      <c r="Q535" s="92">
        <v>600</v>
      </c>
      <c r="R535" s="77">
        <v>17.5</v>
      </c>
      <c r="S535" s="77">
        <f>STOCK[[#This Row],[Peso (g)]]*STOCK[[#This Row],[Precio Envío Kilogramo (USD)]]/1000</f>
        <v>10.5</v>
      </c>
      <c r="T535" s="76">
        <f>STOCK[[#This Row],[Costo Unitario (USD)]]+STOCK[[#This Row],[Costo Envío (USD)]]+STOCK[[#This Row],[Comisión 10%]]</f>
        <v>36.2647058823529</v>
      </c>
      <c r="U535" s="77">
        <f>STOCK[[#This Row],[Costo total]]*1.5</f>
        <v>54.3970588235293</v>
      </c>
      <c r="V535" s="77">
        <v>40</v>
      </c>
      <c r="W535" s="77">
        <f>STOCK[[#This Row],[Precio Final]]-STOCK[[#This Row],[Costo total]]</f>
        <v>3.7352941176471</v>
      </c>
      <c r="X535" s="77">
        <f>STOCK[[#This Row],[Ganancia Unitaria]]*STOCK[[#This Row],[Salidas]]</f>
        <v>3.7352941176471</v>
      </c>
      <c r="AA535" s="77">
        <f>STOCK[[#This Row],[Costo total]]*STOCK[[#This Row],[Entradas]]</f>
        <v>36.2647058823529</v>
      </c>
      <c r="AB535" s="77">
        <f>STOCK[[#This Row],[Stock Actual]]*STOCK[[#This Row],[Costo total]]</f>
        <v>0</v>
      </c>
    </row>
    <row r="536" s="76" customFormat="1" ht="50" hidden="1" customHeight="1" spans="1:28">
      <c r="A536" s="76" t="s">
        <v>1095</v>
      </c>
      <c r="B536" s="6"/>
      <c r="C536" s="76" t="s">
        <v>30</v>
      </c>
      <c r="D536" s="76" t="s">
        <v>36</v>
      </c>
      <c r="E536" s="76" t="s">
        <v>1096</v>
      </c>
      <c r="F536" s="76" t="s">
        <v>44</v>
      </c>
      <c r="G536" s="76" t="s">
        <v>34</v>
      </c>
      <c r="H536" s="76">
        <f>STOCK[[#This Row],[Precio Final]]</f>
        <v>28</v>
      </c>
      <c r="I536" s="76">
        <f>STOCK[[#This Row],[Precio Venta Ideal (x1.5)]]</f>
        <v>33.208455882353</v>
      </c>
      <c r="J536" s="91">
        <v>1</v>
      </c>
      <c r="K536" s="91">
        <f>SUMIFS(VENTAS[Cantidad],VENTAS[Código del producto Vendido],STOCK[[#This Row],[Code]])</f>
        <v>1</v>
      </c>
      <c r="L536" s="91">
        <f>STOCK[[#This Row],[Entradas]]-STOCK[[#This Row],[Salidas]]</f>
        <v>0</v>
      </c>
      <c r="M536" s="76">
        <f>STOCK[[#This Row],[Precio Final]]*10%</f>
        <v>2.8</v>
      </c>
      <c r="N536" s="76">
        <v>241</v>
      </c>
      <c r="O536" s="76">
        <v>17</v>
      </c>
      <c r="P536" s="76">
        <v>14.1764705882353</v>
      </c>
      <c r="Q536" s="91">
        <v>295</v>
      </c>
      <c r="R536" s="76">
        <v>17.5</v>
      </c>
      <c r="S536" s="76">
        <f>STOCK[[#This Row],[Peso (g)]]*STOCK[[#This Row],[Precio Envío Kilogramo (USD)]]/1000</f>
        <v>5.1625</v>
      </c>
      <c r="T536" s="76">
        <f>STOCK[[#This Row],[Costo Unitario (USD)]]+STOCK[[#This Row],[Costo Envío (USD)]]+STOCK[[#This Row],[Comisión 10%]]</f>
        <v>22.1389705882353</v>
      </c>
      <c r="U536" s="76">
        <f>STOCK[[#This Row],[Costo total]]*1.5</f>
        <v>33.208455882353</v>
      </c>
      <c r="V536" s="76">
        <v>28</v>
      </c>
      <c r="W536" s="76">
        <f>STOCK[[#This Row],[Precio Final]]-STOCK[[#This Row],[Costo total]]</f>
        <v>5.8610294117647</v>
      </c>
      <c r="X536" s="76">
        <f>STOCK[[#This Row],[Ganancia Unitaria]]*STOCK[[#This Row],[Salidas]]</f>
        <v>5.8610294117647</v>
      </c>
      <c r="Y536" s="76" t="s">
        <v>926</v>
      </c>
      <c r="AA536" s="76">
        <f>STOCK[[#This Row],[Costo total]]*STOCK[[#This Row],[Entradas]]</f>
        <v>22.1389705882353</v>
      </c>
      <c r="AB536" s="76">
        <f>STOCK[[#This Row],[Stock Actual]]*STOCK[[#This Row],[Costo total]]</f>
        <v>0</v>
      </c>
    </row>
    <row r="537" s="77" customFormat="1" ht="50" hidden="1" customHeight="1" spans="1:28">
      <c r="A537" s="77" t="s">
        <v>1097</v>
      </c>
      <c r="B537" s="6"/>
      <c r="C537" s="77" t="s">
        <v>30</v>
      </c>
      <c r="D537" s="77" t="s">
        <v>36</v>
      </c>
      <c r="E537" s="77" t="s">
        <v>1096</v>
      </c>
      <c r="F537" s="77" t="s">
        <v>40</v>
      </c>
      <c r="G537" s="77" t="s">
        <v>34</v>
      </c>
      <c r="H537" s="77">
        <f>STOCK[[#This Row],[Precio Final]]</f>
        <v>28</v>
      </c>
      <c r="I537" s="77">
        <f>STOCK[[#This Row],[Precio Venta Ideal (x1.5)]]</f>
        <v>33.208455882353</v>
      </c>
      <c r="J537" s="92">
        <v>2</v>
      </c>
      <c r="K537" s="92">
        <f>SUMIFS(VENTAS[Cantidad],VENTAS[Código del producto Vendido],STOCK[[#This Row],[Code]])</f>
        <v>2</v>
      </c>
      <c r="L537" s="92">
        <f>STOCK[[#This Row],[Entradas]]-STOCK[[#This Row],[Salidas]]</f>
        <v>0</v>
      </c>
      <c r="M537" s="77">
        <f>STOCK[[#This Row],[Precio Final]]*10%</f>
        <v>2.8</v>
      </c>
      <c r="N537" s="77">
        <v>241</v>
      </c>
      <c r="O537" s="77">
        <v>17</v>
      </c>
      <c r="P537" s="77">
        <v>14.1764705882353</v>
      </c>
      <c r="Q537" s="92">
        <v>295</v>
      </c>
      <c r="R537" s="77">
        <v>17.5</v>
      </c>
      <c r="S537" s="77">
        <f>STOCK[[#This Row],[Peso (g)]]*STOCK[[#This Row],[Precio Envío Kilogramo (USD)]]/1000</f>
        <v>5.1625</v>
      </c>
      <c r="T537" s="76">
        <f>STOCK[[#This Row],[Costo Unitario (USD)]]+STOCK[[#This Row],[Costo Envío (USD)]]+STOCK[[#This Row],[Comisión 10%]]</f>
        <v>22.1389705882353</v>
      </c>
      <c r="U537" s="77">
        <f>STOCK[[#This Row],[Costo total]]*1.5</f>
        <v>33.208455882353</v>
      </c>
      <c r="V537" s="77">
        <v>28</v>
      </c>
      <c r="W537" s="77">
        <f>STOCK[[#This Row],[Precio Final]]-STOCK[[#This Row],[Costo total]]</f>
        <v>5.8610294117647</v>
      </c>
      <c r="X537" s="77">
        <f>STOCK[[#This Row],[Ganancia Unitaria]]*STOCK[[#This Row],[Salidas]]</f>
        <v>11.7220588235294</v>
      </c>
      <c r="Y537" s="77" t="s">
        <v>926</v>
      </c>
      <c r="AA537" s="77">
        <f>STOCK[[#This Row],[Costo total]]*STOCK[[#This Row],[Entradas]]</f>
        <v>44.2779411764706</v>
      </c>
      <c r="AB537" s="77">
        <f>STOCK[[#This Row],[Stock Actual]]*STOCK[[#This Row],[Costo total]]</f>
        <v>0</v>
      </c>
    </row>
    <row r="538" s="76" customFormat="1" ht="50" hidden="1" customHeight="1" spans="1:28">
      <c r="A538" s="76" t="s">
        <v>1098</v>
      </c>
      <c r="B538" s="6"/>
      <c r="C538" s="76" t="s">
        <v>30</v>
      </c>
      <c r="D538" s="76" t="s">
        <v>514</v>
      </c>
      <c r="E538" s="76" t="s">
        <v>1099</v>
      </c>
      <c r="F538" s="76" t="s">
        <v>764</v>
      </c>
      <c r="G538" s="76" t="s">
        <v>34</v>
      </c>
      <c r="H538" s="76">
        <f>STOCK[[#This Row],[Precio Final]]</f>
        <v>35</v>
      </c>
      <c r="I538" s="76">
        <f>STOCK[[#This Row],[Precio Venta Ideal (x1.5)]]</f>
        <v>45.5294117647059</v>
      </c>
      <c r="J538" s="91">
        <v>2</v>
      </c>
      <c r="K538" s="91">
        <f>SUMIFS(VENTAS[Cantidad],VENTAS[Código del producto Vendido],STOCK[[#This Row],[Code]])</f>
        <v>1</v>
      </c>
      <c r="L538" s="91">
        <f>STOCK[[#This Row],[Entradas]]-STOCK[[#This Row],[Salidas]]</f>
        <v>1</v>
      </c>
      <c r="M538" s="76">
        <f>STOCK[[#This Row],[Precio Final]]*10%</f>
        <v>3.5</v>
      </c>
      <c r="N538" s="76">
        <v>278</v>
      </c>
      <c r="O538" s="76">
        <v>17</v>
      </c>
      <c r="P538" s="76">
        <v>16.3529411764706</v>
      </c>
      <c r="Q538" s="91">
        <v>600</v>
      </c>
      <c r="R538" s="76">
        <v>17.5</v>
      </c>
      <c r="S538" s="76">
        <f>STOCK[[#This Row],[Peso (g)]]*STOCK[[#This Row],[Precio Envío Kilogramo (USD)]]/1000</f>
        <v>10.5</v>
      </c>
      <c r="T538" s="76">
        <f>STOCK[[#This Row],[Costo Unitario (USD)]]+STOCK[[#This Row],[Costo Envío (USD)]]+STOCK[[#This Row],[Comisión 10%]]</f>
        <v>30.3529411764706</v>
      </c>
      <c r="U538" s="76">
        <f>STOCK[[#This Row],[Costo total]]*1.5</f>
        <v>45.5294117647059</v>
      </c>
      <c r="V538" s="76">
        <v>35</v>
      </c>
      <c r="W538" s="76">
        <f>STOCK[[#This Row],[Precio Final]]-STOCK[[#This Row],[Costo total]]</f>
        <v>4.6470588235294</v>
      </c>
      <c r="X538" s="76">
        <f>STOCK[[#This Row],[Ganancia Unitaria]]*STOCK[[#This Row],[Salidas]]</f>
        <v>4.6470588235294</v>
      </c>
      <c r="AA538" s="76">
        <f>STOCK[[#This Row],[Costo total]]*STOCK[[#This Row],[Entradas]]</f>
        <v>60.7058823529412</v>
      </c>
      <c r="AB538" s="76">
        <f>STOCK[[#This Row],[Stock Actual]]*STOCK[[#This Row],[Costo total]]</f>
        <v>30.3529411764706</v>
      </c>
    </row>
    <row r="539" s="76" customFormat="1" ht="50" hidden="1" customHeight="1" spans="1:28">
      <c r="A539" s="76" t="s">
        <v>1100</v>
      </c>
      <c r="B539" s="6"/>
      <c r="C539" s="76" t="s">
        <v>30</v>
      </c>
      <c r="D539" s="76" t="s">
        <v>514</v>
      </c>
      <c r="E539" s="76" t="s">
        <v>1099</v>
      </c>
      <c r="F539" s="76" t="s">
        <v>762</v>
      </c>
      <c r="G539" s="76" t="s">
        <v>34</v>
      </c>
      <c r="H539" s="76">
        <f>STOCK[[#This Row],[Precio Final]]</f>
        <v>40</v>
      </c>
      <c r="I539" s="76">
        <f>STOCK[[#This Row],[Precio Venta Ideal (x1.5)]]</f>
        <v>46.2794117647059</v>
      </c>
      <c r="J539" s="91">
        <v>2</v>
      </c>
      <c r="K539" s="91">
        <f>SUMIFS(VENTAS[Cantidad],VENTAS[Código del producto Vendido],STOCK[[#This Row],[Code]])</f>
        <v>2</v>
      </c>
      <c r="L539" s="91">
        <f>STOCK[[#This Row],[Entradas]]-STOCK[[#This Row],[Salidas]]</f>
        <v>0</v>
      </c>
      <c r="M539" s="76">
        <f>STOCK[[#This Row],[Precio Final]]*10%</f>
        <v>4</v>
      </c>
      <c r="N539" s="76">
        <v>278</v>
      </c>
      <c r="O539" s="76">
        <v>17</v>
      </c>
      <c r="P539" s="76">
        <v>16.3529411764706</v>
      </c>
      <c r="Q539" s="91">
        <v>600</v>
      </c>
      <c r="R539" s="76">
        <v>17.5</v>
      </c>
      <c r="S539" s="76">
        <f>STOCK[[#This Row],[Peso (g)]]*STOCK[[#This Row],[Precio Envío Kilogramo (USD)]]/1000</f>
        <v>10.5</v>
      </c>
      <c r="T539" s="76">
        <f>STOCK[[#This Row],[Costo Unitario (USD)]]+STOCK[[#This Row],[Costo Envío (USD)]]+STOCK[[#This Row],[Comisión 10%]]</f>
        <v>30.8529411764706</v>
      </c>
      <c r="U539" s="76">
        <f>STOCK[[#This Row],[Costo total]]*1.5</f>
        <v>46.2794117647059</v>
      </c>
      <c r="V539" s="76">
        <v>40</v>
      </c>
      <c r="W539" s="76">
        <f>STOCK[[#This Row],[Precio Final]]-STOCK[[#This Row],[Costo total]]</f>
        <v>9.1470588235294</v>
      </c>
      <c r="X539" s="76">
        <f>STOCK[[#This Row],[Ganancia Unitaria]]*STOCK[[#This Row],[Salidas]]</f>
        <v>18.2941176470588</v>
      </c>
      <c r="AA539" s="76">
        <f>STOCK[[#This Row],[Costo total]]*STOCK[[#This Row],[Entradas]]</f>
        <v>61.7058823529412</v>
      </c>
      <c r="AB539" s="76">
        <f>STOCK[[#This Row],[Stock Actual]]*STOCK[[#This Row],[Costo total]]</f>
        <v>0</v>
      </c>
    </row>
    <row r="540" s="77" customFormat="1" ht="50" hidden="1" customHeight="1" spans="1:28">
      <c r="A540" s="77" t="s">
        <v>1101</v>
      </c>
      <c r="B540" s="6"/>
      <c r="C540" s="77" t="s">
        <v>30</v>
      </c>
      <c r="D540" s="76" t="s">
        <v>514</v>
      </c>
      <c r="E540" s="77" t="s">
        <v>1099</v>
      </c>
      <c r="F540" s="77" t="s">
        <v>539</v>
      </c>
      <c r="G540" s="77" t="s">
        <v>34</v>
      </c>
      <c r="H540" s="77">
        <f>STOCK[[#This Row],[Precio Final]]</f>
        <v>35</v>
      </c>
      <c r="I540" s="77">
        <f>STOCK[[#This Row],[Precio Venta Ideal (x1.5)]]</f>
        <v>45.5294117647059</v>
      </c>
      <c r="J540" s="92">
        <v>2</v>
      </c>
      <c r="K540" s="92">
        <f>SUMIFS(VENTAS[Cantidad],VENTAS[Código del producto Vendido],STOCK[[#This Row],[Code]])</f>
        <v>2</v>
      </c>
      <c r="L540" s="92">
        <f>STOCK[[#This Row],[Entradas]]-STOCK[[#This Row],[Salidas]]</f>
        <v>0</v>
      </c>
      <c r="M540" s="77">
        <f>STOCK[[#This Row],[Precio Final]]*10%</f>
        <v>3.5</v>
      </c>
      <c r="N540" s="77">
        <v>278</v>
      </c>
      <c r="O540" s="77">
        <v>17</v>
      </c>
      <c r="P540" s="77">
        <v>16.3529411764706</v>
      </c>
      <c r="Q540" s="92">
        <v>600</v>
      </c>
      <c r="R540" s="77">
        <v>17.5</v>
      </c>
      <c r="S540" s="77">
        <f>STOCK[[#This Row],[Peso (g)]]*STOCK[[#This Row],[Precio Envío Kilogramo (USD)]]/1000</f>
        <v>10.5</v>
      </c>
      <c r="T540" s="76">
        <f>STOCK[[#This Row],[Costo Unitario (USD)]]+STOCK[[#This Row],[Costo Envío (USD)]]+STOCK[[#This Row],[Comisión 10%]]</f>
        <v>30.3529411764706</v>
      </c>
      <c r="U540" s="77">
        <f>STOCK[[#This Row],[Costo total]]*1.5</f>
        <v>45.5294117647059</v>
      </c>
      <c r="V540" s="77">
        <v>35</v>
      </c>
      <c r="W540" s="77">
        <f>STOCK[[#This Row],[Precio Final]]-STOCK[[#This Row],[Costo total]]</f>
        <v>4.6470588235294</v>
      </c>
      <c r="X540" s="77">
        <f>STOCK[[#This Row],[Ganancia Unitaria]]*STOCK[[#This Row],[Salidas]]</f>
        <v>9.2941176470588</v>
      </c>
      <c r="AA540" s="77">
        <f>STOCK[[#This Row],[Costo total]]*STOCK[[#This Row],[Entradas]]</f>
        <v>60.7058823529412</v>
      </c>
      <c r="AB540" s="77">
        <f>STOCK[[#This Row],[Stock Actual]]*STOCK[[#This Row],[Costo total]]</f>
        <v>0</v>
      </c>
    </row>
    <row r="541" s="76" customFormat="1" ht="50" hidden="1" customHeight="1" spans="1:28">
      <c r="A541" s="76" t="s">
        <v>1102</v>
      </c>
      <c r="B541" s="6"/>
      <c r="C541" s="76" t="s">
        <v>30</v>
      </c>
      <c r="D541" s="76" t="s">
        <v>301</v>
      </c>
      <c r="E541" s="76" t="s">
        <v>1103</v>
      </c>
      <c r="F541" s="76" t="s">
        <v>47</v>
      </c>
      <c r="G541" s="76" t="s">
        <v>34</v>
      </c>
      <c r="H541" s="76">
        <f>STOCK[[#This Row],[Precio Final]]</f>
        <v>22</v>
      </c>
      <c r="I541" s="76">
        <f>STOCK[[#This Row],[Precio Venta Ideal (x1.5)]]</f>
        <v>25.1227941176471</v>
      </c>
      <c r="J541" s="91">
        <v>1</v>
      </c>
      <c r="K541" s="91">
        <f>SUMIFS(VENTAS[Cantidad],VENTAS[Código del producto Vendido],STOCK[[#This Row],[Code]])</f>
        <v>1</v>
      </c>
      <c r="L541" s="91">
        <f>STOCK[[#This Row],[Entradas]]-STOCK[[#This Row],[Salidas]]</f>
        <v>0</v>
      </c>
      <c r="M541" s="76">
        <f>STOCK[[#This Row],[Precio Final]]*10%</f>
        <v>2.2</v>
      </c>
      <c r="N541" s="76">
        <v>167</v>
      </c>
      <c r="O541" s="76">
        <v>17</v>
      </c>
      <c r="P541" s="76">
        <v>9.82352941176471</v>
      </c>
      <c r="Q541" s="91">
        <v>270</v>
      </c>
      <c r="R541" s="76">
        <v>17.5</v>
      </c>
      <c r="S541" s="76">
        <f>STOCK[[#This Row],[Peso (g)]]*STOCK[[#This Row],[Precio Envío Kilogramo (USD)]]/1000</f>
        <v>4.725</v>
      </c>
      <c r="T541" s="76">
        <f>STOCK[[#This Row],[Costo Unitario (USD)]]+STOCK[[#This Row],[Costo Envío (USD)]]+STOCK[[#This Row],[Comisión 10%]]</f>
        <v>16.7485294117647</v>
      </c>
      <c r="U541" s="76">
        <f>STOCK[[#This Row],[Costo total]]*1.5</f>
        <v>25.1227941176471</v>
      </c>
      <c r="V541" s="76">
        <v>22</v>
      </c>
      <c r="W541" s="76">
        <f>STOCK[[#This Row],[Precio Final]]-STOCK[[#This Row],[Costo total]]</f>
        <v>5.25147058823529</v>
      </c>
      <c r="X541" s="76">
        <f>STOCK[[#This Row],[Ganancia Unitaria]]*STOCK[[#This Row],[Salidas]]</f>
        <v>5.25147058823529</v>
      </c>
      <c r="Y541" s="76" t="s">
        <v>926</v>
      </c>
      <c r="AA541" s="76">
        <f>STOCK[[#This Row],[Costo total]]*STOCK[[#This Row],[Entradas]]</f>
        <v>16.7485294117647</v>
      </c>
      <c r="AB541" s="76">
        <f>STOCK[[#This Row],[Stock Actual]]*STOCK[[#This Row],[Costo total]]</f>
        <v>0</v>
      </c>
    </row>
    <row r="542" s="77" customFormat="1" ht="50" hidden="1" customHeight="1" spans="1:28">
      <c r="A542" s="77" t="s">
        <v>1104</v>
      </c>
      <c r="B542" s="6"/>
      <c r="C542" s="77" t="s">
        <v>30</v>
      </c>
      <c r="D542" s="77" t="s">
        <v>301</v>
      </c>
      <c r="E542" s="77" t="s">
        <v>1103</v>
      </c>
      <c r="F542" s="77" t="s">
        <v>44</v>
      </c>
      <c r="G542" s="77" t="s">
        <v>34</v>
      </c>
      <c r="H542" s="77">
        <f>STOCK[[#This Row],[Precio Final]]</f>
        <v>25</v>
      </c>
      <c r="I542" s="77">
        <f>STOCK[[#This Row],[Precio Venta Ideal (x1.5)]]</f>
        <v>25.5727941176471</v>
      </c>
      <c r="J542" s="92">
        <v>2</v>
      </c>
      <c r="K542" s="92">
        <f>SUMIFS(VENTAS[Cantidad],VENTAS[Código del producto Vendido],STOCK[[#This Row],[Code]])</f>
        <v>2</v>
      </c>
      <c r="L542" s="92">
        <f>STOCK[[#This Row],[Entradas]]-STOCK[[#This Row],[Salidas]]</f>
        <v>0</v>
      </c>
      <c r="M542" s="77">
        <f>STOCK[[#This Row],[Precio Final]]*10%</f>
        <v>2.5</v>
      </c>
      <c r="N542" s="77">
        <v>167</v>
      </c>
      <c r="O542" s="77">
        <v>17</v>
      </c>
      <c r="P542" s="77">
        <v>9.82352941176471</v>
      </c>
      <c r="Q542" s="92">
        <v>270</v>
      </c>
      <c r="R542" s="77">
        <v>17.5</v>
      </c>
      <c r="S542" s="77">
        <f>STOCK[[#This Row],[Peso (g)]]*STOCK[[#This Row],[Precio Envío Kilogramo (USD)]]/1000</f>
        <v>4.725</v>
      </c>
      <c r="T542" s="76">
        <f>STOCK[[#This Row],[Costo Unitario (USD)]]+STOCK[[#This Row],[Costo Envío (USD)]]+STOCK[[#This Row],[Comisión 10%]]</f>
        <v>17.0485294117647</v>
      </c>
      <c r="U542" s="77">
        <f>STOCK[[#This Row],[Costo total]]*1.5</f>
        <v>25.5727941176471</v>
      </c>
      <c r="V542" s="77">
        <v>25</v>
      </c>
      <c r="W542" s="77">
        <f>STOCK[[#This Row],[Precio Final]]-STOCK[[#This Row],[Costo total]]</f>
        <v>7.95147058823529</v>
      </c>
      <c r="X542" s="77">
        <f>STOCK[[#This Row],[Ganancia Unitaria]]*STOCK[[#This Row],[Salidas]]</f>
        <v>15.9029411764706</v>
      </c>
      <c r="Y542" s="77" t="s">
        <v>926</v>
      </c>
      <c r="AA542" s="77">
        <f>STOCK[[#This Row],[Costo total]]*STOCK[[#This Row],[Entradas]]</f>
        <v>34.0970588235294</v>
      </c>
      <c r="AB542" s="77">
        <f>STOCK[[#This Row],[Stock Actual]]*STOCK[[#This Row],[Costo total]]</f>
        <v>0</v>
      </c>
    </row>
    <row r="543" s="76" customFormat="1" ht="50" hidden="1" customHeight="1" spans="1:28">
      <c r="A543" s="76" t="s">
        <v>1105</v>
      </c>
      <c r="B543" s="6"/>
      <c r="C543" s="76" t="s">
        <v>30</v>
      </c>
      <c r="D543" s="76" t="s">
        <v>301</v>
      </c>
      <c r="E543" s="76" t="s">
        <v>1106</v>
      </c>
      <c r="F543" s="76" t="s">
        <v>1107</v>
      </c>
      <c r="G543" s="76" t="s">
        <v>34</v>
      </c>
      <c r="H543" s="76">
        <f>STOCK[[#This Row],[Precio Final]]</f>
        <v>28</v>
      </c>
      <c r="I543" s="76">
        <f>STOCK[[#This Row],[Precio Venta Ideal (x1.5)]]</f>
        <v>31.8419117647059</v>
      </c>
      <c r="J543" s="91">
        <v>1</v>
      </c>
      <c r="K543" s="91">
        <f>SUMIFS(VENTAS[Cantidad],VENTAS[Código del producto Vendido],STOCK[[#This Row],[Code]])</f>
        <v>1</v>
      </c>
      <c r="L543" s="91">
        <f>STOCK[[#This Row],[Entradas]]-STOCK[[#This Row],[Salidas]]</f>
        <v>0</v>
      </c>
      <c r="M543" s="76">
        <f>STOCK[[#This Row],[Precio Final]]*10%</f>
        <v>2.8</v>
      </c>
      <c r="N543" s="76">
        <v>227</v>
      </c>
      <c r="O543" s="76">
        <v>17</v>
      </c>
      <c r="P543" s="76">
        <v>13.3529411764706</v>
      </c>
      <c r="Q543" s="91">
        <v>290</v>
      </c>
      <c r="R543" s="76">
        <v>17.5</v>
      </c>
      <c r="S543" s="76">
        <f>STOCK[[#This Row],[Peso (g)]]*STOCK[[#This Row],[Precio Envío Kilogramo (USD)]]/1000</f>
        <v>5.075</v>
      </c>
      <c r="T543" s="76">
        <f>STOCK[[#This Row],[Costo Unitario (USD)]]+STOCK[[#This Row],[Costo Envío (USD)]]+STOCK[[#This Row],[Comisión 10%]]</f>
        <v>21.2279411764706</v>
      </c>
      <c r="U543" s="76">
        <f>STOCK[[#This Row],[Costo total]]*1.5</f>
        <v>31.8419117647059</v>
      </c>
      <c r="V543" s="76">
        <v>28</v>
      </c>
      <c r="W543" s="76">
        <f>STOCK[[#This Row],[Precio Final]]-STOCK[[#This Row],[Costo total]]</f>
        <v>6.7720588235294</v>
      </c>
      <c r="X543" s="76">
        <f>STOCK[[#This Row],[Ganancia Unitaria]]*STOCK[[#This Row],[Salidas]]</f>
        <v>6.7720588235294</v>
      </c>
      <c r="AA543" s="76">
        <f>STOCK[[#This Row],[Costo total]]*STOCK[[#This Row],[Entradas]]</f>
        <v>21.2279411764706</v>
      </c>
      <c r="AB543" s="76">
        <f>STOCK[[#This Row],[Stock Actual]]*STOCK[[#This Row],[Costo total]]</f>
        <v>0</v>
      </c>
    </row>
    <row r="544" s="77" customFormat="1" ht="50" hidden="1" customHeight="1" spans="1:28">
      <c r="A544" s="77" t="s">
        <v>1108</v>
      </c>
      <c r="B544" s="6"/>
      <c r="C544" s="77" t="s">
        <v>30</v>
      </c>
      <c r="D544" s="77" t="s">
        <v>301</v>
      </c>
      <c r="E544" s="77" t="s">
        <v>1109</v>
      </c>
      <c r="F544" s="77" t="s">
        <v>47</v>
      </c>
      <c r="G544" s="77" t="s">
        <v>34</v>
      </c>
      <c r="H544" s="77">
        <f>STOCK[[#This Row],[Precio Final]]</f>
        <v>30</v>
      </c>
      <c r="I544" s="77">
        <f>STOCK[[#This Row],[Precio Venta Ideal (x1.5)]]</f>
        <v>32.1419117647059</v>
      </c>
      <c r="J544" s="92">
        <v>1</v>
      </c>
      <c r="K544" s="92">
        <f>SUMIFS(VENTAS[Cantidad],VENTAS[Código del producto Vendido],STOCK[[#This Row],[Code]])</f>
        <v>1</v>
      </c>
      <c r="L544" s="92">
        <f>STOCK[[#This Row],[Entradas]]-STOCK[[#This Row],[Salidas]]</f>
        <v>0</v>
      </c>
      <c r="M544" s="77">
        <f>STOCK[[#This Row],[Precio Final]]*10%</f>
        <v>3</v>
      </c>
      <c r="N544" s="77">
        <v>227</v>
      </c>
      <c r="O544" s="77">
        <v>17</v>
      </c>
      <c r="P544" s="77">
        <v>13.3529411764706</v>
      </c>
      <c r="Q544" s="92">
        <v>290</v>
      </c>
      <c r="R544" s="77">
        <v>17.5</v>
      </c>
      <c r="S544" s="77">
        <f>STOCK[[#This Row],[Peso (g)]]*STOCK[[#This Row],[Precio Envío Kilogramo (USD)]]/1000</f>
        <v>5.075</v>
      </c>
      <c r="T544" s="76">
        <f>STOCK[[#This Row],[Costo Unitario (USD)]]+STOCK[[#This Row],[Costo Envío (USD)]]+STOCK[[#This Row],[Comisión 10%]]</f>
        <v>21.4279411764706</v>
      </c>
      <c r="U544" s="77">
        <f>STOCK[[#This Row],[Costo total]]*1.5</f>
        <v>32.1419117647059</v>
      </c>
      <c r="V544" s="77">
        <v>30</v>
      </c>
      <c r="W544" s="77">
        <f>STOCK[[#This Row],[Precio Final]]-STOCK[[#This Row],[Costo total]]</f>
        <v>8.5720588235294</v>
      </c>
      <c r="X544" s="77">
        <f>STOCK[[#This Row],[Ganancia Unitaria]]*STOCK[[#This Row],[Salidas]]</f>
        <v>8.5720588235294</v>
      </c>
      <c r="AA544" s="77">
        <f>STOCK[[#This Row],[Costo total]]*STOCK[[#This Row],[Entradas]]</f>
        <v>21.4279411764706</v>
      </c>
      <c r="AB544" s="77">
        <f>STOCK[[#This Row],[Stock Actual]]*STOCK[[#This Row],[Costo total]]</f>
        <v>0</v>
      </c>
    </row>
    <row r="545" s="76" customFormat="1" ht="50" hidden="1" customHeight="1" spans="1:28">
      <c r="A545" s="76" t="s">
        <v>1110</v>
      </c>
      <c r="B545" s="6"/>
      <c r="C545" s="76" t="s">
        <v>30</v>
      </c>
      <c r="D545" s="76" t="s">
        <v>301</v>
      </c>
      <c r="E545" s="76" t="s">
        <v>1109</v>
      </c>
      <c r="F545" s="76" t="s">
        <v>44</v>
      </c>
      <c r="G545" s="76" t="s">
        <v>34</v>
      </c>
      <c r="H545" s="76">
        <f>STOCK[[#This Row],[Precio Final]]</f>
        <v>22</v>
      </c>
      <c r="I545" s="76">
        <f>STOCK[[#This Row],[Precio Venta Ideal (x1.5)]]</f>
        <v>30.9419117647059</v>
      </c>
      <c r="J545" s="91">
        <v>1</v>
      </c>
      <c r="K545" s="91">
        <f>SUMIFS(VENTAS[Cantidad],VENTAS[Código del producto Vendido],STOCK[[#This Row],[Code]])</f>
        <v>1</v>
      </c>
      <c r="L545" s="91">
        <f>STOCK[[#This Row],[Entradas]]-STOCK[[#This Row],[Salidas]]</f>
        <v>0</v>
      </c>
      <c r="M545" s="76">
        <f>STOCK[[#This Row],[Precio Final]]*10%</f>
        <v>2.2</v>
      </c>
      <c r="N545" s="76">
        <v>227</v>
      </c>
      <c r="O545" s="76">
        <v>17</v>
      </c>
      <c r="P545" s="76">
        <v>13.3529411764706</v>
      </c>
      <c r="Q545" s="91">
        <v>290</v>
      </c>
      <c r="R545" s="76">
        <v>17.5</v>
      </c>
      <c r="S545" s="76">
        <f>STOCK[[#This Row],[Peso (g)]]*STOCK[[#This Row],[Precio Envío Kilogramo (USD)]]/1000</f>
        <v>5.075</v>
      </c>
      <c r="T545" s="76">
        <f>STOCK[[#This Row],[Costo Unitario (USD)]]+STOCK[[#This Row],[Costo Envío (USD)]]+STOCK[[#This Row],[Comisión 10%]]</f>
        <v>20.6279411764706</v>
      </c>
      <c r="U545" s="76">
        <f>STOCK[[#This Row],[Costo total]]*1.5</f>
        <v>30.9419117647059</v>
      </c>
      <c r="V545" s="76">
        <v>22</v>
      </c>
      <c r="W545" s="76">
        <f>STOCK[[#This Row],[Precio Final]]-STOCK[[#This Row],[Costo total]]</f>
        <v>1.3720588235294</v>
      </c>
      <c r="X545" s="76">
        <f>STOCK[[#This Row],[Ganancia Unitaria]]*STOCK[[#This Row],[Salidas]]</f>
        <v>1.3720588235294</v>
      </c>
      <c r="AA545" s="76">
        <f>STOCK[[#This Row],[Costo total]]*STOCK[[#This Row],[Entradas]]</f>
        <v>20.6279411764706</v>
      </c>
      <c r="AB545" s="76">
        <f>STOCK[[#This Row],[Stock Actual]]*STOCK[[#This Row],[Costo total]]</f>
        <v>0</v>
      </c>
    </row>
    <row r="546" s="77" customFormat="1" ht="50" hidden="1" customHeight="1" spans="1:28">
      <c r="A546" s="77" t="s">
        <v>1111</v>
      </c>
      <c r="B546" s="6"/>
      <c r="C546" s="77" t="s">
        <v>30</v>
      </c>
      <c r="D546" s="77" t="s">
        <v>350</v>
      </c>
      <c r="E546" s="77" t="s">
        <v>1112</v>
      </c>
      <c r="F546" s="77" t="s">
        <v>393</v>
      </c>
      <c r="G546" s="77" t="s">
        <v>34</v>
      </c>
      <c r="H546" s="77">
        <f>STOCK[[#This Row],[Precio Final]]</f>
        <v>20</v>
      </c>
      <c r="I546" s="77">
        <f>STOCK[[#This Row],[Precio Venta Ideal (x1.5)]]</f>
        <v>20.7430147058824</v>
      </c>
      <c r="J546" s="92">
        <v>2</v>
      </c>
      <c r="K546" s="92">
        <f>SUMIFS(VENTAS[Cantidad],VENTAS[Código del producto Vendido],STOCK[[#This Row],[Code]])</f>
        <v>2</v>
      </c>
      <c r="L546" s="92">
        <f>STOCK[[#This Row],[Entradas]]-STOCK[[#This Row],[Salidas]]</f>
        <v>0</v>
      </c>
      <c r="M546" s="77">
        <f>STOCK[[#This Row],[Precio Final]]*10%</f>
        <v>2</v>
      </c>
      <c r="N546" s="77">
        <v>152</v>
      </c>
      <c r="O546" s="77">
        <v>17</v>
      </c>
      <c r="P546" s="77">
        <v>8.94117647058824</v>
      </c>
      <c r="Q546" s="92">
        <v>165</v>
      </c>
      <c r="R546" s="77">
        <v>17.5</v>
      </c>
      <c r="S546" s="77">
        <f>STOCK[[#This Row],[Peso (g)]]*STOCK[[#This Row],[Precio Envío Kilogramo (USD)]]/1000</f>
        <v>2.8875</v>
      </c>
      <c r="T546" s="76">
        <f>STOCK[[#This Row],[Costo Unitario (USD)]]+STOCK[[#This Row],[Costo Envío (USD)]]+STOCK[[#This Row],[Comisión 10%]]</f>
        <v>13.8286764705882</v>
      </c>
      <c r="U546" s="77">
        <f>STOCK[[#This Row],[Costo total]]*1.5</f>
        <v>20.7430147058824</v>
      </c>
      <c r="V546" s="77">
        <v>20</v>
      </c>
      <c r="W546" s="77">
        <f>STOCK[[#This Row],[Precio Final]]-STOCK[[#This Row],[Costo total]]</f>
        <v>6.17132352941176</v>
      </c>
      <c r="X546" s="77">
        <f>STOCK[[#This Row],[Ganancia Unitaria]]*STOCK[[#This Row],[Salidas]]</f>
        <v>12.3426470588235</v>
      </c>
      <c r="AA546" s="77">
        <f>STOCK[[#This Row],[Costo total]]*STOCK[[#This Row],[Entradas]]</f>
        <v>27.6573529411765</v>
      </c>
      <c r="AB546" s="77">
        <f>STOCK[[#This Row],[Stock Actual]]*STOCK[[#This Row],[Costo total]]</f>
        <v>0</v>
      </c>
    </row>
    <row r="547" s="76" customFormat="1" ht="50" hidden="1" customHeight="1" spans="1:28">
      <c r="A547" s="76" t="s">
        <v>1113</v>
      </c>
      <c r="B547" s="6"/>
      <c r="C547" s="76" t="s">
        <v>30</v>
      </c>
      <c r="D547" s="76" t="s">
        <v>1114</v>
      </c>
      <c r="E547" s="76" t="s">
        <v>1115</v>
      </c>
      <c r="F547" s="76" t="s">
        <v>204</v>
      </c>
      <c r="G547" s="76" t="s">
        <v>34</v>
      </c>
      <c r="H547" s="76">
        <f>STOCK[[#This Row],[Precio Final]]</f>
        <v>12</v>
      </c>
      <c r="I547" s="76">
        <f>STOCK[[#This Row],[Precio Venta Ideal (x1.5)]]</f>
        <v>11.4452205882353</v>
      </c>
      <c r="J547" s="91">
        <v>1</v>
      </c>
      <c r="K547" s="91">
        <f>SUMIFS(VENTAS[Cantidad],VENTAS[Código del producto Vendido],STOCK[[#This Row],[Code]])</f>
        <v>1</v>
      </c>
      <c r="L547" s="91">
        <f>STOCK[[#This Row],[Entradas]]-STOCK[[#This Row],[Salidas]]</f>
        <v>0</v>
      </c>
      <c r="M547" s="76">
        <f>STOCK[[#This Row],[Precio Final]]*10%</f>
        <v>1.2</v>
      </c>
      <c r="N547" s="76">
        <v>87</v>
      </c>
      <c r="O547" s="76">
        <v>17</v>
      </c>
      <c r="P547" s="76">
        <v>5.11764705882353</v>
      </c>
      <c r="Q547" s="91">
        <v>75</v>
      </c>
      <c r="R547" s="76">
        <v>17.5</v>
      </c>
      <c r="S547" s="76">
        <f>STOCK[[#This Row],[Peso (g)]]*STOCK[[#This Row],[Precio Envío Kilogramo (USD)]]/1000</f>
        <v>1.3125</v>
      </c>
      <c r="T547" s="76">
        <f>STOCK[[#This Row],[Costo Unitario (USD)]]+STOCK[[#This Row],[Costo Envío (USD)]]+STOCK[[#This Row],[Comisión 10%]]</f>
        <v>7.63014705882353</v>
      </c>
      <c r="U547" s="76">
        <f>STOCK[[#This Row],[Costo total]]*1.5</f>
        <v>11.4452205882353</v>
      </c>
      <c r="V547" s="76">
        <v>12</v>
      </c>
      <c r="W547" s="76">
        <f>STOCK[[#This Row],[Precio Final]]-STOCK[[#This Row],[Costo total]]</f>
        <v>4.36985294117647</v>
      </c>
      <c r="X547" s="76">
        <f>STOCK[[#This Row],[Ganancia Unitaria]]*STOCK[[#This Row],[Salidas]]</f>
        <v>4.36985294117647</v>
      </c>
      <c r="Y547" s="76" t="s">
        <v>926</v>
      </c>
      <c r="AA547" s="76">
        <f>STOCK[[#This Row],[Costo total]]*STOCK[[#This Row],[Entradas]]</f>
        <v>7.63014705882353</v>
      </c>
      <c r="AB547" s="76">
        <f>STOCK[[#This Row],[Stock Actual]]*STOCK[[#This Row],[Costo total]]</f>
        <v>0</v>
      </c>
    </row>
    <row r="548" s="77" customFormat="1" ht="50" hidden="1" customHeight="1" spans="1:28">
      <c r="A548" s="77" t="s">
        <v>1116</v>
      </c>
      <c r="B548" s="6"/>
      <c r="C548" s="77" t="s">
        <v>30</v>
      </c>
      <c r="D548" s="77" t="s">
        <v>545</v>
      </c>
      <c r="E548" s="77" t="s">
        <v>1117</v>
      </c>
      <c r="F548" s="77" t="s">
        <v>714</v>
      </c>
      <c r="G548" s="77" t="s">
        <v>34</v>
      </c>
      <c r="H548" s="77">
        <f>STOCK[[#This Row],[Precio Final]]</f>
        <v>12</v>
      </c>
      <c r="I548" s="77">
        <f>STOCK[[#This Row],[Precio Venta Ideal (x1.5)]]</f>
        <v>11.4452205882353</v>
      </c>
      <c r="J548" s="92">
        <v>1</v>
      </c>
      <c r="K548" s="92">
        <f>SUMIFS(VENTAS[Cantidad],VENTAS[Código del producto Vendido],STOCK[[#This Row],[Code]])</f>
        <v>0</v>
      </c>
      <c r="L548" s="92">
        <f>STOCK[[#This Row],[Entradas]]-STOCK[[#This Row],[Salidas]]</f>
        <v>1</v>
      </c>
      <c r="M548" s="77">
        <f>STOCK[[#This Row],[Precio Final]]*10%</f>
        <v>1.2</v>
      </c>
      <c r="N548" s="77">
        <v>87</v>
      </c>
      <c r="O548" s="77">
        <v>17</v>
      </c>
      <c r="P548" s="77">
        <v>5.11764705882353</v>
      </c>
      <c r="Q548" s="92">
        <v>75</v>
      </c>
      <c r="R548" s="77">
        <v>17.5</v>
      </c>
      <c r="S548" s="77">
        <f>STOCK[[#This Row],[Peso (g)]]*STOCK[[#This Row],[Precio Envío Kilogramo (USD)]]/1000</f>
        <v>1.3125</v>
      </c>
      <c r="T548" s="76">
        <f>STOCK[[#This Row],[Costo Unitario (USD)]]+STOCK[[#This Row],[Costo Envío (USD)]]+STOCK[[#This Row],[Comisión 10%]]</f>
        <v>7.63014705882353</v>
      </c>
      <c r="U548" s="77">
        <f>STOCK[[#This Row],[Costo total]]*1.5</f>
        <v>11.4452205882353</v>
      </c>
      <c r="V548" s="77">
        <v>12</v>
      </c>
      <c r="W548" s="77">
        <f>STOCK[[#This Row],[Precio Final]]-STOCK[[#This Row],[Costo total]]</f>
        <v>4.36985294117647</v>
      </c>
      <c r="X548" s="77">
        <f>STOCK[[#This Row],[Ganancia Unitaria]]*STOCK[[#This Row],[Salidas]]</f>
        <v>0</v>
      </c>
      <c r="Y548" s="77" t="s">
        <v>926</v>
      </c>
      <c r="AA548" s="77">
        <f>STOCK[[#This Row],[Costo total]]*STOCK[[#This Row],[Entradas]]</f>
        <v>7.63014705882353</v>
      </c>
      <c r="AB548" s="77">
        <f>STOCK[[#This Row],[Stock Actual]]*STOCK[[#This Row],[Costo total]]</f>
        <v>7.63014705882353</v>
      </c>
    </row>
    <row r="549" s="76" customFormat="1" ht="50" hidden="1" customHeight="1" spans="1:28">
      <c r="A549" s="76" t="s">
        <v>1118</v>
      </c>
      <c r="B549" s="6"/>
      <c r="C549" s="76" t="s">
        <v>30</v>
      </c>
      <c r="D549" s="76" t="s">
        <v>545</v>
      </c>
      <c r="E549" s="77" t="s">
        <v>1117</v>
      </c>
      <c r="F549" s="76" t="s">
        <v>60</v>
      </c>
      <c r="G549" s="76" t="s">
        <v>34</v>
      </c>
      <c r="H549" s="76">
        <f>STOCK[[#This Row],[Precio Final]]</f>
        <v>12</v>
      </c>
      <c r="I549" s="76">
        <f>STOCK[[#This Row],[Precio Venta Ideal (x1.5)]]</f>
        <v>11.4452205882353</v>
      </c>
      <c r="J549" s="91">
        <v>1</v>
      </c>
      <c r="K549" s="91">
        <f>SUMIFS(VENTAS[Cantidad],VENTAS[Código del producto Vendido],STOCK[[#This Row],[Code]])</f>
        <v>0</v>
      </c>
      <c r="L549" s="91">
        <f>STOCK[[#This Row],[Entradas]]-STOCK[[#This Row],[Salidas]]</f>
        <v>1</v>
      </c>
      <c r="M549" s="76">
        <f>STOCK[[#This Row],[Precio Final]]*10%</f>
        <v>1.2</v>
      </c>
      <c r="N549" s="76">
        <v>87</v>
      </c>
      <c r="O549" s="76">
        <v>17</v>
      </c>
      <c r="P549" s="76">
        <v>5.11764705882353</v>
      </c>
      <c r="Q549" s="91">
        <v>75</v>
      </c>
      <c r="R549" s="76">
        <v>17.5</v>
      </c>
      <c r="S549" s="76">
        <f>STOCK[[#This Row],[Peso (g)]]*STOCK[[#This Row],[Precio Envío Kilogramo (USD)]]/1000</f>
        <v>1.3125</v>
      </c>
      <c r="T549" s="76">
        <f>STOCK[[#This Row],[Costo Unitario (USD)]]+STOCK[[#This Row],[Costo Envío (USD)]]+STOCK[[#This Row],[Comisión 10%]]</f>
        <v>7.63014705882353</v>
      </c>
      <c r="U549" s="76">
        <f>STOCK[[#This Row],[Costo total]]*1.5</f>
        <v>11.4452205882353</v>
      </c>
      <c r="V549" s="76">
        <v>12</v>
      </c>
      <c r="W549" s="76">
        <f>STOCK[[#This Row],[Precio Final]]-STOCK[[#This Row],[Costo total]]</f>
        <v>4.36985294117647</v>
      </c>
      <c r="X549" s="76">
        <f>STOCK[[#This Row],[Ganancia Unitaria]]*STOCK[[#This Row],[Salidas]]</f>
        <v>0</v>
      </c>
      <c r="Y549" s="76" t="s">
        <v>926</v>
      </c>
      <c r="AA549" s="76">
        <f>STOCK[[#This Row],[Costo total]]*STOCK[[#This Row],[Entradas]]</f>
        <v>7.63014705882353</v>
      </c>
      <c r="AB549" s="76">
        <f>STOCK[[#This Row],[Stock Actual]]*STOCK[[#This Row],[Costo total]]</f>
        <v>7.63014705882353</v>
      </c>
    </row>
    <row r="550" s="77" customFormat="1" ht="50" hidden="1" customHeight="1" spans="1:28">
      <c r="A550" s="77" t="s">
        <v>1119</v>
      </c>
      <c r="B550" s="6"/>
      <c r="C550" s="77" t="s">
        <v>30</v>
      </c>
      <c r="D550" s="77" t="s">
        <v>545</v>
      </c>
      <c r="E550" s="77" t="s">
        <v>1120</v>
      </c>
      <c r="F550" s="77" t="s">
        <v>60</v>
      </c>
      <c r="G550" s="77" t="s">
        <v>34</v>
      </c>
      <c r="H550" s="77">
        <f>STOCK[[#This Row],[Precio Final]]</f>
        <v>15</v>
      </c>
      <c r="I550" s="77">
        <f>STOCK[[#This Row],[Precio Venta Ideal (x1.5)]]</f>
        <v>12.9132352941176</v>
      </c>
      <c r="J550" s="92">
        <v>2</v>
      </c>
      <c r="K550" s="92">
        <f>SUMIFS(VENTAS[Cantidad],VENTAS[Código del producto Vendido],STOCK[[#This Row],[Code]])</f>
        <v>2</v>
      </c>
      <c r="L550" s="92">
        <f>STOCK[[#This Row],[Entradas]]-STOCK[[#This Row],[Salidas]]</f>
        <v>0</v>
      </c>
      <c r="M550" s="77">
        <f>STOCK[[#This Row],[Precio Final]]*10%</f>
        <v>1.5</v>
      </c>
      <c r="N550" s="77">
        <v>103</v>
      </c>
      <c r="O550" s="77">
        <v>17</v>
      </c>
      <c r="P550" s="77">
        <v>6.05882352941176</v>
      </c>
      <c r="Q550" s="92">
        <v>60</v>
      </c>
      <c r="R550" s="77">
        <v>17.5</v>
      </c>
      <c r="S550" s="77">
        <f>STOCK[[#This Row],[Peso (g)]]*STOCK[[#This Row],[Precio Envío Kilogramo (USD)]]/1000</f>
        <v>1.05</v>
      </c>
      <c r="T550" s="76">
        <f>STOCK[[#This Row],[Costo Unitario (USD)]]+STOCK[[#This Row],[Costo Envío (USD)]]+STOCK[[#This Row],[Comisión 10%]]</f>
        <v>8.60882352941176</v>
      </c>
      <c r="U550" s="77">
        <f>STOCK[[#This Row],[Costo total]]*1.5</f>
        <v>12.9132352941176</v>
      </c>
      <c r="V550" s="77">
        <v>15</v>
      </c>
      <c r="W550" s="77">
        <f>STOCK[[#This Row],[Precio Final]]-STOCK[[#This Row],[Costo total]]</f>
        <v>6.39117647058824</v>
      </c>
      <c r="X550" s="77">
        <f>STOCK[[#This Row],[Ganancia Unitaria]]*STOCK[[#This Row],[Salidas]]</f>
        <v>12.7823529411765</v>
      </c>
      <c r="Y550" s="77" t="s">
        <v>926</v>
      </c>
      <c r="AA550" s="77">
        <f>STOCK[[#This Row],[Costo total]]*STOCK[[#This Row],[Entradas]]</f>
        <v>17.2176470588235</v>
      </c>
      <c r="AB550" s="77">
        <f>STOCK[[#This Row],[Stock Actual]]*STOCK[[#This Row],[Costo total]]</f>
        <v>0</v>
      </c>
    </row>
    <row r="551" s="76" customFormat="1" ht="50" hidden="1" customHeight="1" spans="1:28">
      <c r="A551" s="76" t="s">
        <v>1121</v>
      </c>
      <c r="B551" s="6"/>
      <c r="C551" s="76" t="s">
        <v>30</v>
      </c>
      <c r="D551" s="76" t="s">
        <v>545</v>
      </c>
      <c r="E551" s="76" t="s">
        <v>1120</v>
      </c>
      <c r="F551" s="76" t="s">
        <v>47</v>
      </c>
      <c r="G551" s="76" t="s">
        <v>34</v>
      </c>
      <c r="H551" s="76">
        <f>STOCK[[#This Row],[Precio Final]]</f>
        <v>12</v>
      </c>
      <c r="I551" s="76">
        <f>STOCK[[#This Row],[Precio Venta Ideal (x1.5)]]</f>
        <v>12.4632352941176</v>
      </c>
      <c r="J551" s="91">
        <v>2</v>
      </c>
      <c r="K551" s="91">
        <f>SUMIFS(VENTAS[Cantidad],VENTAS[Código del producto Vendido],STOCK[[#This Row],[Code]])</f>
        <v>2</v>
      </c>
      <c r="L551" s="91">
        <f>STOCK[[#This Row],[Entradas]]-STOCK[[#This Row],[Salidas]]</f>
        <v>0</v>
      </c>
      <c r="M551" s="76">
        <f>STOCK[[#This Row],[Precio Final]]*10%</f>
        <v>1.2</v>
      </c>
      <c r="N551" s="76">
        <v>103</v>
      </c>
      <c r="O551" s="76">
        <v>17</v>
      </c>
      <c r="P551" s="76">
        <v>6.05882352941176</v>
      </c>
      <c r="Q551" s="91">
        <v>60</v>
      </c>
      <c r="R551" s="76">
        <v>17.5</v>
      </c>
      <c r="S551" s="76">
        <f>STOCK[[#This Row],[Peso (g)]]*STOCK[[#This Row],[Precio Envío Kilogramo (USD)]]/1000</f>
        <v>1.05</v>
      </c>
      <c r="T551" s="76">
        <f>STOCK[[#This Row],[Costo Unitario (USD)]]+STOCK[[#This Row],[Costo Envío (USD)]]+STOCK[[#This Row],[Comisión 10%]]</f>
        <v>8.30882352941176</v>
      </c>
      <c r="U551" s="76">
        <f>STOCK[[#This Row],[Costo total]]*1.5</f>
        <v>12.4632352941176</v>
      </c>
      <c r="V551" s="76">
        <v>12</v>
      </c>
      <c r="W551" s="76">
        <f>STOCK[[#This Row],[Precio Final]]-STOCK[[#This Row],[Costo total]]</f>
        <v>3.69117647058824</v>
      </c>
      <c r="X551" s="76">
        <f>STOCK[[#This Row],[Ganancia Unitaria]]*STOCK[[#This Row],[Salidas]]</f>
        <v>7.38235294117648</v>
      </c>
      <c r="Y551" s="76" t="s">
        <v>926</v>
      </c>
      <c r="AA551" s="76">
        <f>STOCK[[#This Row],[Costo total]]*STOCK[[#This Row],[Entradas]]</f>
        <v>16.6176470588235</v>
      </c>
      <c r="AB551" s="76">
        <f>STOCK[[#This Row],[Stock Actual]]*STOCK[[#This Row],[Costo total]]</f>
        <v>0</v>
      </c>
    </row>
    <row r="552" s="77" customFormat="1" ht="50" hidden="1" customHeight="1" spans="1:28">
      <c r="A552" s="77" t="s">
        <v>1122</v>
      </c>
      <c r="B552" s="6"/>
      <c r="C552" s="77" t="s">
        <v>30</v>
      </c>
      <c r="D552" s="76" t="s">
        <v>514</v>
      </c>
      <c r="E552" s="77" t="s">
        <v>1123</v>
      </c>
      <c r="F552" s="77" t="s">
        <v>539</v>
      </c>
      <c r="G552" s="77" t="s">
        <v>34</v>
      </c>
      <c r="H552" s="77">
        <f>STOCK[[#This Row],[Precio Final]]</f>
        <v>40</v>
      </c>
      <c r="I552" s="77">
        <f>STOCK[[#This Row],[Precio Venta Ideal (x1.5)]]</f>
        <v>46.7294117647059</v>
      </c>
      <c r="J552" s="92">
        <v>2</v>
      </c>
      <c r="K552" s="92">
        <f>SUMIFS(VENTAS[Cantidad],VENTAS[Código del producto Vendido],STOCK[[#This Row],[Code]])</f>
        <v>2</v>
      </c>
      <c r="L552" s="92">
        <f>STOCK[[#This Row],[Entradas]]-STOCK[[#This Row],[Salidas]]</f>
        <v>0</v>
      </c>
      <c r="M552" s="77">
        <f>STOCK[[#This Row],[Precio Final]]*10%</f>
        <v>4</v>
      </c>
      <c r="N552" s="77">
        <v>295</v>
      </c>
      <c r="O552" s="77">
        <v>17</v>
      </c>
      <c r="P552" s="77">
        <v>17.3529411764706</v>
      </c>
      <c r="Q552" s="92">
        <v>560</v>
      </c>
      <c r="R552" s="77">
        <v>17.5</v>
      </c>
      <c r="S552" s="77">
        <f>STOCK[[#This Row],[Peso (g)]]*STOCK[[#This Row],[Precio Envío Kilogramo (USD)]]/1000</f>
        <v>9.8</v>
      </c>
      <c r="T552" s="76">
        <f>STOCK[[#This Row],[Costo Unitario (USD)]]+STOCK[[#This Row],[Costo Envío (USD)]]+STOCK[[#This Row],[Comisión 10%]]</f>
        <v>31.1529411764706</v>
      </c>
      <c r="U552" s="77">
        <f>STOCK[[#This Row],[Costo total]]*1.5</f>
        <v>46.7294117647059</v>
      </c>
      <c r="V552" s="77">
        <v>40</v>
      </c>
      <c r="W552" s="77">
        <f>STOCK[[#This Row],[Precio Final]]-STOCK[[#This Row],[Costo total]]</f>
        <v>8.8470588235294</v>
      </c>
      <c r="X552" s="77">
        <f>STOCK[[#This Row],[Ganancia Unitaria]]*STOCK[[#This Row],[Salidas]]</f>
        <v>17.6941176470588</v>
      </c>
      <c r="Y552" s="77" t="s">
        <v>926</v>
      </c>
      <c r="AA552" s="77">
        <f>STOCK[[#This Row],[Costo total]]*STOCK[[#This Row],[Entradas]]</f>
        <v>62.3058823529412</v>
      </c>
      <c r="AB552" s="77">
        <f>STOCK[[#This Row],[Stock Actual]]*STOCK[[#This Row],[Costo total]]</f>
        <v>0</v>
      </c>
    </row>
    <row r="553" s="76" customFormat="1" ht="50" hidden="1" customHeight="1" spans="1:28">
      <c r="A553" s="76" t="s">
        <v>1124</v>
      </c>
      <c r="B553" s="6"/>
      <c r="C553" s="76" t="s">
        <v>30</v>
      </c>
      <c r="D553" s="76" t="s">
        <v>173</v>
      </c>
      <c r="E553" s="76" t="s">
        <v>1125</v>
      </c>
      <c r="F553" s="76" t="s">
        <v>86</v>
      </c>
      <c r="G553" s="76" t="s">
        <v>34</v>
      </c>
      <c r="H553" s="76">
        <f>STOCK[[#This Row],[Precio Final]]</f>
        <v>15</v>
      </c>
      <c r="I553" s="76">
        <f>STOCK[[#This Row],[Precio Venta Ideal (x1.5)]]</f>
        <v>20.3911764705882</v>
      </c>
      <c r="J553" s="91">
        <v>1</v>
      </c>
      <c r="K553" s="91">
        <f>SUMIFS(VENTAS[Cantidad],VENTAS[Código del producto Vendido],STOCK[[#This Row],[Code]])</f>
        <v>1</v>
      </c>
      <c r="L553" s="91">
        <f>STOCK[[#This Row],[Entradas]]-STOCK[[#This Row],[Salidas]]</f>
        <v>0</v>
      </c>
      <c r="M553" s="76">
        <f>STOCK[[#This Row],[Precio Final]]*10%</f>
        <v>1.5</v>
      </c>
      <c r="N553" s="76">
        <v>158</v>
      </c>
      <c r="O553" s="76">
        <v>17</v>
      </c>
      <c r="P553" s="76">
        <v>9.29411764705882</v>
      </c>
      <c r="Q553" s="91">
        <v>160</v>
      </c>
      <c r="R553" s="76">
        <v>17.5</v>
      </c>
      <c r="S553" s="76">
        <f>STOCK[[#This Row],[Peso (g)]]*STOCK[[#This Row],[Precio Envío Kilogramo (USD)]]/1000</f>
        <v>2.8</v>
      </c>
      <c r="T553" s="76">
        <f>STOCK[[#This Row],[Costo Unitario (USD)]]+STOCK[[#This Row],[Costo Envío (USD)]]+STOCK[[#This Row],[Comisión 10%]]</f>
        <v>13.5941176470588</v>
      </c>
      <c r="U553" s="76">
        <f>STOCK[[#This Row],[Costo total]]*1.5</f>
        <v>20.3911764705882</v>
      </c>
      <c r="V553" s="76">
        <v>15</v>
      </c>
      <c r="W553" s="76">
        <f>STOCK[[#This Row],[Precio Final]]-STOCK[[#This Row],[Costo total]]</f>
        <v>1.40588235294118</v>
      </c>
      <c r="X553" s="76">
        <f>STOCK[[#This Row],[Ganancia Unitaria]]*STOCK[[#This Row],[Salidas]]</f>
        <v>1.40588235294118</v>
      </c>
      <c r="Y553" s="76" t="s">
        <v>926</v>
      </c>
      <c r="AA553" s="76">
        <f>STOCK[[#This Row],[Costo total]]*STOCK[[#This Row],[Entradas]]</f>
        <v>13.5941176470588</v>
      </c>
      <c r="AB553" s="76">
        <f>STOCK[[#This Row],[Stock Actual]]*STOCK[[#This Row],[Costo total]]</f>
        <v>0</v>
      </c>
    </row>
    <row r="554" s="77" customFormat="1" ht="50" hidden="1" customHeight="1" spans="1:28">
      <c r="A554" s="77" t="s">
        <v>1126</v>
      </c>
      <c r="B554" s="6"/>
      <c r="C554" s="77" t="s">
        <v>30</v>
      </c>
      <c r="D554" s="77" t="s">
        <v>173</v>
      </c>
      <c r="E554" s="77" t="s">
        <v>1127</v>
      </c>
      <c r="F554" s="77" t="s">
        <v>60</v>
      </c>
      <c r="G554" s="77" t="s">
        <v>34</v>
      </c>
      <c r="H554" s="77">
        <f>STOCK[[#This Row],[Precio Final]]</f>
        <v>18</v>
      </c>
      <c r="I554" s="77">
        <f>STOCK[[#This Row],[Precio Venta Ideal (x1.5)]]</f>
        <v>20.6647058823529</v>
      </c>
      <c r="J554" s="92">
        <v>1</v>
      </c>
      <c r="K554" s="92">
        <f>SUMIFS(VENTAS[Cantidad],VENTAS[Código del producto Vendido],STOCK[[#This Row],[Code]])</f>
        <v>1</v>
      </c>
      <c r="L554" s="92">
        <f>STOCK[[#This Row],[Entradas]]-STOCK[[#This Row],[Salidas]]</f>
        <v>0</v>
      </c>
      <c r="M554" s="77">
        <f>STOCK[[#This Row],[Precio Final]]*10%</f>
        <v>1.8</v>
      </c>
      <c r="N554" s="77">
        <v>156</v>
      </c>
      <c r="O554" s="77">
        <v>17</v>
      </c>
      <c r="P554" s="77">
        <v>9.17647058823529</v>
      </c>
      <c r="Q554" s="92">
        <v>160</v>
      </c>
      <c r="R554" s="77">
        <v>17.5</v>
      </c>
      <c r="S554" s="77">
        <f>STOCK[[#This Row],[Peso (g)]]*STOCK[[#This Row],[Precio Envío Kilogramo (USD)]]/1000</f>
        <v>2.8</v>
      </c>
      <c r="T554" s="76">
        <f>STOCK[[#This Row],[Costo Unitario (USD)]]+STOCK[[#This Row],[Costo Envío (USD)]]+STOCK[[#This Row],[Comisión 10%]]</f>
        <v>13.7764705882353</v>
      </c>
      <c r="U554" s="77">
        <f>STOCK[[#This Row],[Costo total]]*1.5</f>
        <v>20.6647058823529</v>
      </c>
      <c r="V554" s="77">
        <v>18</v>
      </c>
      <c r="W554" s="77">
        <f>STOCK[[#This Row],[Precio Final]]-STOCK[[#This Row],[Costo total]]</f>
        <v>4.22352941176471</v>
      </c>
      <c r="X554" s="77">
        <f>STOCK[[#This Row],[Ganancia Unitaria]]*STOCK[[#This Row],[Salidas]]</f>
        <v>4.22352941176471</v>
      </c>
      <c r="Y554" s="77" t="s">
        <v>926</v>
      </c>
      <c r="AA554" s="77">
        <f>STOCK[[#This Row],[Costo total]]*STOCK[[#This Row],[Entradas]]</f>
        <v>13.7764705882353</v>
      </c>
      <c r="AB554" s="77">
        <f>STOCK[[#This Row],[Stock Actual]]*STOCK[[#This Row],[Costo total]]</f>
        <v>0</v>
      </c>
    </row>
    <row r="555" s="76" customFormat="1" ht="50" hidden="1" customHeight="1" spans="1:28">
      <c r="A555" s="76" t="s">
        <v>1128</v>
      </c>
      <c r="B555" s="6"/>
      <c r="C555" s="76" t="s">
        <v>30</v>
      </c>
      <c r="D555" s="76" t="s">
        <v>42</v>
      </c>
      <c r="E555" s="76" t="s">
        <v>1129</v>
      </c>
      <c r="F555" s="76" t="s">
        <v>86</v>
      </c>
      <c r="G555" s="76" t="s">
        <v>34</v>
      </c>
      <c r="H555" s="76">
        <f>STOCK[[#This Row],[Precio Final]]</f>
        <v>35</v>
      </c>
      <c r="I555" s="76">
        <f>STOCK[[#This Row],[Precio Venta Ideal (x1.5)]]</f>
        <v>40.7316176470588</v>
      </c>
      <c r="J555" s="91">
        <v>2</v>
      </c>
      <c r="K555" s="91">
        <f>SUMIFS(VENTAS[Cantidad],VENTAS[Código del producto Vendido],STOCK[[#This Row],[Code]])</f>
        <v>2</v>
      </c>
      <c r="L555" s="91">
        <f>STOCK[[#This Row],[Entradas]]-STOCK[[#This Row],[Salidas]]</f>
        <v>0</v>
      </c>
      <c r="M555" s="76">
        <f>STOCK[[#This Row],[Precio Final]]*10%</f>
        <v>3.5</v>
      </c>
      <c r="N555" s="76">
        <v>298</v>
      </c>
      <c r="O555" s="76">
        <v>17</v>
      </c>
      <c r="P555" s="76">
        <v>17.5294117647059</v>
      </c>
      <c r="Q555" s="91">
        <v>350</v>
      </c>
      <c r="R555" s="76">
        <v>17.5</v>
      </c>
      <c r="S555" s="76">
        <f>STOCK[[#This Row],[Peso (g)]]*STOCK[[#This Row],[Precio Envío Kilogramo (USD)]]/1000</f>
        <v>6.125</v>
      </c>
      <c r="T555" s="76">
        <f>STOCK[[#This Row],[Costo Unitario (USD)]]+STOCK[[#This Row],[Costo Envío (USD)]]+STOCK[[#This Row],[Comisión 10%]]</f>
        <v>27.1544117647059</v>
      </c>
      <c r="U555" s="76">
        <f>STOCK[[#This Row],[Costo total]]*1.5</f>
        <v>40.7316176470588</v>
      </c>
      <c r="V555" s="76">
        <v>35</v>
      </c>
      <c r="W555" s="76">
        <f>STOCK[[#This Row],[Precio Final]]-STOCK[[#This Row],[Costo total]]</f>
        <v>7.8455882352941</v>
      </c>
      <c r="X555" s="76">
        <f>STOCK[[#This Row],[Ganancia Unitaria]]*STOCK[[#This Row],[Salidas]]</f>
        <v>15.6911764705882</v>
      </c>
      <c r="AA555" s="76">
        <f>STOCK[[#This Row],[Costo total]]*STOCK[[#This Row],[Entradas]]</f>
        <v>54.3088235294118</v>
      </c>
      <c r="AB555" s="76">
        <f>STOCK[[#This Row],[Stock Actual]]*STOCK[[#This Row],[Costo total]]</f>
        <v>0</v>
      </c>
    </row>
    <row r="556" s="77" customFormat="1" ht="50" hidden="1" customHeight="1" spans="1:28">
      <c r="A556" s="77" t="s">
        <v>1130</v>
      </c>
      <c r="B556" s="6"/>
      <c r="C556" s="77" t="s">
        <v>30</v>
      </c>
      <c r="D556" s="77" t="s">
        <v>42</v>
      </c>
      <c r="E556" s="77" t="s">
        <v>1131</v>
      </c>
      <c r="F556" s="77" t="s">
        <v>47</v>
      </c>
      <c r="G556" s="77" t="s">
        <v>34</v>
      </c>
      <c r="H556" s="77">
        <f>STOCK[[#This Row],[Precio Final]]</f>
        <v>35</v>
      </c>
      <c r="I556" s="77">
        <f>STOCK[[#This Row],[Precio Venta Ideal (x1.5)]]</f>
        <v>40.7316176470588</v>
      </c>
      <c r="J556" s="92">
        <v>1</v>
      </c>
      <c r="K556" s="92">
        <f>SUMIFS(VENTAS[Cantidad],VENTAS[Código del producto Vendido],STOCK[[#This Row],[Code]])</f>
        <v>1</v>
      </c>
      <c r="L556" s="92">
        <f>STOCK[[#This Row],[Entradas]]-STOCK[[#This Row],[Salidas]]</f>
        <v>0</v>
      </c>
      <c r="M556" s="77">
        <f>STOCK[[#This Row],[Precio Final]]*10%</f>
        <v>3.5</v>
      </c>
      <c r="N556" s="77">
        <v>298</v>
      </c>
      <c r="O556" s="77">
        <v>17</v>
      </c>
      <c r="P556" s="77">
        <v>17.5294117647059</v>
      </c>
      <c r="Q556" s="92">
        <v>350</v>
      </c>
      <c r="R556" s="77">
        <v>17.5</v>
      </c>
      <c r="S556" s="77">
        <f>STOCK[[#This Row],[Peso (g)]]*STOCK[[#This Row],[Precio Envío Kilogramo (USD)]]/1000</f>
        <v>6.125</v>
      </c>
      <c r="T556" s="76">
        <f>STOCK[[#This Row],[Costo Unitario (USD)]]+STOCK[[#This Row],[Costo Envío (USD)]]+STOCK[[#This Row],[Comisión 10%]]</f>
        <v>27.1544117647059</v>
      </c>
      <c r="U556" s="77">
        <f>STOCK[[#This Row],[Costo total]]*1.5</f>
        <v>40.7316176470588</v>
      </c>
      <c r="V556" s="77">
        <v>35</v>
      </c>
      <c r="W556" s="77">
        <f>STOCK[[#This Row],[Precio Final]]-STOCK[[#This Row],[Costo total]]</f>
        <v>7.8455882352941</v>
      </c>
      <c r="X556" s="77">
        <f>STOCK[[#This Row],[Ganancia Unitaria]]*STOCK[[#This Row],[Salidas]]</f>
        <v>7.8455882352941</v>
      </c>
      <c r="AA556" s="77">
        <f>STOCK[[#This Row],[Costo total]]*STOCK[[#This Row],[Entradas]]</f>
        <v>27.1544117647059</v>
      </c>
      <c r="AB556" s="77">
        <f>STOCK[[#This Row],[Stock Actual]]*STOCK[[#This Row],[Costo total]]</f>
        <v>0</v>
      </c>
    </row>
    <row r="557" s="76" customFormat="1" ht="50" hidden="1" customHeight="1" spans="1:28">
      <c r="A557" s="76" t="s">
        <v>1132</v>
      </c>
      <c r="B557" s="6"/>
      <c r="C557" s="76" t="s">
        <v>30</v>
      </c>
      <c r="D557" s="76" t="s">
        <v>724</v>
      </c>
      <c r="E557" s="76" t="s">
        <v>1133</v>
      </c>
      <c r="F557" s="76" t="s">
        <v>817</v>
      </c>
      <c r="G557" s="76" t="s">
        <v>702</v>
      </c>
      <c r="H557" s="76">
        <f>STOCK[[#This Row],[Precio Final]]</f>
        <v>35</v>
      </c>
      <c r="I557" s="76">
        <f>STOCK[[#This Row],[Precio Venta Ideal (x1.5)]]</f>
        <v>43.1691176470588</v>
      </c>
      <c r="J557" s="91">
        <v>1</v>
      </c>
      <c r="K557" s="91">
        <f>SUMIFS(VENTAS[Cantidad],VENTAS[Código del producto Vendido],STOCK[[#This Row],[Code]])</f>
        <v>0</v>
      </c>
      <c r="L557" s="91">
        <f>STOCK[[#This Row],[Entradas]]-STOCK[[#This Row],[Salidas]]</f>
        <v>1</v>
      </c>
      <c r="M557" s="76">
        <f>STOCK[[#This Row],[Precio Final]]*10%</f>
        <v>3.5</v>
      </c>
      <c r="N557" s="76">
        <v>400</v>
      </c>
      <c r="O557" s="76">
        <v>17</v>
      </c>
      <c r="P557" s="76">
        <v>23.5294117647059</v>
      </c>
      <c r="Q557" s="91">
        <v>100</v>
      </c>
      <c r="R557" s="76">
        <v>17.5</v>
      </c>
      <c r="S557" s="76">
        <f>STOCK[[#This Row],[Peso (g)]]*STOCK[[#This Row],[Precio Envío Kilogramo (USD)]]/1000</f>
        <v>1.75</v>
      </c>
      <c r="T557" s="76">
        <f>STOCK[[#This Row],[Costo Unitario (USD)]]+STOCK[[#This Row],[Costo Envío (USD)]]+STOCK[[#This Row],[Comisión 10%]]</f>
        <v>28.7794117647059</v>
      </c>
      <c r="U557" s="76">
        <f>STOCK[[#This Row],[Costo total]]*1.5</f>
        <v>43.1691176470588</v>
      </c>
      <c r="V557" s="76">
        <v>35</v>
      </c>
      <c r="W557" s="76">
        <f>STOCK[[#This Row],[Precio Final]]-STOCK[[#This Row],[Costo total]]</f>
        <v>6.2205882352941</v>
      </c>
      <c r="X557" s="76">
        <f>STOCK[[#This Row],[Ganancia Unitaria]]*STOCK[[#This Row],[Salidas]]</f>
        <v>0</v>
      </c>
      <c r="AA557" s="76">
        <f>STOCK[[#This Row],[Costo total]]*STOCK[[#This Row],[Entradas]]</f>
        <v>28.7794117647059</v>
      </c>
      <c r="AB557" s="76">
        <f>STOCK[[#This Row],[Stock Actual]]*STOCK[[#This Row],[Costo total]]</f>
        <v>28.7794117647059</v>
      </c>
    </row>
    <row r="558" s="77" customFormat="1" ht="50" hidden="1" customHeight="1" spans="1:28">
      <c r="A558" s="77" t="s">
        <v>1134</v>
      </c>
      <c r="B558" s="6"/>
      <c r="C558" s="77" t="s">
        <v>30</v>
      </c>
      <c r="D558" s="77" t="s">
        <v>42</v>
      </c>
      <c r="E558" s="77" t="s">
        <v>1135</v>
      </c>
      <c r="F558" s="77" t="s">
        <v>38</v>
      </c>
      <c r="G558" s="77" t="s">
        <v>34</v>
      </c>
      <c r="H558" s="77">
        <f>STOCK[[#This Row],[Precio Final]]</f>
        <v>30</v>
      </c>
      <c r="I558" s="77">
        <f>STOCK[[#This Row],[Precio Venta Ideal (x1.5)]]</f>
        <v>37.5220588235293</v>
      </c>
      <c r="J558" s="92">
        <v>1</v>
      </c>
      <c r="K558" s="92">
        <f>SUMIFS(VENTAS[Cantidad],VENTAS[Código del producto Vendido],STOCK[[#This Row],[Code]])</f>
        <v>1</v>
      </c>
      <c r="L558" s="92">
        <f>STOCK[[#This Row],[Entradas]]-STOCK[[#This Row],[Salidas]]</f>
        <v>0</v>
      </c>
      <c r="M558" s="77">
        <f>STOCK[[#This Row],[Precio Final]]*10%</f>
        <v>3</v>
      </c>
      <c r="N558" s="77">
        <v>285</v>
      </c>
      <c r="O558" s="77">
        <v>17</v>
      </c>
      <c r="P558" s="77">
        <v>16.7647058823529</v>
      </c>
      <c r="Q558" s="92">
        <v>300</v>
      </c>
      <c r="R558" s="77">
        <v>17.5</v>
      </c>
      <c r="S558" s="77">
        <f>STOCK[[#This Row],[Peso (g)]]*STOCK[[#This Row],[Precio Envío Kilogramo (USD)]]/1000</f>
        <v>5.25</v>
      </c>
      <c r="T558" s="76">
        <f>STOCK[[#This Row],[Costo Unitario (USD)]]+STOCK[[#This Row],[Costo Envío (USD)]]+STOCK[[#This Row],[Comisión 10%]]</f>
        <v>25.0147058823529</v>
      </c>
      <c r="U558" s="77">
        <f>STOCK[[#This Row],[Costo total]]*1.5</f>
        <v>37.5220588235293</v>
      </c>
      <c r="V558" s="77">
        <v>30</v>
      </c>
      <c r="W558" s="77">
        <f>STOCK[[#This Row],[Precio Final]]-STOCK[[#This Row],[Costo total]]</f>
        <v>4.9852941176471</v>
      </c>
      <c r="X558" s="77">
        <f>STOCK[[#This Row],[Ganancia Unitaria]]*STOCK[[#This Row],[Salidas]]</f>
        <v>4.9852941176471</v>
      </c>
      <c r="AA558" s="77">
        <f>STOCK[[#This Row],[Costo total]]*STOCK[[#This Row],[Entradas]]</f>
        <v>25.0147058823529</v>
      </c>
      <c r="AB558" s="77">
        <f>STOCK[[#This Row],[Stock Actual]]*STOCK[[#This Row],[Costo total]]</f>
        <v>0</v>
      </c>
    </row>
    <row r="559" s="76" customFormat="1" ht="50" hidden="1" customHeight="1" spans="1:28">
      <c r="A559" s="76" t="s">
        <v>1136</v>
      </c>
      <c r="B559" s="6"/>
      <c r="C559" s="76" t="s">
        <v>30</v>
      </c>
      <c r="D559" s="76" t="s">
        <v>733</v>
      </c>
      <c r="E559" s="76" t="s">
        <v>1137</v>
      </c>
      <c r="F559" s="76" t="s">
        <v>60</v>
      </c>
      <c r="G559" s="76" t="s">
        <v>702</v>
      </c>
      <c r="H559" s="76">
        <f>STOCK[[#This Row],[Precio Final]]</f>
        <v>25</v>
      </c>
      <c r="I559" s="76">
        <f>STOCK[[#This Row],[Precio Venta Ideal (x1.5)]]</f>
        <v>30.9264705882353</v>
      </c>
      <c r="J559" s="91">
        <v>3</v>
      </c>
      <c r="K559" s="91">
        <f>SUMIFS(VENTAS[Cantidad],VENTAS[Código del producto Vendido],STOCK[[#This Row],[Code]])</f>
        <v>2</v>
      </c>
      <c r="L559" s="91">
        <f>STOCK[[#This Row],[Entradas]]-STOCK[[#This Row],[Salidas]]</f>
        <v>1</v>
      </c>
      <c r="M559" s="76">
        <f>STOCK[[#This Row],[Precio Final]]*10%</f>
        <v>2.5</v>
      </c>
      <c r="N559" s="76">
        <v>240</v>
      </c>
      <c r="O559" s="76">
        <v>17</v>
      </c>
      <c r="P559" s="76">
        <v>14.1176470588235</v>
      </c>
      <c r="Q559" s="91">
        <v>350</v>
      </c>
      <c r="R559" s="76">
        <v>0</v>
      </c>
      <c r="S559" s="76">
        <v>4</v>
      </c>
      <c r="T559" s="76">
        <f>STOCK[[#This Row],[Costo Unitario (USD)]]+STOCK[[#This Row],[Costo Envío (USD)]]+STOCK[[#This Row],[Comisión 10%]]</f>
        <v>20.6176470588235</v>
      </c>
      <c r="U559" s="76">
        <f>STOCK[[#This Row],[Costo total]]*1.5</f>
        <v>30.9264705882353</v>
      </c>
      <c r="V559" s="76">
        <v>25</v>
      </c>
      <c r="W559" s="76">
        <f>STOCK[[#This Row],[Precio Final]]-STOCK[[#This Row],[Costo total]]</f>
        <v>4.3823529411765</v>
      </c>
      <c r="X559" s="76">
        <f>STOCK[[#This Row],[Ganancia Unitaria]]*STOCK[[#This Row],[Salidas]]</f>
        <v>8.764705882353</v>
      </c>
      <c r="AA559" s="76">
        <f>STOCK[[#This Row],[Costo total]]*STOCK[[#This Row],[Entradas]]</f>
        <v>61.8529411764705</v>
      </c>
      <c r="AB559" s="76">
        <f>STOCK[[#This Row],[Stock Actual]]*STOCK[[#This Row],[Costo total]]</f>
        <v>20.6176470588235</v>
      </c>
    </row>
    <row r="560" s="77" customFormat="1" ht="50" hidden="1" customHeight="1" spans="1:28">
      <c r="A560" s="77" t="s">
        <v>1138</v>
      </c>
      <c r="B560" s="6"/>
      <c r="C560" s="77" t="s">
        <v>30</v>
      </c>
      <c r="D560" s="77" t="s">
        <v>545</v>
      </c>
      <c r="E560" s="77" t="s">
        <v>1139</v>
      </c>
      <c r="F560" s="77" t="s">
        <v>60</v>
      </c>
      <c r="G560" s="77" t="s">
        <v>34</v>
      </c>
      <c r="H560" s="77">
        <f>STOCK[[#This Row],[Precio Final]]</f>
        <v>15</v>
      </c>
      <c r="I560" s="77">
        <f>STOCK[[#This Row],[Precio Venta Ideal (x1.5)]]</f>
        <v>16.6191176470588</v>
      </c>
      <c r="J560" s="92">
        <v>1</v>
      </c>
      <c r="K560" s="92">
        <f>SUMIFS(VENTAS[Cantidad],VENTAS[Código del producto Vendido],STOCK[[#This Row],[Code]])</f>
        <v>1</v>
      </c>
      <c r="L560" s="92">
        <f>STOCK[[#This Row],[Entradas]]-STOCK[[#This Row],[Salidas]]</f>
        <v>0</v>
      </c>
      <c r="M560" s="77">
        <f>STOCK[[#This Row],[Precio Final]]*10%</f>
        <v>1.5</v>
      </c>
      <c r="N560" s="77">
        <v>145</v>
      </c>
      <c r="O560" s="77">
        <v>17</v>
      </c>
      <c r="P560" s="77">
        <v>8.52941176470588</v>
      </c>
      <c r="Q560" s="92">
        <v>60</v>
      </c>
      <c r="R560" s="77">
        <v>17.5</v>
      </c>
      <c r="S560" s="77">
        <f>STOCK[[#This Row],[Peso (g)]]*STOCK[[#This Row],[Precio Envío Kilogramo (USD)]]/1000</f>
        <v>1.05</v>
      </c>
      <c r="T560" s="76">
        <f>STOCK[[#This Row],[Costo Unitario (USD)]]+STOCK[[#This Row],[Costo Envío (USD)]]+STOCK[[#This Row],[Comisión 10%]]</f>
        <v>11.0794117647059</v>
      </c>
      <c r="U560" s="77">
        <f>STOCK[[#This Row],[Costo total]]*1.5</f>
        <v>16.6191176470588</v>
      </c>
      <c r="V560" s="77">
        <v>15</v>
      </c>
      <c r="W560" s="77">
        <f>STOCK[[#This Row],[Precio Final]]-STOCK[[#This Row],[Costo total]]</f>
        <v>3.92058823529412</v>
      </c>
      <c r="X560" s="77">
        <f>STOCK[[#This Row],[Ganancia Unitaria]]*STOCK[[#This Row],[Salidas]]</f>
        <v>3.92058823529412</v>
      </c>
      <c r="AA560" s="77">
        <f>STOCK[[#This Row],[Costo total]]*STOCK[[#This Row],[Entradas]]</f>
        <v>11.0794117647059</v>
      </c>
      <c r="AB560" s="77">
        <f>STOCK[[#This Row],[Stock Actual]]*STOCK[[#This Row],[Costo total]]</f>
        <v>0</v>
      </c>
    </row>
    <row r="561" s="76" customFormat="1" ht="50" hidden="1" customHeight="1" spans="1:28">
      <c r="A561" s="76" t="s">
        <v>1140</v>
      </c>
      <c r="B561" s="6"/>
      <c r="C561" s="76" t="s">
        <v>30</v>
      </c>
      <c r="D561" s="76" t="s">
        <v>36</v>
      </c>
      <c r="E561" s="76" t="s">
        <v>1141</v>
      </c>
      <c r="F561" s="76" t="s">
        <v>86</v>
      </c>
      <c r="G561" s="76" t="s">
        <v>34</v>
      </c>
      <c r="H561" s="76">
        <f>STOCK[[#This Row],[Precio Final]]</f>
        <v>12</v>
      </c>
      <c r="I561" s="76">
        <f>STOCK[[#This Row],[Precio Venta Ideal (x1.5)]]</f>
        <v>13.9632352941176</v>
      </c>
      <c r="J561" s="91">
        <v>0</v>
      </c>
      <c r="K561" s="91">
        <f>SUMIFS(VENTAS[Cantidad],VENTAS[Código del producto Vendido],STOCK[[#This Row],[Code]])</f>
        <v>0</v>
      </c>
      <c r="L561" s="91">
        <f>STOCK[[#This Row],[Entradas]]-STOCK[[#This Row],[Salidas]]</f>
        <v>0</v>
      </c>
      <c r="M561" s="76">
        <f>STOCK[[#This Row],[Precio Final]]*10%</f>
        <v>1.2</v>
      </c>
      <c r="N561" s="76">
        <v>120</v>
      </c>
      <c r="O561" s="76">
        <v>17</v>
      </c>
      <c r="P561" s="76">
        <v>7.05882352941176</v>
      </c>
      <c r="Q561" s="91">
        <v>60</v>
      </c>
      <c r="R561" s="76">
        <v>17.5</v>
      </c>
      <c r="S561" s="76">
        <f>STOCK[[#This Row],[Peso (g)]]*STOCK[[#This Row],[Precio Envío Kilogramo (USD)]]/1000</f>
        <v>1.05</v>
      </c>
      <c r="T561" s="76">
        <f>STOCK[[#This Row],[Costo Unitario (USD)]]+STOCK[[#This Row],[Costo Envío (USD)]]+STOCK[[#This Row],[Comisión 10%]]</f>
        <v>9.30882352941176</v>
      </c>
      <c r="U561" s="76">
        <f>STOCK[[#This Row],[Costo total]]*1.5</f>
        <v>13.9632352941176</v>
      </c>
      <c r="V561" s="76">
        <v>12</v>
      </c>
      <c r="W561" s="76">
        <f>STOCK[[#This Row],[Precio Final]]-STOCK[[#This Row],[Costo total]]</f>
        <v>2.69117647058824</v>
      </c>
      <c r="X561" s="76">
        <f>STOCK[[#This Row],[Ganancia Unitaria]]*STOCK[[#This Row],[Salidas]]</f>
        <v>0</v>
      </c>
      <c r="AA561" s="76">
        <f>STOCK[[#This Row],[Costo total]]*STOCK[[#This Row],[Entradas]]</f>
        <v>0</v>
      </c>
      <c r="AB561" s="76">
        <f>STOCK[[#This Row],[Stock Actual]]*STOCK[[#This Row],[Costo total]]</f>
        <v>0</v>
      </c>
    </row>
    <row r="562" s="77" customFormat="1" ht="50" hidden="1" customHeight="1" spans="1:28">
      <c r="A562" s="77" t="s">
        <v>1142</v>
      </c>
      <c r="B562" s="6"/>
      <c r="C562" s="77" t="s">
        <v>30</v>
      </c>
      <c r="D562" s="77" t="s">
        <v>741</v>
      </c>
      <c r="E562" s="77" t="s">
        <v>1143</v>
      </c>
      <c r="F562" s="77" t="s">
        <v>47</v>
      </c>
      <c r="G562" s="77" t="s">
        <v>702</v>
      </c>
      <c r="H562" s="77">
        <f>STOCK[[#This Row],[Precio Final]]</f>
        <v>25</v>
      </c>
      <c r="I562" s="77">
        <f>STOCK[[#This Row],[Precio Venta Ideal (x1.5)]]</f>
        <v>28.1558823529411</v>
      </c>
      <c r="J562" s="92">
        <v>1</v>
      </c>
      <c r="K562" s="92">
        <f>SUMIFS(VENTAS[Cantidad],VENTAS[Código del producto Vendido],STOCK[[#This Row],[Code]])</f>
        <v>1</v>
      </c>
      <c r="L562" s="92">
        <f>STOCK[[#This Row],[Entradas]]-STOCK[[#This Row],[Salidas]]</f>
        <v>0</v>
      </c>
      <c r="M562" s="77">
        <f>STOCK[[#This Row],[Precio Final]]*10%</f>
        <v>2.5</v>
      </c>
      <c r="N562" s="77">
        <v>229</v>
      </c>
      <c r="O562" s="77">
        <v>17</v>
      </c>
      <c r="P562" s="77">
        <v>13.4705882352941</v>
      </c>
      <c r="Q562" s="92">
        <v>160</v>
      </c>
      <c r="R562" s="77">
        <v>17.5</v>
      </c>
      <c r="S562" s="77">
        <f>STOCK[[#This Row],[Peso (g)]]*STOCK[[#This Row],[Precio Envío Kilogramo (USD)]]/1000</f>
        <v>2.8</v>
      </c>
      <c r="T562" s="76">
        <f>STOCK[[#This Row],[Costo Unitario (USD)]]+STOCK[[#This Row],[Costo Envío (USD)]]+STOCK[[#This Row],[Comisión 10%]]</f>
        <v>18.7705882352941</v>
      </c>
      <c r="U562" s="77">
        <f>STOCK[[#This Row],[Costo total]]*1.5</f>
        <v>28.1558823529411</v>
      </c>
      <c r="V562" s="77">
        <v>25</v>
      </c>
      <c r="W562" s="77">
        <f>STOCK[[#This Row],[Precio Final]]-STOCK[[#This Row],[Costo total]]</f>
        <v>6.2294117647059</v>
      </c>
      <c r="X562" s="77">
        <f>STOCK[[#This Row],[Ganancia Unitaria]]*STOCK[[#This Row],[Salidas]]</f>
        <v>6.2294117647059</v>
      </c>
      <c r="AA562" s="77">
        <f>STOCK[[#This Row],[Costo total]]*STOCK[[#This Row],[Entradas]]</f>
        <v>18.7705882352941</v>
      </c>
      <c r="AB562" s="77">
        <f>STOCK[[#This Row],[Stock Actual]]*STOCK[[#This Row],[Costo total]]</f>
        <v>0</v>
      </c>
    </row>
    <row r="563" s="76" customFormat="1" ht="50" hidden="1" customHeight="1" spans="1:28">
      <c r="A563" s="76" t="s">
        <v>1144</v>
      </c>
      <c r="B563" s="6"/>
      <c r="C563" s="76" t="s">
        <v>30</v>
      </c>
      <c r="D563" s="76" t="s">
        <v>747</v>
      </c>
      <c r="E563" s="76" t="s">
        <v>1145</v>
      </c>
      <c r="F563" s="76" t="s">
        <v>47</v>
      </c>
      <c r="G563" s="76" t="s">
        <v>702</v>
      </c>
      <c r="H563" s="76">
        <f>STOCK[[#This Row],[Precio Final]]</f>
        <v>25</v>
      </c>
      <c r="I563" s="76">
        <f>STOCK[[#This Row],[Precio Venta Ideal (x1.5)]]</f>
        <v>33.7125</v>
      </c>
      <c r="J563" s="91">
        <v>1</v>
      </c>
      <c r="K563" s="91">
        <f>SUMIFS(VENTAS[Cantidad],VENTAS[Código del producto Vendido],STOCK[[#This Row],[Code]])</f>
        <v>0</v>
      </c>
      <c r="L563" s="91">
        <f>STOCK[[#This Row],[Entradas]]-STOCK[[#This Row],[Salidas]]</f>
        <v>1</v>
      </c>
      <c r="M563" s="76">
        <f>STOCK[[#This Row],[Precio Final]]*10%</f>
        <v>2.5</v>
      </c>
      <c r="N563" s="76">
        <v>289</v>
      </c>
      <c r="O563" s="76">
        <v>17</v>
      </c>
      <c r="P563" s="76">
        <v>17</v>
      </c>
      <c r="Q563" s="91">
        <v>170</v>
      </c>
      <c r="R563" s="76">
        <v>17.5</v>
      </c>
      <c r="S563" s="76">
        <f>STOCK[[#This Row],[Peso (g)]]*STOCK[[#This Row],[Precio Envío Kilogramo (USD)]]/1000</f>
        <v>2.975</v>
      </c>
      <c r="T563" s="76">
        <f>STOCK[[#This Row],[Costo Unitario (USD)]]+STOCK[[#This Row],[Costo Envío (USD)]]+STOCK[[#This Row],[Comisión 10%]]</f>
        <v>22.475</v>
      </c>
      <c r="U563" s="76">
        <f>STOCK[[#This Row],[Costo total]]*1.5</f>
        <v>33.7125</v>
      </c>
      <c r="V563" s="76">
        <v>25</v>
      </c>
      <c r="W563" s="76">
        <f>STOCK[[#This Row],[Precio Final]]-STOCK[[#This Row],[Costo total]]</f>
        <v>2.525</v>
      </c>
      <c r="X563" s="76">
        <f>STOCK[[#This Row],[Ganancia Unitaria]]*STOCK[[#This Row],[Salidas]]</f>
        <v>0</v>
      </c>
      <c r="AA563" s="76">
        <f>STOCK[[#This Row],[Costo total]]*STOCK[[#This Row],[Entradas]]</f>
        <v>22.475</v>
      </c>
      <c r="AB563" s="76">
        <f>STOCK[[#This Row],[Stock Actual]]*STOCK[[#This Row],[Costo total]]</f>
        <v>22.475</v>
      </c>
    </row>
    <row r="564" s="77" customFormat="1" ht="50" hidden="1" customHeight="1" spans="1:28">
      <c r="A564" s="77" t="s">
        <v>1146</v>
      </c>
      <c r="B564" s="6"/>
      <c r="C564" s="77" t="s">
        <v>30</v>
      </c>
      <c r="D564" s="77" t="s">
        <v>747</v>
      </c>
      <c r="E564" s="77" t="s">
        <v>1147</v>
      </c>
      <c r="F564" s="77" t="s">
        <v>44</v>
      </c>
      <c r="G564" s="77" t="s">
        <v>702</v>
      </c>
      <c r="H564" s="77">
        <f>STOCK[[#This Row],[Precio Final]]</f>
        <v>35</v>
      </c>
      <c r="I564" s="77">
        <f>STOCK[[#This Row],[Precio Venta Ideal (x1.5)]]</f>
        <v>43.1536764705882</v>
      </c>
      <c r="J564" s="92">
        <v>1</v>
      </c>
      <c r="K564" s="92">
        <f>SUMIFS(VENTAS[Cantidad],VENTAS[Código del producto Vendido],STOCK[[#This Row],[Code]])</f>
        <v>0</v>
      </c>
      <c r="L564" s="92">
        <f>STOCK[[#This Row],[Entradas]]-STOCK[[#This Row],[Salidas]]</f>
        <v>1</v>
      </c>
      <c r="M564" s="77">
        <f>STOCK[[#This Row],[Precio Final]]*10%</f>
        <v>3.5</v>
      </c>
      <c r="N564" s="77">
        <v>379</v>
      </c>
      <c r="O564" s="77">
        <v>17</v>
      </c>
      <c r="P564" s="77">
        <v>22.2941176470588</v>
      </c>
      <c r="Q564" s="92">
        <v>170</v>
      </c>
      <c r="R564" s="77">
        <v>17.5</v>
      </c>
      <c r="S564" s="77">
        <f>STOCK[[#This Row],[Peso (g)]]*STOCK[[#This Row],[Precio Envío Kilogramo (USD)]]/1000</f>
        <v>2.975</v>
      </c>
      <c r="T564" s="76">
        <f>STOCK[[#This Row],[Costo Unitario (USD)]]+STOCK[[#This Row],[Costo Envío (USD)]]+STOCK[[#This Row],[Comisión 10%]]</f>
        <v>28.7691176470588</v>
      </c>
      <c r="U564" s="77">
        <f>STOCK[[#This Row],[Costo total]]*1.5</f>
        <v>43.1536764705882</v>
      </c>
      <c r="V564" s="77">
        <v>35</v>
      </c>
      <c r="W564" s="77">
        <f>STOCK[[#This Row],[Precio Final]]-STOCK[[#This Row],[Costo total]]</f>
        <v>6.2308823529412</v>
      </c>
      <c r="X564" s="77">
        <f>STOCK[[#This Row],[Ganancia Unitaria]]*STOCK[[#This Row],[Salidas]]</f>
        <v>0</v>
      </c>
      <c r="AA564" s="77">
        <f>STOCK[[#This Row],[Costo total]]*STOCK[[#This Row],[Entradas]]</f>
        <v>28.7691176470588</v>
      </c>
      <c r="AB564" s="77">
        <f>STOCK[[#This Row],[Stock Actual]]*STOCK[[#This Row],[Costo total]]</f>
        <v>28.7691176470588</v>
      </c>
    </row>
    <row r="565" s="76" customFormat="1" ht="50" hidden="1" customHeight="1" spans="1:28">
      <c r="A565" s="76" t="s">
        <v>1148</v>
      </c>
      <c r="B565" s="6"/>
      <c r="C565" s="76" t="s">
        <v>30</v>
      </c>
      <c r="D565" s="76" t="s">
        <v>514</v>
      </c>
      <c r="E565" s="76" t="s">
        <v>1149</v>
      </c>
      <c r="F565" s="76" t="s">
        <v>539</v>
      </c>
      <c r="G565" s="76" t="s">
        <v>34</v>
      </c>
      <c r="H565" s="76">
        <f>STOCK[[#This Row],[Precio Final]]</f>
        <v>40</v>
      </c>
      <c r="I565" s="76">
        <f>STOCK[[#This Row],[Precio Venta Ideal (x1.5)]]</f>
        <v>54.4191176470588</v>
      </c>
      <c r="J565" s="91">
        <v>1</v>
      </c>
      <c r="K565" s="91">
        <f>SUMIFS(VENTAS[Cantidad],VENTAS[Código del producto Vendido],STOCK[[#This Row],[Code]])</f>
        <v>1</v>
      </c>
      <c r="L565" s="91">
        <f>STOCK[[#This Row],[Entradas]]-STOCK[[#This Row],[Salidas]]</f>
        <v>0</v>
      </c>
      <c r="M565" s="76">
        <f>STOCK[[#This Row],[Precio Final]]*10%</f>
        <v>4</v>
      </c>
      <c r="N565" s="76">
        <v>400</v>
      </c>
      <c r="O565" s="76">
        <v>17</v>
      </c>
      <c r="P565" s="76">
        <v>23.5294117647059</v>
      </c>
      <c r="Q565" s="91">
        <v>500</v>
      </c>
      <c r="R565" s="76">
        <v>17.5</v>
      </c>
      <c r="S565" s="76">
        <f>STOCK[[#This Row],[Peso (g)]]*STOCK[[#This Row],[Precio Envío Kilogramo (USD)]]/1000</f>
        <v>8.75</v>
      </c>
      <c r="T565" s="76">
        <f>STOCK[[#This Row],[Costo Unitario (USD)]]+STOCK[[#This Row],[Costo Envío (USD)]]+STOCK[[#This Row],[Comisión 10%]]</f>
        <v>36.2794117647059</v>
      </c>
      <c r="U565" s="76">
        <f>STOCK[[#This Row],[Costo total]]*1.5</f>
        <v>54.4191176470588</v>
      </c>
      <c r="V565" s="76">
        <v>40</v>
      </c>
      <c r="W565" s="76">
        <f>STOCK[[#This Row],[Precio Final]]-STOCK[[#This Row],[Costo total]]</f>
        <v>3.7205882352941</v>
      </c>
      <c r="X565" s="76">
        <f>STOCK[[#This Row],[Ganancia Unitaria]]*STOCK[[#This Row],[Salidas]]</f>
        <v>3.7205882352941</v>
      </c>
      <c r="AA565" s="76">
        <f>STOCK[[#This Row],[Costo total]]*STOCK[[#This Row],[Entradas]]</f>
        <v>36.2794117647059</v>
      </c>
      <c r="AB565" s="76">
        <f>STOCK[[#This Row],[Stock Actual]]*STOCK[[#This Row],[Costo total]]</f>
        <v>0</v>
      </c>
    </row>
    <row r="566" s="77" customFormat="1" ht="50" hidden="1" customHeight="1" spans="1:28">
      <c r="A566" s="77" t="s">
        <v>1150</v>
      </c>
      <c r="B566" s="6"/>
      <c r="C566" s="77" t="s">
        <v>30</v>
      </c>
      <c r="D566" s="77" t="s">
        <v>514</v>
      </c>
      <c r="E566" s="77" t="s">
        <v>1151</v>
      </c>
      <c r="F566" s="77" t="s">
        <v>539</v>
      </c>
      <c r="G566" s="77" t="s">
        <v>702</v>
      </c>
      <c r="H566" s="77">
        <f>STOCK[[#This Row],[Precio Final]]</f>
        <v>45</v>
      </c>
      <c r="I566" s="77">
        <f>STOCK[[#This Row],[Precio Venta Ideal (x1.5)]]</f>
        <v>59.7926470588236</v>
      </c>
      <c r="J566" s="92">
        <v>1</v>
      </c>
      <c r="K566" s="92">
        <f>SUMIFS(VENTAS[Cantidad],VENTAS[Código del producto Vendido],STOCK[[#This Row],[Code]])</f>
        <v>1</v>
      </c>
      <c r="L566" s="92">
        <f>STOCK[[#This Row],[Entradas]]-STOCK[[#This Row],[Salidas]]</f>
        <v>0</v>
      </c>
      <c r="M566" s="77">
        <f>STOCK[[#This Row],[Precio Final]]*10%</f>
        <v>4.5</v>
      </c>
      <c r="N566" s="77">
        <v>500</v>
      </c>
      <c r="O566" s="77">
        <v>17</v>
      </c>
      <c r="P566" s="77">
        <v>29.4117647058824</v>
      </c>
      <c r="Q566" s="92">
        <v>350</v>
      </c>
      <c r="R566" s="77">
        <v>17</v>
      </c>
      <c r="S566" s="77">
        <f>STOCK[[#This Row],[Peso (g)]]*STOCK[[#This Row],[Precio Envío Kilogramo (USD)]]/1000</f>
        <v>5.95</v>
      </c>
      <c r="T566" s="76">
        <f>STOCK[[#This Row],[Costo Unitario (USD)]]+STOCK[[#This Row],[Costo Envío (USD)]]+STOCK[[#This Row],[Comisión 10%]]</f>
        <v>39.8617647058824</v>
      </c>
      <c r="U566" s="77">
        <f>STOCK[[#This Row],[Costo total]]*1.5</f>
        <v>59.7926470588236</v>
      </c>
      <c r="V566" s="77">
        <v>45</v>
      </c>
      <c r="W566" s="77">
        <f>STOCK[[#This Row],[Precio Final]]-STOCK[[#This Row],[Costo total]]</f>
        <v>5.1382352941176</v>
      </c>
      <c r="X566" s="77">
        <f>STOCK[[#This Row],[Ganancia Unitaria]]*STOCK[[#This Row],[Salidas]]</f>
        <v>5.1382352941176</v>
      </c>
      <c r="AA566" s="77">
        <f>STOCK[[#This Row],[Costo total]]*STOCK[[#This Row],[Entradas]]</f>
        <v>39.8617647058824</v>
      </c>
      <c r="AB566" s="77">
        <f>STOCK[[#This Row],[Stock Actual]]*STOCK[[#This Row],[Costo total]]</f>
        <v>0</v>
      </c>
    </row>
    <row r="567" s="76" customFormat="1" ht="50" hidden="1" customHeight="1" spans="1:28">
      <c r="A567" s="76" t="s">
        <v>1152</v>
      </c>
      <c r="B567" s="6"/>
      <c r="C567" s="76" t="s">
        <v>30</v>
      </c>
      <c r="D567" s="76" t="s">
        <v>173</v>
      </c>
      <c r="E567" s="76" t="s">
        <v>1153</v>
      </c>
      <c r="F567" s="76" t="s">
        <v>1154</v>
      </c>
      <c r="G567" s="76" t="s">
        <v>702</v>
      </c>
      <c r="H567" s="76">
        <f>STOCK[[#This Row],[Precio Final]]</f>
        <v>10</v>
      </c>
      <c r="I567" s="76">
        <f>STOCK[[#This Row],[Precio Venta Ideal (x1.5)]]</f>
        <v>12</v>
      </c>
      <c r="J567" s="91">
        <v>1</v>
      </c>
      <c r="K567" s="91">
        <f>SUMIFS(VENTAS[Cantidad],VENTAS[Código del producto Vendido],STOCK[[#This Row],[Code]])</f>
        <v>1</v>
      </c>
      <c r="L567" s="91">
        <f>STOCK[[#This Row],[Entradas]]-STOCK[[#This Row],[Salidas]]</f>
        <v>0</v>
      </c>
      <c r="M567" s="76">
        <f>STOCK[[#This Row],[Precio Final]]*10%</f>
        <v>1</v>
      </c>
      <c r="N567" s="76">
        <v>2.68</v>
      </c>
      <c r="O567" s="76">
        <v>0</v>
      </c>
      <c r="P567" s="76">
        <v>6</v>
      </c>
      <c r="Q567" s="91">
        <v>0</v>
      </c>
      <c r="R567" s="76">
        <v>0</v>
      </c>
      <c r="S567" s="76">
        <v>1</v>
      </c>
      <c r="T567" s="76">
        <f>STOCK[[#This Row],[Costo Unitario (USD)]]+STOCK[[#This Row],[Costo Envío (USD)]]+STOCK[[#This Row],[Comisión 10%]]</f>
        <v>8</v>
      </c>
      <c r="U567" s="76">
        <f>STOCK[[#This Row],[Costo total]]*1.5</f>
        <v>12</v>
      </c>
      <c r="V567" s="76">
        <v>10</v>
      </c>
      <c r="W567" s="76">
        <f>STOCK[[#This Row],[Precio Final]]-STOCK[[#This Row],[Costo total]]</f>
        <v>2</v>
      </c>
      <c r="X567" s="76">
        <f>STOCK[[#This Row],[Ganancia Unitaria]]*STOCK[[#This Row],[Salidas]]</f>
        <v>2</v>
      </c>
      <c r="AA567" s="76">
        <f>STOCK[[#This Row],[Costo total]]*STOCK[[#This Row],[Entradas]]</f>
        <v>8</v>
      </c>
      <c r="AB567" s="76">
        <f>STOCK[[#This Row],[Stock Actual]]*STOCK[[#This Row],[Costo total]]</f>
        <v>0</v>
      </c>
    </row>
    <row r="568" s="77" customFormat="1" ht="50" hidden="1" customHeight="1" spans="1:28">
      <c r="A568" s="77" t="s">
        <v>1155</v>
      </c>
      <c r="B568" s="6"/>
      <c r="C568" s="77" t="s">
        <v>30</v>
      </c>
      <c r="D568" s="77" t="s">
        <v>173</v>
      </c>
      <c r="E568" s="77" t="s">
        <v>1156</v>
      </c>
      <c r="F568" s="77" t="s">
        <v>47</v>
      </c>
      <c r="G568" s="77" t="s">
        <v>34</v>
      </c>
      <c r="H568" s="77">
        <f>STOCK[[#This Row],[Precio Final]]</f>
        <v>13</v>
      </c>
      <c r="I568" s="77">
        <f>STOCK[[#This Row],[Precio Venta Ideal (x1.5)]]</f>
        <v>14.745</v>
      </c>
      <c r="J568" s="92">
        <v>1</v>
      </c>
      <c r="K568" s="92">
        <f>SUMIFS(VENTAS[Cantidad],VENTAS[Código del producto Vendido],STOCK[[#This Row],[Code]])</f>
        <v>1</v>
      </c>
      <c r="L568" s="92">
        <f>STOCK[[#This Row],[Entradas]]-STOCK[[#This Row],[Salidas]]</f>
        <v>0</v>
      </c>
      <c r="M568" s="77">
        <f>STOCK[[#This Row],[Precio Final]]*10%</f>
        <v>1.3</v>
      </c>
      <c r="N568" s="77">
        <v>0</v>
      </c>
      <c r="O568" s="77">
        <v>8.25</v>
      </c>
      <c r="P568" s="77">
        <v>6.53</v>
      </c>
      <c r="Q568" s="92">
        <v>0</v>
      </c>
      <c r="R568" s="77">
        <v>0</v>
      </c>
      <c r="S568" s="77">
        <v>2</v>
      </c>
      <c r="T568" s="76">
        <f>STOCK[[#This Row],[Costo Unitario (USD)]]+STOCK[[#This Row],[Costo Envío (USD)]]+STOCK[[#This Row],[Comisión 10%]]</f>
        <v>9.83</v>
      </c>
      <c r="U568" s="77">
        <f>STOCK[[#This Row],[Costo total]]*1.5</f>
        <v>14.745</v>
      </c>
      <c r="V568" s="77">
        <v>13</v>
      </c>
      <c r="W568" s="77">
        <f>STOCK[[#This Row],[Precio Final]]-STOCK[[#This Row],[Costo total]]</f>
        <v>3.17</v>
      </c>
      <c r="X568" s="77">
        <f>STOCK[[#This Row],[Ganancia Unitaria]]*STOCK[[#This Row],[Salidas]]</f>
        <v>3.17</v>
      </c>
      <c r="Y568" s="77" t="s">
        <v>1157</v>
      </c>
      <c r="AA568" s="77">
        <f>STOCK[[#This Row],[Costo total]]*STOCK[[#This Row],[Entradas]]</f>
        <v>9.83</v>
      </c>
      <c r="AB568" s="77">
        <f>STOCK[[#This Row],[Stock Actual]]*STOCK[[#This Row],[Costo total]]</f>
        <v>0</v>
      </c>
    </row>
    <row r="569" s="76" customFormat="1" ht="50" hidden="1" customHeight="1" spans="1:28">
      <c r="A569" s="76" t="s">
        <v>1158</v>
      </c>
      <c r="B569" s="6"/>
      <c r="C569" s="76" t="s">
        <v>30</v>
      </c>
      <c r="D569" s="76" t="s">
        <v>173</v>
      </c>
      <c r="E569" s="76" t="s">
        <v>1156</v>
      </c>
      <c r="F569" s="76" t="s">
        <v>60</v>
      </c>
      <c r="G569" s="76" t="s">
        <v>34</v>
      </c>
      <c r="H569" s="76">
        <f>STOCK[[#This Row],[Precio Final]]</f>
        <v>13</v>
      </c>
      <c r="I569" s="76">
        <f>STOCK[[#This Row],[Precio Venta Ideal (x1.5)]]</f>
        <v>14.745</v>
      </c>
      <c r="J569" s="91">
        <v>1</v>
      </c>
      <c r="K569" s="91">
        <f>SUMIFS(VENTAS[Cantidad],VENTAS[Código del producto Vendido],STOCK[[#This Row],[Code]])</f>
        <v>1</v>
      </c>
      <c r="L569" s="91">
        <f>STOCK[[#This Row],[Entradas]]-STOCK[[#This Row],[Salidas]]</f>
        <v>0</v>
      </c>
      <c r="M569" s="76">
        <f>STOCK[[#This Row],[Precio Final]]*10%</f>
        <v>1.3</v>
      </c>
      <c r="N569" s="76">
        <v>3.75</v>
      </c>
      <c r="O569" s="76">
        <v>0</v>
      </c>
      <c r="P569" s="76">
        <v>6.53</v>
      </c>
      <c r="Q569" s="91">
        <v>0</v>
      </c>
      <c r="R569" s="76">
        <v>0</v>
      </c>
      <c r="S569" s="76">
        <v>2</v>
      </c>
      <c r="T569" s="76">
        <f>STOCK[[#This Row],[Costo Unitario (USD)]]+STOCK[[#This Row],[Costo Envío (USD)]]+STOCK[[#This Row],[Comisión 10%]]</f>
        <v>9.83</v>
      </c>
      <c r="U569" s="76">
        <f>STOCK[[#This Row],[Costo total]]*1.5</f>
        <v>14.745</v>
      </c>
      <c r="V569" s="76">
        <v>13</v>
      </c>
      <c r="W569" s="76">
        <f>STOCK[[#This Row],[Precio Final]]-STOCK[[#This Row],[Costo total]]</f>
        <v>3.17</v>
      </c>
      <c r="X569" s="76">
        <f>STOCK[[#This Row],[Ganancia Unitaria]]*STOCK[[#This Row],[Salidas]]</f>
        <v>3.17</v>
      </c>
      <c r="Y569" s="76" t="s">
        <v>1157</v>
      </c>
      <c r="AA569" s="76">
        <f>STOCK[[#This Row],[Costo total]]*STOCK[[#This Row],[Entradas]]</f>
        <v>9.83</v>
      </c>
      <c r="AB569" s="76">
        <f>STOCK[[#This Row],[Stock Actual]]*STOCK[[#This Row],[Costo total]]</f>
        <v>0</v>
      </c>
    </row>
    <row r="570" s="77" customFormat="1" ht="50" hidden="1" customHeight="1" spans="1:28">
      <c r="A570" s="77" t="s">
        <v>1159</v>
      </c>
      <c r="B570" s="6"/>
      <c r="C570" s="77" t="s">
        <v>30</v>
      </c>
      <c r="D570" s="77" t="s">
        <v>545</v>
      </c>
      <c r="E570" s="77" t="s">
        <v>1160</v>
      </c>
      <c r="F570" s="77" t="s">
        <v>524</v>
      </c>
      <c r="G570" s="77" t="s">
        <v>34</v>
      </c>
      <c r="H570" s="77">
        <f>STOCK[[#This Row],[Precio Final]]</f>
        <v>5</v>
      </c>
      <c r="I570" s="77">
        <f>STOCK[[#This Row],[Precio Venta Ideal (x1.5)]]</f>
        <v>3.795</v>
      </c>
      <c r="J570" s="92">
        <v>11</v>
      </c>
      <c r="K570" s="92">
        <f>SUMIFS(VENTAS[Cantidad],VENTAS[Código del producto Vendido],STOCK[[#This Row],[Code]])</f>
        <v>8</v>
      </c>
      <c r="L570" s="92">
        <f>STOCK[[#This Row],[Entradas]]-STOCK[[#This Row],[Salidas]]</f>
        <v>3</v>
      </c>
      <c r="M570" s="77">
        <f>STOCK[[#This Row],[Precio Final]]*10%</f>
        <v>0.5</v>
      </c>
      <c r="N570" s="77">
        <v>21.29</v>
      </c>
      <c r="O570" s="77">
        <v>12.26</v>
      </c>
      <c r="P570" s="77">
        <v>1.03</v>
      </c>
      <c r="Q570" s="92">
        <v>0</v>
      </c>
      <c r="R570" s="77">
        <v>0</v>
      </c>
      <c r="S570" s="77">
        <v>1</v>
      </c>
      <c r="T570" s="76">
        <f>STOCK[[#This Row],[Costo Unitario (USD)]]+STOCK[[#This Row],[Costo Envío (USD)]]+STOCK[[#This Row],[Comisión 10%]]</f>
        <v>2.53</v>
      </c>
      <c r="U570" s="77">
        <f>STOCK[[#This Row],[Costo total]]*1.5</f>
        <v>3.795</v>
      </c>
      <c r="V570" s="77">
        <v>5</v>
      </c>
      <c r="W570" s="77">
        <f>STOCK[[#This Row],[Precio Final]]-STOCK[[#This Row],[Costo total]]</f>
        <v>2.47</v>
      </c>
      <c r="X570" s="77">
        <f>STOCK[[#This Row],[Ganancia Unitaria]]*STOCK[[#This Row],[Salidas]]</f>
        <v>19.76</v>
      </c>
      <c r="Y570" s="77" t="s">
        <v>1157</v>
      </c>
      <c r="AA570" s="77">
        <f>STOCK[[#This Row],[Costo total]]*STOCK[[#This Row],[Entradas]]</f>
        <v>27.83</v>
      </c>
      <c r="AB570" s="77">
        <f>STOCK[[#This Row],[Stock Actual]]*STOCK[[#This Row],[Costo total]]</f>
        <v>7.59</v>
      </c>
    </row>
    <row r="571" s="76" customFormat="1" ht="50" hidden="1" customHeight="1" spans="1:28">
      <c r="A571" s="76" t="s">
        <v>1161</v>
      </c>
      <c r="B571" s="6"/>
      <c r="C571" s="76" t="s">
        <v>30</v>
      </c>
      <c r="D571" s="76" t="s">
        <v>151</v>
      </c>
      <c r="E571" s="76" t="s">
        <v>1162</v>
      </c>
      <c r="F571" s="76" t="s">
        <v>44</v>
      </c>
      <c r="G571" s="76" t="s">
        <v>34</v>
      </c>
      <c r="H571" s="76">
        <f>STOCK[[#This Row],[Precio Final]]</f>
        <v>22</v>
      </c>
      <c r="I571" s="76">
        <f>STOCK[[#This Row],[Precio Venta Ideal (x1.5)]]</f>
        <v>24.735</v>
      </c>
      <c r="J571" s="91">
        <v>2</v>
      </c>
      <c r="K571" s="91">
        <f>SUMIFS(VENTAS[Cantidad],VENTAS[Código del producto Vendido],STOCK[[#This Row],[Code]])</f>
        <v>2</v>
      </c>
      <c r="L571" s="91">
        <f>STOCK[[#This Row],[Entradas]]-STOCK[[#This Row],[Salidas]]</f>
        <v>0</v>
      </c>
      <c r="M571" s="76">
        <f>STOCK[[#This Row],[Precio Final]]*10%</f>
        <v>2.2</v>
      </c>
      <c r="N571" s="76">
        <v>9.02</v>
      </c>
      <c r="O571" s="76">
        <v>0</v>
      </c>
      <c r="P571" s="76">
        <v>12.29</v>
      </c>
      <c r="Q571" s="91">
        <v>0</v>
      </c>
      <c r="R571" s="76">
        <v>0</v>
      </c>
      <c r="S571" s="76">
        <v>2</v>
      </c>
      <c r="T571" s="76">
        <f>STOCK[[#This Row],[Costo Unitario (USD)]]+STOCK[[#This Row],[Costo Envío (USD)]]+STOCK[[#This Row],[Comisión 10%]]</f>
        <v>16.49</v>
      </c>
      <c r="U571" s="76">
        <f>STOCK[[#This Row],[Costo total]]*1.5</f>
        <v>24.735</v>
      </c>
      <c r="V571" s="76">
        <v>22</v>
      </c>
      <c r="W571" s="76">
        <f>STOCK[[#This Row],[Precio Final]]-STOCK[[#This Row],[Costo total]]</f>
        <v>5.51</v>
      </c>
      <c r="X571" s="76">
        <f>STOCK[[#This Row],[Ganancia Unitaria]]*STOCK[[#This Row],[Salidas]]</f>
        <v>11.02</v>
      </c>
      <c r="Y571" s="76" t="s">
        <v>1157</v>
      </c>
      <c r="AA571" s="76">
        <f>STOCK[[#This Row],[Costo total]]*STOCK[[#This Row],[Entradas]]</f>
        <v>32.98</v>
      </c>
      <c r="AB571" s="76">
        <f>STOCK[[#This Row],[Stock Actual]]*STOCK[[#This Row],[Costo total]]</f>
        <v>0</v>
      </c>
    </row>
    <row r="572" s="77" customFormat="1" ht="50" hidden="1" customHeight="1" spans="1:28">
      <c r="A572" s="77" t="s">
        <v>1163</v>
      </c>
      <c r="B572" s="6"/>
      <c r="C572" s="77" t="s">
        <v>30</v>
      </c>
      <c r="D572" s="77" t="s">
        <v>151</v>
      </c>
      <c r="E572" s="77" t="s">
        <v>1164</v>
      </c>
      <c r="F572" s="77" t="s">
        <v>47</v>
      </c>
      <c r="G572" s="77" t="s">
        <v>34</v>
      </c>
      <c r="H572" s="77">
        <f>STOCK[[#This Row],[Precio Final]]</f>
        <v>20</v>
      </c>
      <c r="I572" s="77">
        <f>STOCK[[#This Row],[Precio Venta Ideal (x1.5)]]</f>
        <v>24.435</v>
      </c>
      <c r="J572" s="92">
        <v>3</v>
      </c>
      <c r="K572" s="92">
        <f>SUMIFS(VENTAS[Cantidad],VENTAS[Código del producto Vendido],STOCK[[#This Row],[Code]])</f>
        <v>2</v>
      </c>
      <c r="L572" s="92">
        <f>STOCK[[#This Row],[Entradas]]-STOCK[[#This Row],[Salidas]]</f>
        <v>1</v>
      </c>
      <c r="M572" s="77">
        <f>STOCK[[#This Row],[Precio Final]]*10%</f>
        <v>2</v>
      </c>
      <c r="N572" s="77">
        <v>0</v>
      </c>
      <c r="O572" s="77">
        <v>17.49</v>
      </c>
      <c r="P572" s="77">
        <v>12.29</v>
      </c>
      <c r="Q572" s="92">
        <v>0</v>
      </c>
      <c r="R572" s="77">
        <v>0</v>
      </c>
      <c r="S572" s="77">
        <v>2</v>
      </c>
      <c r="T572" s="76">
        <f>STOCK[[#This Row],[Costo Unitario (USD)]]+STOCK[[#This Row],[Costo Envío (USD)]]+STOCK[[#This Row],[Comisión 10%]]</f>
        <v>16.29</v>
      </c>
      <c r="U572" s="77">
        <f>STOCK[[#This Row],[Costo total]]*1.5</f>
        <v>24.435</v>
      </c>
      <c r="V572" s="77">
        <v>20</v>
      </c>
      <c r="W572" s="77">
        <f>STOCK[[#This Row],[Precio Final]]-STOCK[[#This Row],[Costo total]]</f>
        <v>3.71</v>
      </c>
      <c r="X572" s="77">
        <f>STOCK[[#This Row],[Ganancia Unitaria]]*STOCK[[#This Row],[Salidas]]</f>
        <v>7.42</v>
      </c>
      <c r="Y572" s="77" t="s">
        <v>1157</v>
      </c>
      <c r="AA572" s="77">
        <f>STOCK[[#This Row],[Costo total]]*STOCK[[#This Row],[Entradas]]</f>
        <v>48.87</v>
      </c>
      <c r="AB572" s="77">
        <f>STOCK[[#This Row],[Stock Actual]]*STOCK[[#This Row],[Costo total]]</f>
        <v>16.29</v>
      </c>
    </row>
    <row r="573" s="76" customFormat="1" ht="50" hidden="1" customHeight="1" spans="1:28">
      <c r="A573" s="76" t="s">
        <v>1165</v>
      </c>
      <c r="B573" s="6"/>
      <c r="C573" s="76" t="s">
        <v>30</v>
      </c>
      <c r="D573" s="76" t="s">
        <v>151</v>
      </c>
      <c r="E573" s="76" t="s">
        <v>1166</v>
      </c>
      <c r="F573" s="76" t="s">
        <v>1167</v>
      </c>
      <c r="G573" s="76" t="s">
        <v>34</v>
      </c>
      <c r="H573" s="76">
        <f>STOCK[[#This Row],[Precio Final]]</f>
        <v>20</v>
      </c>
      <c r="I573" s="76">
        <f>STOCK[[#This Row],[Precio Venta Ideal (x1.5)]]</f>
        <v>24.435</v>
      </c>
      <c r="J573" s="91">
        <v>2</v>
      </c>
      <c r="K573" s="91">
        <f>SUMIFS(VENTAS[Cantidad],VENTAS[Código del producto Vendido],STOCK[[#This Row],[Code]])</f>
        <v>2</v>
      </c>
      <c r="L573" s="91">
        <f>STOCK[[#This Row],[Entradas]]-STOCK[[#This Row],[Salidas]]</f>
        <v>0</v>
      </c>
      <c r="M573" s="76">
        <f>STOCK[[#This Row],[Precio Final]]*10%</f>
        <v>2</v>
      </c>
      <c r="N573" s="76">
        <v>0</v>
      </c>
      <c r="O573" s="76">
        <v>17.49</v>
      </c>
      <c r="P573" s="76">
        <v>12.29</v>
      </c>
      <c r="Q573" s="91">
        <v>0</v>
      </c>
      <c r="R573" s="76">
        <v>0</v>
      </c>
      <c r="S573" s="76">
        <v>2</v>
      </c>
      <c r="T573" s="76">
        <f>STOCK[[#This Row],[Costo Unitario (USD)]]+STOCK[[#This Row],[Costo Envío (USD)]]+STOCK[[#This Row],[Comisión 10%]]</f>
        <v>16.29</v>
      </c>
      <c r="U573" s="76">
        <f>STOCK[[#This Row],[Costo total]]*1.5</f>
        <v>24.435</v>
      </c>
      <c r="V573" s="76">
        <v>20</v>
      </c>
      <c r="W573" s="76">
        <f>STOCK[[#This Row],[Precio Final]]-STOCK[[#This Row],[Costo total]]</f>
        <v>3.71</v>
      </c>
      <c r="X573" s="76">
        <f>STOCK[[#This Row],[Ganancia Unitaria]]*STOCK[[#This Row],[Salidas]]</f>
        <v>7.42</v>
      </c>
      <c r="Y573" s="76" t="s">
        <v>1157</v>
      </c>
      <c r="AA573" s="76">
        <f>STOCK[[#This Row],[Costo total]]*STOCK[[#This Row],[Entradas]]</f>
        <v>32.58</v>
      </c>
      <c r="AB573" s="76">
        <f>STOCK[[#This Row],[Stock Actual]]*STOCK[[#This Row],[Costo total]]</f>
        <v>0</v>
      </c>
    </row>
    <row r="574" s="77" customFormat="1" ht="50" hidden="1" customHeight="1" spans="1:28">
      <c r="A574" s="77" t="s">
        <v>1168</v>
      </c>
      <c r="B574" s="6"/>
      <c r="C574" s="77" t="s">
        <v>30</v>
      </c>
      <c r="D574" s="77" t="s">
        <v>173</v>
      </c>
      <c r="E574" s="77" t="s">
        <v>1169</v>
      </c>
      <c r="F574" s="77" t="s">
        <v>86</v>
      </c>
      <c r="G574" s="77" t="s">
        <v>34</v>
      </c>
      <c r="H574" s="77">
        <f>STOCK[[#This Row],[Precio Final]]</f>
        <v>13</v>
      </c>
      <c r="I574" s="77">
        <f>STOCK[[#This Row],[Precio Venta Ideal (x1.5)]]</f>
        <v>14.865</v>
      </c>
      <c r="J574" s="92">
        <v>3</v>
      </c>
      <c r="K574" s="92">
        <f>SUMIFS(VENTAS[Cantidad],VENTAS[Código del producto Vendido],STOCK[[#This Row],[Code]])</f>
        <v>3</v>
      </c>
      <c r="L574" s="92">
        <f>STOCK[[#This Row],[Entradas]]-STOCK[[#This Row],[Salidas]]</f>
        <v>0</v>
      </c>
      <c r="M574" s="77">
        <f>STOCK[[#This Row],[Precio Final]]*10%</f>
        <v>1.3</v>
      </c>
      <c r="N574" s="77">
        <v>0</v>
      </c>
      <c r="O574" s="77">
        <v>0</v>
      </c>
      <c r="P574" s="77">
        <v>7.61</v>
      </c>
      <c r="Q574" s="92">
        <v>0</v>
      </c>
      <c r="R574" s="77">
        <v>0</v>
      </c>
      <c r="S574" s="77">
        <v>1</v>
      </c>
      <c r="T574" s="76">
        <f>STOCK[[#This Row],[Costo Unitario (USD)]]+STOCK[[#This Row],[Costo Envío (USD)]]+STOCK[[#This Row],[Comisión 10%]]</f>
        <v>9.91</v>
      </c>
      <c r="U574" s="77">
        <f>STOCK[[#This Row],[Costo total]]*1.5</f>
        <v>14.865</v>
      </c>
      <c r="V574" s="77">
        <v>13</v>
      </c>
      <c r="W574" s="77">
        <f>STOCK[[#This Row],[Precio Final]]-STOCK[[#This Row],[Costo total]]</f>
        <v>3.09</v>
      </c>
      <c r="X574" s="77">
        <f>STOCK[[#This Row],[Ganancia Unitaria]]*STOCK[[#This Row],[Salidas]]</f>
        <v>9.27</v>
      </c>
      <c r="Y574" s="77" t="s">
        <v>1157</v>
      </c>
      <c r="AA574" s="77">
        <f>STOCK[[#This Row],[Costo total]]*STOCK[[#This Row],[Entradas]]</f>
        <v>29.73</v>
      </c>
      <c r="AB574" s="77">
        <f>STOCK[[#This Row],[Stock Actual]]*STOCK[[#This Row],[Costo total]]</f>
        <v>0</v>
      </c>
    </row>
    <row r="575" s="76" customFormat="1" ht="50" hidden="1" customHeight="1" spans="1:28">
      <c r="A575" s="76" t="s">
        <v>1170</v>
      </c>
      <c r="B575" s="6"/>
      <c r="C575" s="76" t="s">
        <v>30</v>
      </c>
      <c r="D575" s="76" t="s">
        <v>173</v>
      </c>
      <c r="E575" s="76" t="s">
        <v>1169</v>
      </c>
      <c r="F575" s="76" t="s">
        <v>81</v>
      </c>
      <c r="G575" s="76" t="s">
        <v>34</v>
      </c>
      <c r="H575" s="76">
        <f>STOCK[[#This Row],[Precio Final]]</f>
        <v>13</v>
      </c>
      <c r="I575" s="76">
        <f>STOCK[[#This Row],[Precio Venta Ideal (x1.5)]]</f>
        <v>14.865</v>
      </c>
      <c r="J575" s="91">
        <v>2</v>
      </c>
      <c r="K575" s="91">
        <f>SUMIFS(VENTAS[Cantidad],VENTAS[Código del producto Vendido],STOCK[[#This Row],[Code]])</f>
        <v>2</v>
      </c>
      <c r="L575" s="91">
        <f>STOCK[[#This Row],[Entradas]]-STOCK[[#This Row],[Salidas]]</f>
        <v>0</v>
      </c>
      <c r="M575" s="76">
        <f>STOCK[[#This Row],[Precio Final]]*10%</f>
        <v>1.3</v>
      </c>
      <c r="N575" s="76">
        <v>4.72</v>
      </c>
      <c r="O575" s="76">
        <v>0</v>
      </c>
      <c r="P575" s="76">
        <v>7.61</v>
      </c>
      <c r="Q575" s="91">
        <v>0</v>
      </c>
      <c r="R575" s="76">
        <v>0</v>
      </c>
      <c r="S575" s="76">
        <v>1</v>
      </c>
      <c r="T575" s="76">
        <f>STOCK[[#This Row],[Costo Unitario (USD)]]+STOCK[[#This Row],[Costo Envío (USD)]]+STOCK[[#This Row],[Comisión 10%]]</f>
        <v>9.91</v>
      </c>
      <c r="U575" s="76">
        <f>STOCK[[#This Row],[Costo total]]*1.5</f>
        <v>14.865</v>
      </c>
      <c r="V575" s="76">
        <v>13</v>
      </c>
      <c r="W575" s="76">
        <f>STOCK[[#This Row],[Precio Final]]-STOCK[[#This Row],[Costo total]]</f>
        <v>3.09</v>
      </c>
      <c r="X575" s="76">
        <f>STOCK[[#This Row],[Ganancia Unitaria]]*STOCK[[#This Row],[Salidas]]</f>
        <v>6.18</v>
      </c>
      <c r="Y575" s="76" t="s">
        <v>1157</v>
      </c>
      <c r="AA575" s="76">
        <f>STOCK[[#This Row],[Costo total]]*STOCK[[#This Row],[Entradas]]</f>
        <v>19.82</v>
      </c>
      <c r="AB575" s="76">
        <f>STOCK[[#This Row],[Stock Actual]]*STOCK[[#This Row],[Costo total]]</f>
        <v>0</v>
      </c>
    </row>
    <row r="576" s="77" customFormat="1" ht="50" hidden="1" customHeight="1" spans="1:28">
      <c r="A576" s="77" t="s">
        <v>1171</v>
      </c>
      <c r="B576" s="6"/>
      <c r="C576" s="77" t="s">
        <v>30</v>
      </c>
      <c r="D576" s="77" t="s">
        <v>42</v>
      </c>
      <c r="E576" s="77" t="s">
        <v>1172</v>
      </c>
      <c r="F576" s="77" t="s">
        <v>60</v>
      </c>
      <c r="G576" s="77" t="s">
        <v>34</v>
      </c>
      <c r="H576" s="77">
        <f>STOCK[[#This Row],[Precio Final]]</f>
        <v>28</v>
      </c>
      <c r="I576" s="77">
        <f>STOCK[[#This Row],[Precio Venta Ideal (x1.5)]]</f>
        <v>30.675</v>
      </c>
      <c r="J576" s="92">
        <v>1</v>
      </c>
      <c r="K576" s="92">
        <f>SUMIFS(VENTAS[Cantidad],VENTAS[Código del producto Vendido],STOCK[[#This Row],[Code]])</f>
        <v>1</v>
      </c>
      <c r="L576" s="92">
        <f>STOCK[[#This Row],[Entradas]]-STOCK[[#This Row],[Salidas]]</f>
        <v>0</v>
      </c>
      <c r="M576" s="77">
        <f>STOCK[[#This Row],[Precio Final]]*10%</f>
        <v>2.8</v>
      </c>
      <c r="N576" s="77">
        <v>0</v>
      </c>
      <c r="O576" s="77">
        <v>0</v>
      </c>
      <c r="P576" s="77">
        <v>17.65</v>
      </c>
      <c r="Q576" s="92">
        <v>0</v>
      </c>
      <c r="R576" s="77">
        <v>0</v>
      </c>
      <c r="S576" s="77">
        <v>0</v>
      </c>
      <c r="T576" s="76">
        <f>STOCK[[#This Row],[Costo Unitario (USD)]]+STOCK[[#This Row],[Costo Envío (USD)]]+STOCK[[#This Row],[Comisión 10%]]</f>
        <v>20.45</v>
      </c>
      <c r="U576" s="77">
        <f>STOCK[[#This Row],[Costo total]]*1.5</f>
        <v>30.675</v>
      </c>
      <c r="V576" s="77">
        <v>28</v>
      </c>
      <c r="W576" s="77">
        <f>STOCK[[#This Row],[Precio Final]]-STOCK[[#This Row],[Costo total]]</f>
        <v>7.55</v>
      </c>
      <c r="X576" s="77">
        <f>STOCK[[#This Row],[Ganancia Unitaria]]*STOCK[[#This Row],[Salidas]]</f>
        <v>7.55</v>
      </c>
      <c r="Y576" s="77" t="s">
        <v>1157</v>
      </c>
      <c r="AA576" s="77">
        <f>STOCK[[#This Row],[Costo total]]*STOCK[[#This Row],[Entradas]]</f>
        <v>20.45</v>
      </c>
      <c r="AB576" s="77">
        <f>STOCK[[#This Row],[Stock Actual]]*STOCK[[#This Row],[Costo total]]</f>
        <v>0</v>
      </c>
    </row>
    <row r="577" s="76" customFormat="1" ht="50" hidden="1" customHeight="1" spans="1:28">
      <c r="A577" s="76" t="s">
        <v>1173</v>
      </c>
      <c r="B577" s="6"/>
      <c r="C577" s="76" t="s">
        <v>30</v>
      </c>
      <c r="D577" s="76" t="s">
        <v>42</v>
      </c>
      <c r="E577" s="76" t="s">
        <v>1172</v>
      </c>
      <c r="F577" s="76" t="s">
        <v>47</v>
      </c>
      <c r="G577" s="76" t="s">
        <v>34</v>
      </c>
      <c r="H577" s="76">
        <f>STOCK[[#This Row],[Precio Final]]</f>
        <v>28</v>
      </c>
      <c r="I577" s="76">
        <f>STOCK[[#This Row],[Precio Venta Ideal (x1.5)]]</f>
        <v>30.675</v>
      </c>
      <c r="J577" s="91">
        <v>1</v>
      </c>
      <c r="K577" s="91">
        <f>SUMIFS(VENTAS[Cantidad],VENTAS[Código del producto Vendido],STOCK[[#This Row],[Code]])</f>
        <v>1</v>
      </c>
      <c r="L577" s="91">
        <f>STOCK[[#This Row],[Entradas]]-STOCK[[#This Row],[Salidas]]</f>
        <v>0</v>
      </c>
      <c r="M577" s="76">
        <f>STOCK[[#This Row],[Precio Final]]*10%</f>
        <v>2.8</v>
      </c>
      <c r="N577" s="76">
        <v>0</v>
      </c>
      <c r="O577" s="76">
        <v>0</v>
      </c>
      <c r="P577" s="76">
        <v>17.65</v>
      </c>
      <c r="Q577" s="91">
        <v>0</v>
      </c>
      <c r="R577" s="76">
        <v>0</v>
      </c>
      <c r="S577" s="76">
        <v>0</v>
      </c>
      <c r="T577" s="76">
        <f>STOCK[[#This Row],[Costo Unitario (USD)]]+STOCK[[#This Row],[Costo Envío (USD)]]+STOCK[[#This Row],[Comisión 10%]]</f>
        <v>20.45</v>
      </c>
      <c r="U577" s="76">
        <f>STOCK[[#This Row],[Costo total]]*1.5</f>
        <v>30.675</v>
      </c>
      <c r="V577" s="76">
        <v>28</v>
      </c>
      <c r="W577" s="76">
        <f>STOCK[[#This Row],[Precio Final]]-STOCK[[#This Row],[Costo total]]</f>
        <v>7.55</v>
      </c>
      <c r="X577" s="76">
        <f>STOCK[[#This Row],[Ganancia Unitaria]]*STOCK[[#This Row],[Salidas]]</f>
        <v>7.55</v>
      </c>
      <c r="Y577" s="76" t="s">
        <v>1157</v>
      </c>
      <c r="AA577" s="76">
        <f>STOCK[[#This Row],[Costo total]]*STOCK[[#This Row],[Entradas]]</f>
        <v>20.45</v>
      </c>
      <c r="AB577" s="76">
        <f>STOCK[[#This Row],[Stock Actual]]*STOCK[[#This Row],[Costo total]]</f>
        <v>0</v>
      </c>
    </row>
    <row r="578" s="77" customFormat="1" ht="50" hidden="1" customHeight="1" spans="1:28">
      <c r="A578" s="77" t="s">
        <v>1174</v>
      </c>
      <c r="B578" s="6"/>
      <c r="C578" s="77" t="s">
        <v>30</v>
      </c>
      <c r="D578" s="77" t="s">
        <v>42</v>
      </c>
      <c r="E578" s="77" t="s">
        <v>1172</v>
      </c>
      <c r="F578" s="77" t="s">
        <v>44</v>
      </c>
      <c r="G578" s="77" t="s">
        <v>34</v>
      </c>
      <c r="H578" s="77">
        <f>STOCK[[#This Row],[Precio Final]]</f>
        <v>28</v>
      </c>
      <c r="I578" s="77">
        <f>STOCK[[#This Row],[Precio Venta Ideal (x1.5)]]</f>
        <v>30.675</v>
      </c>
      <c r="J578" s="92">
        <v>1</v>
      </c>
      <c r="K578" s="92">
        <f>SUMIFS(VENTAS[Cantidad],VENTAS[Código del producto Vendido],STOCK[[#This Row],[Code]])</f>
        <v>1</v>
      </c>
      <c r="L578" s="92">
        <f>STOCK[[#This Row],[Entradas]]-STOCK[[#This Row],[Salidas]]</f>
        <v>0</v>
      </c>
      <c r="M578" s="77">
        <f>STOCK[[#This Row],[Precio Final]]*10%</f>
        <v>2.8</v>
      </c>
      <c r="N578" s="77">
        <v>0</v>
      </c>
      <c r="O578" s="77">
        <v>0</v>
      </c>
      <c r="P578" s="77">
        <v>17.65</v>
      </c>
      <c r="Q578" s="92">
        <v>0</v>
      </c>
      <c r="R578" s="77">
        <v>0</v>
      </c>
      <c r="S578" s="77">
        <v>0</v>
      </c>
      <c r="T578" s="76">
        <f>STOCK[[#This Row],[Costo Unitario (USD)]]+STOCK[[#This Row],[Costo Envío (USD)]]+STOCK[[#This Row],[Comisión 10%]]</f>
        <v>20.45</v>
      </c>
      <c r="U578" s="77">
        <f>STOCK[[#This Row],[Costo total]]*1.5</f>
        <v>30.675</v>
      </c>
      <c r="V578" s="77">
        <v>28</v>
      </c>
      <c r="W578" s="77">
        <f>STOCK[[#This Row],[Precio Final]]-STOCK[[#This Row],[Costo total]]</f>
        <v>7.55</v>
      </c>
      <c r="X578" s="77">
        <f>STOCK[[#This Row],[Ganancia Unitaria]]*STOCK[[#This Row],[Salidas]]</f>
        <v>7.55</v>
      </c>
      <c r="Y578" s="77" t="s">
        <v>1157</v>
      </c>
      <c r="AA578" s="77">
        <f>STOCK[[#This Row],[Costo total]]*STOCK[[#This Row],[Entradas]]</f>
        <v>20.45</v>
      </c>
      <c r="AB578" s="77">
        <f>STOCK[[#This Row],[Stock Actual]]*STOCK[[#This Row],[Costo total]]</f>
        <v>0</v>
      </c>
    </row>
    <row r="579" s="76" customFormat="1" ht="50" hidden="1" customHeight="1" spans="1:28">
      <c r="A579" s="76" t="s">
        <v>1175</v>
      </c>
      <c r="B579" s="6"/>
      <c r="C579" s="76" t="s">
        <v>30</v>
      </c>
      <c r="D579" s="76" t="s">
        <v>42</v>
      </c>
      <c r="E579" s="76" t="s">
        <v>1176</v>
      </c>
      <c r="G579" s="76" t="s">
        <v>34</v>
      </c>
      <c r="H579" s="76">
        <f>STOCK[[#This Row],[Precio Final]]</f>
        <v>0</v>
      </c>
      <c r="I579" s="76">
        <f>STOCK[[#This Row],[Precio Venta Ideal (x1.5)]]</f>
        <v>13.785</v>
      </c>
      <c r="J579" s="91">
        <v>0</v>
      </c>
      <c r="K579" s="91">
        <f>SUMIFS(VENTAS[Cantidad],VENTAS[Código del producto Vendido],STOCK[[#This Row],[Code]])</f>
        <v>0</v>
      </c>
      <c r="L579" s="91">
        <f>STOCK[[#This Row],[Entradas]]-STOCK[[#This Row],[Salidas]]</f>
        <v>0</v>
      </c>
      <c r="M579" s="76">
        <f>STOCK[[#This Row],[Precio Final]]*10%</f>
        <v>0</v>
      </c>
      <c r="N579" s="76">
        <v>0</v>
      </c>
      <c r="O579" s="76">
        <v>0</v>
      </c>
      <c r="P579" s="76">
        <v>9.19</v>
      </c>
      <c r="Q579" s="91">
        <v>0</v>
      </c>
      <c r="R579" s="76">
        <v>0</v>
      </c>
      <c r="S579" s="76">
        <v>0</v>
      </c>
      <c r="T579" s="76">
        <f>STOCK[[#This Row],[Costo Unitario (USD)]]+STOCK[[#This Row],[Costo Envío (USD)]]+STOCK[[#This Row],[Comisión 10%]]</f>
        <v>9.19</v>
      </c>
      <c r="U579" s="76">
        <f>STOCK[[#This Row],[Costo total]]*1.5</f>
        <v>13.785</v>
      </c>
      <c r="V579" s="76">
        <v>0</v>
      </c>
      <c r="W579" s="76">
        <f>STOCK[[#This Row],[Precio Final]]-STOCK[[#This Row],[Costo total]]</f>
        <v>-9.19</v>
      </c>
      <c r="X579" s="76">
        <f>STOCK[[#This Row],[Ganancia Unitaria]]*STOCK[[#This Row],[Salidas]]</f>
        <v>0</v>
      </c>
      <c r="Y579" s="76" t="s">
        <v>1157</v>
      </c>
      <c r="AA579" s="76">
        <f>STOCK[[#This Row],[Costo total]]*STOCK[[#This Row],[Entradas]]</f>
        <v>0</v>
      </c>
      <c r="AB579" s="76">
        <f>STOCK[[#This Row],[Stock Actual]]*STOCK[[#This Row],[Costo total]]</f>
        <v>0</v>
      </c>
    </row>
    <row r="580" s="77" customFormat="1" ht="50" hidden="1" customHeight="1" spans="1:28">
      <c r="A580" s="77" t="s">
        <v>1177</v>
      </c>
      <c r="B580" s="6"/>
      <c r="C580" s="77" t="s">
        <v>30</v>
      </c>
      <c r="D580" s="77" t="s">
        <v>42</v>
      </c>
      <c r="E580" s="77" t="s">
        <v>1176</v>
      </c>
      <c r="G580" s="77" t="s">
        <v>34</v>
      </c>
      <c r="H580" s="77">
        <f>STOCK[[#This Row],[Precio Final]]</f>
        <v>0</v>
      </c>
      <c r="I580" s="77">
        <f>STOCK[[#This Row],[Precio Venta Ideal (x1.5)]]</f>
        <v>11.295</v>
      </c>
      <c r="J580" s="92">
        <v>0</v>
      </c>
      <c r="K580" s="92">
        <f>SUMIFS(VENTAS[Cantidad],VENTAS[Código del producto Vendido],STOCK[[#This Row],[Code]])</f>
        <v>0</v>
      </c>
      <c r="L580" s="92">
        <f>STOCK[[#This Row],[Entradas]]-STOCK[[#This Row],[Salidas]]</f>
        <v>0</v>
      </c>
      <c r="M580" s="77">
        <f>STOCK[[#This Row],[Precio Final]]*10%</f>
        <v>0</v>
      </c>
      <c r="N580" s="77">
        <v>0</v>
      </c>
      <c r="O580" s="77">
        <v>0</v>
      </c>
      <c r="P580" s="77">
        <v>7.53</v>
      </c>
      <c r="Q580" s="92">
        <v>0</v>
      </c>
      <c r="R580" s="77">
        <v>0</v>
      </c>
      <c r="S580" s="77">
        <v>0</v>
      </c>
      <c r="T580" s="76">
        <f>STOCK[[#This Row],[Costo Unitario (USD)]]+STOCK[[#This Row],[Costo Envío (USD)]]+STOCK[[#This Row],[Comisión 10%]]</f>
        <v>7.53</v>
      </c>
      <c r="U580" s="77">
        <f>STOCK[[#This Row],[Costo total]]*1.5</f>
        <v>11.295</v>
      </c>
      <c r="W580" s="77">
        <f>STOCK[[#This Row],[Precio Final]]-STOCK[[#This Row],[Costo total]]</f>
        <v>-7.53</v>
      </c>
      <c r="X580" s="77">
        <f>STOCK[[#This Row],[Ganancia Unitaria]]*STOCK[[#This Row],[Salidas]]</f>
        <v>0</v>
      </c>
      <c r="Y580" s="77" t="s">
        <v>1157</v>
      </c>
      <c r="AA580" s="77">
        <f>STOCK[[#This Row],[Costo total]]*STOCK[[#This Row],[Entradas]]</f>
        <v>0</v>
      </c>
      <c r="AB580" s="77">
        <f>STOCK[[#This Row],[Stock Actual]]*STOCK[[#This Row],[Costo total]]</f>
        <v>0</v>
      </c>
    </row>
    <row r="581" s="76" customFormat="1" ht="50" hidden="1" customHeight="1" spans="1:28">
      <c r="A581" s="76" t="s">
        <v>1178</v>
      </c>
      <c r="B581" s="6"/>
      <c r="C581" s="76" t="s">
        <v>30</v>
      </c>
      <c r="D581" s="76" t="s">
        <v>42</v>
      </c>
      <c r="E581" s="76" t="s">
        <v>1179</v>
      </c>
      <c r="G581" s="76" t="s">
        <v>34</v>
      </c>
      <c r="H581" s="76">
        <f>STOCK[[#This Row],[Precio Final]]</f>
        <v>12</v>
      </c>
      <c r="I581" s="76">
        <f>STOCK[[#This Row],[Precio Venta Ideal (x1.5)]]</f>
        <v>15.885</v>
      </c>
      <c r="J581" s="91">
        <v>0</v>
      </c>
      <c r="K581" s="91">
        <f>SUMIFS(VENTAS[Cantidad],VENTAS[Código del producto Vendido],STOCK[[#This Row],[Code]])</f>
        <v>0</v>
      </c>
      <c r="L581" s="91">
        <f>STOCK[[#This Row],[Entradas]]-STOCK[[#This Row],[Salidas]]</f>
        <v>0</v>
      </c>
      <c r="M581" s="76">
        <f>STOCK[[#This Row],[Precio Final]]*10%</f>
        <v>1.2</v>
      </c>
      <c r="N581" s="76">
        <v>0</v>
      </c>
      <c r="O581" s="76">
        <v>0</v>
      </c>
      <c r="P581" s="76">
        <v>9.39</v>
      </c>
      <c r="Q581" s="91">
        <v>0</v>
      </c>
      <c r="R581" s="76">
        <v>0</v>
      </c>
      <c r="S581" s="76">
        <v>0</v>
      </c>
      <c r="T581" s="76">
        <f>STOCK[[#This Row],[Costo Unitario (USD)]]+STOCK[[#This Row],[Costo Envío (USD)]]+STOCK[[#This Row],[Comisión 10%]]</f>
        <v>10.59</v>
      </c>
      <c r="U581" s="76">
        <f>STOCK[[#This Row],[Costo total]]*1.5</f>
        <v>15.885</v>
      </c>
      <c r="V581" s="76">
        <v>12</v>
      </c>
      <c r="W581" s="76">
        <f>STOCK[[#This Row],[Precio Final]]-STOCK[[#This Row],[Costo total]]</f>
        <v>1.41</v>
      </c>
      <c r="X581" s="76">
        <f>STOCK[[#This Row],[Ganancia Unitaria]]*STOCK[[#This Row],[Salidas]]</f>
        <v>0</v>
      </c>
      <c r="Y581" s="76" t="s">
        <v>1157</v>
      </c>
      <c r="AA581" s="76">
        <f>STOCK[[#This Row],[Costo total]]*STOCK[[#This Row],[Entradas]]</f>
        <v>0</v>
      </c>
      <c r="AB581" s="76">
        <f>STOCK[[#This Row],[Stock Actual]]*STOCK[[#This Row],[Costo total]]</f>
        <v>0</v>
      </c>
    </row>
    <row r="582" s="77" customFormat="1" ht="50" hidden="1" customHeight="1" spans="1:28">
      <c r="A582" s="77" t="s">
        <v>1180</v>
      </c>
      <c r="B582" s="6"/>
      <c r="C582" s="77" t="s">
        <v>30</v>
      </c>
      <c r="D582" s="77" t="s">
        <v>151</v>
      </c>
      <c r="E582" s="77" t="s">
        <v>1181</v>
      </c>
      <c r="F582" s="77" t="s">
        <v>210</v>
      </c>
      <c r="G582" s="77" t="s">
        <v>34</v>
      </c>
      <c r="H582" s="77">
        <f>STOCK[[#This Row],[Precio Final]]</f>
        <v>20</v>
      </c>
      <c r="I582" s="77">
        <f>STOCK[[#This Row],[Precio Venta Ideal (x1.5)]]</f>
        <v>24.435</v>
      </c>
      <c r="J582" s="92">
        <v>1</v>
      </c>
      <c r="K582" s="92">
        <f>SUMIFS(VENTAS[Cantidad],VENTAS[Código del producto Vendido],STOCK[[#This Row],[Code]])</f>
        <v>1</v>
      </c>
      <c r="L582" s="92">
        <f>STOCK[[#This Row],[Entradas]]-STOCK[[#This Row],[Salidas]]</f>
        <v>0</v>
      </c>
      <c r="M582" s="77">
        <f>STOCK[[#This Row],[Precio Final]]*10%</f>
        <v>2</v>
      </c>
      <c r="N582" s="77">
        <v>-17.37</v>
      </c>
      <c r="O582" s="77">
        <v>0</v>
      </c>
      <c r="P582" s="77">
        <v>12.29</v>
      </c>
      <c r="Q582" s="92">
        <v>0</v>
      </c>
      <c r="R582" s="77">
        <v>0</v>
      </c>
      <c r="S582" s="77">
        <v>2</v>
      </c>
      <c r="T582" s="76">
        <f>STOCK[[#This Row],[Costo Unitario (USD)]]+STOCK[[#This Row],[Costo Envío (USD)]]+STOCK[[#This Row],[Comisión 10%]]</f>
        <v>16.29</v>
      </c>
      <c r="U582" s="77">
        <f>STOCK[[#This Row],[Costo total]]*1.5</f>
        <v>24.435</v>
      </c>
      <c r="V582" s="77">
        <v>20</v>
      </c>
      <c r="W582" s="77">
        <f>STOCK[[#This Row],[Precio Final]]-STOCK[[#This Row],[Costo total]]</f>
        <v>3.71</v>
      </c>
      <c r="X582" s="77">
        <f>STOCK[[#This Row],[Ganancia Unitaria]]*STOCK[[#This Row],[Salidas]]</f>
        <v>3.71</v>
      </c>
      <c r="Y582" s="77" t="s">
        <v>1157</v>
      </c>
      <c r="AA582" s="77">
        <f>STOCK[[#This Row],[Costo total]]*STOCK[[#This Row],[Entradas]]</f>
        <v>16.29</v>
      </c>
      <c r="AB582" s="77">
        <f>STOCK[[#This Row],[Stock Actual]]*STOCK[[#This Row],[Costo total]]</f>
        <v>0</v>
      </c>
    </row>
    <row r="583" s="76" customFormat="1" ht="50" hidden="1" customHeight="1" spans="1:28">
      <c r="A583" s="76" t="s">
        <v>1182</v>
      </c>
      <c r="B583" s="6"/>
      <c r="C583" s="76" t="s">
        <v>30</v>
      </c>
      <c r="D583" s="76" t="s">
        <v>151</v>
      </c>
      <c r="E583" s="76" t="s">
        <v>1181</v>
      </c>
      <c r="F583" s="76" t="s">
        <v>60</v>
      </c>
      <c r="G583" s="76" t="s">
        <v>34</v>
      </c>
      <c r="H583" s="76">
        <f>STOCK[[#This Row],[Precio Final]]</f>
        <v>0</v>
      </c>
      <c r="I583" s="76">
        <f>STOCK[[#This Row],[Precio Venta Ideal (x1.5)]]</f>
        <v>21.435</v>
      </c>
      <c r="J583" s="91">
        <v>1</v>
      </c>
      <c r="K583" s="91">
        <f>SUMIFS(VENTAS[Cantidad],VENTAS[Código del producto Vendido],STOCK[[#This Row],[Code]])</f>
        <v>1</v>
      </c>
      <c r="L583" s="91">
        <f>STOCK[[#This Row],[Entradas]]-STOCK[[#This Row],[Salidas]]</f>
        <v>0</v>
      </c>
      <c r="M583" s="76">
        <f>STOCK[[#This Row],[Precio Final]]*10%</f>
        <v>0</v>
      </c>
      <c r="N583" s="76">
        <v>-17.37</v>
      </c>
      <c r="O583" s="76">
        <v>0</v>
      </c>
      <c r="P583" s="76">
        <v>12.29</v>
      </c>
      <c r="Q583" s="91">
        <v>0</v>
      </c>
      <c r="R583" s="76">
        <v>0</v>
      </c>
      <c r="S583" s="76">
        <v>2</v>
      </c>
      <c r="T583" s="76">
        <f>STOCK[[#This Row],[Costo Unitario (USD)]]+STOCK[[#This Row],[Costo Envío (USD)]]+STOCK[[#This Row],[Comisión 10%]]</f>
        <v>14.29</v>
      </c>
      <c r="U583" s="76">
        <f>STOCK[[#This Row],[Costo total]]*1.5</f>
        <v>21.435</v>
      </c>
      <c r="V583" s="76">
        <v>0</v>
      </c>
      <c r="W583" s="76">
        <f>STOCK[[#This Row],[Precio Final]]-STOCK[[#This Row],[Costo total]]</f>
        <v>-14.29</v>
      </c>
      <c r="X583" s="76">
        <f>STOCK[[#This Row],[Ganancia Unitaria]]*STOCK[[#This Row],[Salidas]]</f>
        <v>-14.29</v>
      </c>
      <c r="Y583" s="76" t="s">
        <v>1157</v>
      </c>
      <c r="AA583" s="76">
        <f>STOCK[[#This Row],[Costo total]]*STOCK[[#This Row],[Entradas]]</f>
        <v>14.29</v>
      </c>
      <c r="AB583" s="76">
        <f>STOCK[[#This Row],[Stock Actual]]*STOCK[[#This Row],[Costo total]]</f>
        <v>0</v>
      </c>
    </row>
    <row r="584" s="77" customFormat="1" ht="50" hidden="1" customHeight="1" spans="1:28">
      <c r="A584" s="77" t="s">
        <v>1183</v>
      </c>
      <c r="B584" s="6"/>
      <c r="C584" s="77" t="s">
        <v>30</v>
      </c>
      <c r="D584" s="77" t="s">
        <v>1073</v>
      </c>
      <c r="E584" s="77" t="s">
        <v>1184</v>
      </c>
      <c r="G584" s="77" t="s">
        <v>34</v>
      </c>
      <c r="H584" s="77">
        <f>STOCK[[#This Row],[Precio Final]]</f>
        <v>12</v>
      </c>
      <c r="I584" s="77">
        <f>STOCK[[#This Row],[Precio Venta Ideal (x1.5)]]</f>
        <v>11.445</v>
      </c>
      <c r="J584" s="92">
        <v>0</v>
      </c>
      <c r="K584" s="92">
        <f>SUMIFS(VENTAS[Cantidad],VENTAS[Código del producto Vendido],STOCK[[#This Row],[Code]])</f>
        <v>0</v>
      </c>
      <c r="L584" s="92">
        <f>STOCK[[#This Row],[Entradas]]-STOCK[[#This Row],[Salidas]]</f>
        <v>0</v>
      </c>
      <c r="M584" s="77">
        <f>STOCK[[#This Row],[Precio Final]]*10%</f>
        <v>1.2</v>
      </c>
      <c r="N584" s="77">
        <v>0</v>
      </c>
      <c r="O584" s="77">
        <v>0</v>
      </c>
      <c r="P584" s="77">
        <v>6.43</v>
      </c>
      <c r="Q584" s="92">
        <v>0</v>
      </c>
      <c r="R584" s="77">
        <v>0</v>
      </c>
      <c r="S584" s="77">
        <v>0</v>
      </c>
      <c r="T584" s="76">
        <f>STOCK[[#This Row],[Costo Unitario (USD)]]+STOCK[[#This Row],[Costo Envío (USD)]]+STOCK[[#This Row],[Comisión 10%]]</f>
        <v>7.63</v>
      </c>
      <c r="U584" s="77">
        <f>STOCK[[#This Row],[Costo total]]*1.5</f>
        <v>11.445</v>
      </c>
      <c r="V584" s="77">
        <v>12</v>
      </c>
      <c r="W584" s="77">
        <f>STOCK[[#This Row],[Precio Final]]-STOCK[[#This Row],[Costo total]]</f>
        <v>4.37</v>
      </c>
      <c r="X584" s="77">
        <f>STOCK[[#This Row],[Ganancia Unitaria]]*STOCK[[#This Row],[Salidas]]</f>
        <v>0</v>
      </c>
      <c r="Y584" s="77" t="s">
        <v>1157</v>
      </c>
      <c r="AA584" s="77">
        <f>STOCK[[#This Row],[Costo total]]*STOCK[[#This Row],[Entradas]]</f>
        <v>0</v>
      </c>
      <c r="AB584" s="77">
        <f>STOCK[[#This Row],[Stock Actual]]*STOCK[[#This Row],[Costo total]]</f>
        <v>0</v>
      </c>
    </row>
    <row r="585" s="76" customFormat="1" ht="50" hidden="1" customHeight="1" spans="1:28">
      <c r="A585" s="76" t="s">
        <v>1185</v>
      </c>
      <c r="B585" s="6"/>
      <c r="C585" s="76" t="s">
        <v>30</v>
      </c>
      <c r="D585" s="76" t="s">
        <v>173</v>
      </c>
      <c r="E585" s="76" t="s">
        <v>1186</v>
      </c>
      <c r="F585" s="76" t="s">
        <v>47</v>
      </c>
      <c r="G585" s="76" t="s">
        <v>34</v>
      </c>
      <c r="H585" s="76">
        <f>STOCK[[#This Row],[Precio Final]]</f>
        <v>18</v>
      </c>
      <c r="I585" s="76">
        <f>STOCK[[#This Row],[Precio Venta Ideal (x1.5)]]</f>
        <v>21.825</v>
      </c>
      <c r="J585" s="91">
        <v>1</v>
      </c>
      <c r="K585" s="91">
        <f>SUMIFS(VENTAS[Cantidad],VENTAS[Código del producto Vendido],STOCK[[#This Row],[Code]])</f>
        <v>1</v>
      </c>
      <c r="L585" s="91">
        <f>STOCK[[#This Row],[Entradas]]-STOCK[[#This Row],[Salidas]]</f>
        <v>0</v>
      </c>
      <c r="M585" s="76">
        <f>STOCK[[#This Row],[Precio Final]]*10%</f>
        <v>1.8</v>
      </c>
      <c r="N585" s="76">
        <v>3.61</v>
      </c>
      <c r="O585" s="76">
        <v>0</v>
      </c>
      <c r="P585" s="76">
        <v>11.75</v>
      </c>
      <c r="Q585" s="91">
        <v>0</v>
      </c>
      <c r="R585" s="76">
        <v>0</v>
      </c>
      <c r="S585" s="76">
        <v>1</v>
      </c>
      <c r="T585" s="76">
        <f>STOCK[[#This Row],[Costo Unitario (USD)]]+STOCK[[#This Row],[Costo Envío (USD)]]+STOCK[[#This Row],[Comisión 10%]]</f>
        <v>14.55</v>
      </c>
      <c r="U585" s="76">
        <f>STOCK[[#This Row],[Costo total]]*1.5</f>
        <v>21.825</v>
      </c>
      <c r="V585" s="76">
        <v>18</v>
      </c>
      <c r="W585" s="76">
        <f>STOCK[[#This Row],[Precio Final]]-STOCK[[#This Row],[Costo total]]</f>
        <v>3.45</v>
      </c>
      <c r="X585" s="76">
        <f>STOCK[[#This Row],[Ganancia Unitaria]]*STOCK[[#This Row],[Salidas]]</f>
        <v>3.45</v>
      </c>
      <c r="Y585" s="76" t="s">
        <v>1157</v>
      </c>
      <c r="AA585" s="76">
        <f>STOCK[[#This Row],[Costo total]]*STOCK[[#This Row],[Entradas]]</f>
        <v>14.55</v>
      </c>
      <c r="AB585" s="76">
        <f>STOCK[[#This Row],[Stock Actual]]*STOCK[[#This Row],[Costo total]]</f>
        <v>0</v>
      </c>
    </row>
    <row r="586" s="77" customFormat="1" ht="50" hidden="1" customHeight="1" spans="1:28">
      <c r="A586" s="77" t="s">
        <v>1187</v>
      </c>
      <c r="B586" s="6"/>
      <c r="C586" s="77" t="s">
        <v>30</v>
      </c>
      <c r="D586" s="77" t="s">
        <v>1188</v>
      </c>
      <c r="E586" s="77" t="s">
        <v>1189</v>
      </c>
      <c r="F586" s="77" t="s">
        <v>60</v>
      </c>
      <c r="G586" s="77" t="s">
        <v>34</v>
      </c>
      <c r="H586" s="77">
        <f>STOCK[[#This Row],[Precio Final]]</f>
        <v>20</v>
      </c>
      <c r="I586" s="77">
        <f>STOCK[[#This Row],[Precio Venta Ideal (x1.5)]]</f>
        <v>22.575</v>
      </c>
      <c r="J586" s="92">
        <v>1</v>
      </c>
      <c r="K586" s="92">
        <f>SUMIFS(VENTAS[Cantidad],VENTAS[Código del producto Vendido],STOCK[[#This Row],[Code]])</f>
        <v>0</v>
      </c>
      <c r="L586" s="92">
        <f>STOCK[[#This Row],[Entradas]]-STOCK[[#This Row],[Salidas]]</f>
        <v>1</v>
      </c>
      <c r="M586" s="77">
        <f>STOCK[[#This Row],[Precio Final]]*10%</f>
        <v>2</v>
      </c>
      <c r="N586" s="77">
        <v>0</v>
      </c>
      <c r="O586" s="77">
        <v>0</v>
      </c>
      <c r="P586" s="77">
        <v>12.05</v>
      </c>
      <c r="Q586" s="92">
        <v>0</v>
      </c>
      <c r="R586" s="77">
        <v>0</v>
      </c>
      <c r="S586" s="77">
        <v>1</v>
      </c>
      <c r="T586" s="76">
        <f>STOCK[[#This Row],[Costo Unitario (USD)]]+STOCK[[#This Row],[Costo Envío (USD)]]+STOCK[[#This Row],[Comisión 10%]]</f>
        <v>15.05</v>
      </c>
      <c r="U586" s="77">
        <f>STOCK[[#This Row],[Costo total]]*1.5</f>
        <v>22.575</v>
      </c>
      <c r="V586" s="77">
        <v>20</v>
      </c>
      <c r="W586" s="77">
        <f>STOCK[[#This Row],[Precio Final]]-STOCK[[#This Row],[Costo total]]</f>
        <v>4.95</v>
      </c>
      <c r="X586" s="77">
        <f>STOCK[[#This Row],[Ganancia Unitaria]]*STOCK[[#This Row],[Salidas]]</f>
        <v>0</v>
      </c>
      <c r="Y586" s="77" t="s">
        <v>1157</v>
      </c>
      <c r="AA586" s="77">
        <f>STOCK[[#This Row],[Costo total]]*STOCK[[#This Row],[Entradas]]</f>
        <v>15.05</v>
      </c>
      <c r="AB586" s="77">
        <f>STOCK[[#This Row],[Stock Actual]]*STOCK[[#This Row],[Costo total]]</f>
        <v>15.05</v>
      </c>
    </row>
    <row r="587" s="76" customFormat="1" ht="50" hidden="1" customHeight="1" spans="1:28">
      <c r="A587" s="76" t="s">
        <v>1190</v>
      </c>
      <c r="B587" s="6"/>
      <c r="C587" s="76" t="s">
        <v>30</v>
      </c>
      <c r="D587" s="76" t="s">
        <v>42</v>
      </c>
      <c r="E587" s="76" t="s">
        <v>1191</v>
      </c>
      <c r="F587" s="76" t="s">
        <v>86</v>
      </c>
      <c r="G587" s="76" t="s">
        <v>34</v>
      </c>
      <c r="H587" s="76">
        <f>STOCK[[#This Row],[Precio Final]]</f>
        <v>35</v>
      </c>
      <c r="I587" s="76">
        <f>STOCK[[#This Row],[Precio Venta Ideal (x1.5)]]</f>
        <v>27.615</v>
      </c>
      <c r="J587" s="91">
        <v>1</v>
      </c>
      <c r="K587" s="91">
        <f>SUMIFS(VENTAS[Cantidad],VENTAS[Código del producto Vendido],STOCK[[#This Row],[Code]])</f>
        <v>1</v>
      </c>
      <c r="L587" s="91">
        <f>STOCK[[#This Row],[Entradas]]-STOCK[[#This Row],[Salidas]]</f>
        <v>0</v>
      </c>
      <c r="M587" s="76">
        <f>STOCK[[#This Row],[Precio Final]]*10%</f>
        <v>3.5</v>
      </c>
      <c r="N587" s="76">
        <v>0</v>
      </c>
      <c r="O587" s="76">
        <v>0</v>
      </c>
      <c r="P587" s="76">
        <v>13.91</v>
      </c>
      <c r="Q587" s="91">
        <v>0</v>
      </c>
      <c r="R587" s="76">
        <v>0</v>
      </c>
      <c r="S587" s="76">
        <v>1</v>
      </c>
      <c r="T587" s="76">
        <f>STOCK[[#This Row],[Costo Unitario (USD)]]+STOCK[[#This Row],[Costo Envío (USD)]]+STOCK[[#This Row],[Comisión 10%]]</f>
        <v>18.41</v>
      </c>
      <c r="U587" s="76">
        <f>STOCK[[#This Row],[Costo total]]*1.5</f>
        <v>27.615</v>
      </c>
      <c r="V587" s="76">
        <v>35</v>
      </c>
      <c r="W587" s="76">
        <f>STOCK[[#This Row],[Precio Final]]-STOCK[[#This Row],[Costo total]]</f>
        <v>16.59</v>
      </c>
      <c r="X587" s="76">
        <f>STOCK[[#This Row],[Ganancia Unitaria]]*STOCK[[#This Row],[Salidas]]</f>
        <v>16.59</v>
      </c>
      <c r="Y587" s="76" t="s">
        <v>1157</v>
      </c>
      <c r="AA587" s="76">
        <f>STOCK[[#This Row],[Costo total]]*STOCK[[#This Row],[Entradas]]</f>
        <v>18.41</v>
      </c>
      <c r="AB587" s="76">
        <f>STOCK[[#This Row],[Stock Actual]]*STOCK[[#This Row],[Costo total]]</f>
        <v>0</v>
      </c>
    </row>
    <row r="588" s="77" customFormat="1" ht="50" hidden="1" customHeight="1" spans="1:28">
      <c r="A588" s="77" t="s">
        <v>1192</v>
      </c>
      <c r="B588" s="6"/>
      <c r="C588" s="77" t="s">
        <v>30</v>
      </c>
      <c r="D588" s="77" t="s">
        <v>1073</v>
      </c>
      <c r="E588" s="77" t="s">
        <v>1176</v>
      </c>
      <c r="G588" s="77" t="s">
        <v>34</v>
      </c>
      <c r="H588" s="77">
        <f>STOCK[[#This Row],[Precio Final]]</f>
        <v>12</v>
      </c>
      <c r="I588" s="77">
        <f>STOCK[[#This Row],[Precio Venta Ideal (x1.5)]]</f>
        <v>17.385</v>
      </c>
      <c r="J588" s="92">
        <v>0</v>
      </c>
      <c r="K588" s="92">
        <f>SUMIFS(VENTAS[Cantidad],VENTAS[Código del producto Vendido],STOCK[[#This Row],[Code]])</f>
        <v>0</v>
      </c>
      <c r="L588" s="92">
        <f>STOCK[[#This Row],[Entradas]]-STOCK[[#This Row],[Salidas]]</f>
        <v>0</v>
      </c>
      <c r="M588" s="77">
        <f>STOCK[[#This Row],[Precio Final]]*10%</f>
        <v>1.2</v>
      </c>
      <c r="N588" s="77">
        <v>0</v>
      </c>
      <c r="O588" s="77">
        <v>0</v>
      </c>
      <c r="P588" s="77">
        <v>9.39</v>
      </c>
      <c r="Q588" s="92">
        <v>0</v>
      </c>
      <c r="R588" s="77">
        <v>0</v>
      </c>
      <c r="S588" s="77">
        <v>1</v>
      </c>
      <c r="T588" s="76">
        <f>STOCK[[#This Row],[Costo Unitario (USD)]]+STOCK[[#This Row],[Costo Envío (USD)]]+STOCK[[#This Row],[Comisión 10%]]</f>
        <v>11.59</v>
      </c>
      <c r="U588" s="77">
        <f>STOCK[[#This Row],[Costo total]]*1.5</f>
        <v>17.385</v>
      </c>
      <c r="V588" s="77">
        <v>12</v>
      </c>
      <c r="W588" s="77">
        <f>STOCK[[#This Row],[Precio Final]]-STOCK[[#This Row],[Costo total]]</f>
        <v>0.41</v>
      </c>
      <c r="X588" s="77">
        <f>STOCK[[#This Row],[Ganancia Unitaria]]*STOCK[[#This Row],[Salidas]]</f>
        <v>0</v>
      </c>
      <c r="Y588" s="77" t="s">
        <v>1157</v>
      </c>
      <c r="AA588" s="77">
        <f>STOCK[[#This Row],[Costo total]]*STOCK[[#This Row],[Entradas]]</f>
        <v>0</v>
      </c>
      <c r="AB588" s="77">
        <f>STOCK[[#This Row],[Stock Actual]]*STOCK[[#This Row],[Costo total]]</f>
        <v>0</v>
      </c>
    </row>
    <row r="589" s="76" customFormat="1" ht="50" hidden="1" customHeight="1" spans="1:28">
      <c r="A589" s="76" t="s">
        <v>1193</v>
      </c>
      <c r="B589" s="6"/>
      <c r="C589" s="76" t="s">
        <v>30</v>
      </c>
      <c r="D589" s="76" t="s">
        <v>1073</v>
      </c>
      <c r="E589" s="76" t="s">
        <v>1176</v>
      </c>
      <c r="G589" s="76" t="s">
        <v>34</v>
      </c>
      <c r="H589" s="76">
        <f>STOCK[[#This Row],[Precio Final]]</f>
        <v>12</v>
      </c>
      <c r="I589" s="76">
        <f>STOCK[[#This Row],[Precio Venta Ideal (x1.5)]]</f>
        <v>13.095</v>
      </c>
      <c r="J589" s="91">
        <v>0</v>
      </c>
      <c r="K589" s="91">
        <f>SUMIFS(VENTAS[Cantidad],VENTAS[Código del producto Vendido],STOCK[[#This Row],[Code]])</f>
        <v>0</v>
      </c>
      <c r="L589" s="91">
        <f>STOCK[[#This Row],[Entradas]]-STOCK[[#This Row],[Salidas]]</f>
        <v>0</v>
      </c>
      <c r="M589" s="76">
        <f>STOCK[[#This Row],[Precio Final]]*10%</f>
        <v>1.2</v>
      </c>
      <c r="N589" s="76">
        <v>0</v>
      </c>
      <c r="O589" s="76">
        <v>0</v>
      </c>
      <c r="P589" s="76">
        <v>6.53</v>
      </c>
      <c r="Q589" s="91">
        <v>0</v>
      </c>
      <c r="R589" s="76">
        <v>0</v>
      </c>
      <c r="S589" s="76">
        <v>1</v>
      </c>
      <c r="T589" s="76">
        <f>STOCK[[#This Row],[Costo Unitario (USD)]]+STOCK[[#This Row],[Costo Envío (USD)]]+STOCK[[#This Row],[Comisión 10%]]</f>
        <v>8.73</v>
      </c>
      <c r="U589" s="76">
        <f>STOCK[[#This Row],[Costo total]]*1.5</f>
        <v>13.095</v>
      </c>
      <c r="V589" s="76">
        <v>12</v>
      </c>
      <c r="W589" s="76">
        <f>STOCK[[#This Row],[Precio Final]]-STOCK[[#This Row],[Costo total]]</f>
        <v>3.27</v>
      </c>
      <c r="X589" s="76">
        <f>STOCK[[#This Row],[Ganancia Unitaria]]*STOCK[[#This Row],[Salidas]]</f>
        <v>0</v>
      </c>
      <c r="Y589" s="76" t="s">
        <v>1157</v>
      </c>
      <c r="AA589" s="76">
        <f>STOCK[[#This Row],[Costo total]]*STOCK[[#This Row],[Entradas]]</f>
        <v>0</v>
      </c>
      <c r="AB589" s="76">
        <f>STOCK[[#This Row],[Stock Actual]]*STOCK[[#This Row],[Costo total]]</f>
        <v>0</v>
      </c>
    </row>
    <row r="590" s="77" customFormat="1" ht="50" hidden="1" customHeight="1" spans="1:28">
      <c r="A590" s="77" t="s">
        <v>1194</v>
      </c>
      <c r="B590" s="6"/>
      <c r="C590" s="77" t="s">
        <v>30</v>
      </c>
      <c r="D590" s="77" t="s">
        <v>287</v>
      </c>
      <c r="E590" s="77" t="s">
        <v>1195</v>
      </c>
      <c r="F590" s="77" t="s">
        <v>60</v>
      </c>
      <c r="G590" s="77" t="s">
        <v>34</v>
      </c>
      <c r="H590" s="77">
        <f>STOCK[[#This Row],[Precio Final]]</f>
        <v>40</v>
      </c>
      <c r="I590" s="77">
        <f>STOCK[[#This Row],[Precio Venta Ideal (x1.5)]]</f>
        <v>47.73</v>
      </c>
      <c r="J590" s="92">
        <v>2</v>
      </c>
      <c r="K590" s="92">
        <f>SUMIFS(VENTAS[Cantidad],VENTAS[Código del producto Vendido],STOCK[[#This Row],[Code]])</f>
        <v>2</v>
      </c>
      <c r="L590" s="92">
        <f>STOCK[[#This Row],[Entradas]]-STOCK[[#This Row],[Salidas]]</f>
        <v>0</v>
      </c>
      <c r="M590" s="77">
        <f>STOCK[[#This Row],[Precio Final]]*10%</f>
        <v>4</v>
      </c>
      <c r="N590" s="77">
        <v>-30.07</v>
      </c>
      <c r="O590" s="77">
        <v>30.07</v>
      </c>
      <c r="P590" s="77">
        <v>22.82</v>
      </c>
      <c r="Q590" s="92">
        <v>0</v>
      </c>
      <c r="R590" s="77">
        <v>0</v>
      </c>
      <c r="S590" s="77">
        <v>5</v>
      </c>
      <c r="T590" s="76">
        <f>STOCK[[#This Row],[Costo Unitario (USD)]]+STOCK[[#This Row],[Costo Envío (USD)]]+STOCK[[#This Row],[Comisión 10%]]</f>
        <v>31.82</v>
      </c>
      <c r="U590" s="77">
        <f>STOCK[[#This Row],[Costo total]]*1.5</f>
        <v>47.73</v>
      </c>
      <c r="V590" s="77">
        <v>40</v>
      </c>
      <c r="W590" s="77">
        <f>STOCK[[#This Row],[Precio Final]]-STOCK[[#This Row],[Costo total]]</f>
        <v>8.18</v>
      </c>
      <c r="X590" s="77">
        <f>STOCK[[#This Row],[Ganancia Unitaria]]*STOCK[[#This Row],[Salidas]]</f>
        <v>16.36</v>
      </c>
      <c r="Y590" s="77" t="s">
        <v>1157</v>
      </c>
      <c r="AA590" s="77">
        <f>STOCK[[#This Row],[Costo total]]*STOCK[[#This Row],[Entradas]]</f>
        <v>63.64</v>
      </c>
      <c r="AB590" s="77">
        <f>STOCK[[#This Row],[Stock Actual]]*STOCK[[#This Row],[Costo total]]</f>
        <v>0</v>
      </c>
    </row>
    <row r="591" s="76" customFormat="1" ht="50" hidden="1" customHeight="1" spans="1:28">
      <c r="A591" s="76" t="s">
        <v>1196</v>
      </c>
      <c r="B591" s="6"/>
      <c r="C591" s="76" t="s">
        <v>30</v>
      </c>
      <c r="D591" s="76" t="s">
        <v>287</v>
      </c>
      <c r="E591" s="76" t="s">
        <v>1197</v>
      </c>
      <c r="F591" s="76" t="s">
        <v>47</v>
      </c>
      <c r="G591" s="76" t="s">
        <v>34</v>
      </c>
      <c r="H591" s="76">
        <f>STOCK[[#This Row],[Precio Final]]</f>
        <v>0</v>
      </c>
      <c r="I591" s="76">
        <f>STOCK[[#This Row],[Precio Venta Ideal (x1.5)]]</f>
        <v>41.73</v>
      </c>
      <c r="J591" s="91">
        <v>1</v>
      </c>
      <c r="K591" s="91">
        <f>SUMIFS(VENTAS[Cantidad],VENTAS[Código del producto Vendido],STOCK[[#This Row],[Code]])</f>
        <v>1</v>
      </c>
      <c r="L591" s="91">
        <f>STOCK[[#This Row],[Entradas]]-STOCK[[#This Row],[Salidas]]</f>
        <v>0</v>
      </c>
      <c r="M591" s="76">
        <f>STOCK[[#This Row],[Precio Final]]*10%</f>
        <v>0</v>
      </c>
      <c r="N591" s="76">
        <v>-30.07</v>
      </c>
      <c r="O591" s="76">
        <v>0</v>
      </c>
      <c r="P591" s="76">
        <v>22.82</v>
      </c>
      <c r="Q591" s="91">
        <v>0</v>
      </c>
      <c r="R591" s="76">
        <v>0</v>
      </c>
      <c r="S591" s="76">
        <v>5</v>
      </c>
      <c r="T591" s="76">
        <f>STOCK[[#This Row],[Costo Unitario (USD)]]+STOCK[[#This Row],[Costo Envío (USD)]]+STOCK[[#This Row],[Comisión 10%]]</f>
        <v>27.82</v>
      </c>
      <c r="U591" s="76">
        <f>STOCK[[#This Row],[Costo total]]*1.5</f>
        <v>41.73</v>
      </c>
      <c r="V591" s="76">
        <v>0</v>
      </c>
      <c r="W591" s="76">
        <f>STOCK[[#This Row],[Precio Final]]-STOCK[[#This Row],[Costo total]]</f>
        <v>-27.82</v>
      </c>
      <c r="X591" s="76">
        <f>STOCK[[#This Row],[Ganancia Unitaria]]*STOCK[[#This Row],[Salidas]]</f>
        <v>-27.82</v>
      </c>
      <c r="Y591" s="76" t="s">
        <v>1157</v>
      </c>
      <c r="AA591" s="76">
        <f>STOCK[[#This Row],[Costo total]]*STOCK[[#This Row],[Entradas]]</f>
        <v>27.82</v>
      </c>
      <c r="AB591" s="76">
        <f>STOCK[[#This Row],[Stock Actual]]*STOCK[[#This Row],[Costo total]]</f>
        <v>0</v>
      </c>
    </row>
    <row r="592" s="77" customFormat="1" ht="50" hidden="1" customHeight="1" spans="1:28">
      <c r="A592" s="77" t="s">
        <v>1198</v>
      </c>
      <c r="B592" s="6"/>
      <c r="C592" s="77" t="s">
        <v>30</v>
      </c>
      <c r="D592" s="77" t="s">
        <v>545</v>
      </c>
      <c r="E592" s="77" t="s">
        <v>1199</v>
      </c>
      <c r="F592" s="77" t="s">
        <v>60</v>
      </c>
      <c r="G592" s="77" t="s">
        <v>34</v>
      </c>
      <c r="H592" s="77">
        <f>STOCK[[#This Row],[Precio Final]]</f>
        <v>12</v>
      </c>
      <c r="I592" s="77">
        <f>STOCK[[#This Row],[Precio Venta Ideal (x1.5)]]</f>
        <v>10.605</v>
      </c>
      <c r="J592" s="92">
        <v>2</v>
      </c>
      <c r="K592" s="92">
        <f>SUMIFS(VENTAS[Cantidad],VENTAS[Código del producto Vendido],STOCK[[#This Row],[Code]])</f>
        <v>2</v>
      </c>
      <c r="L592" s="92">
        <f>STOCK[[#This Row],[Entradas]]-STOCK[[#This Row],[Salidas]]</f>
        <v>0</v>
      </c>
      <c r="M592" s="77">
        <f>STOCK[[#This Row],[Precio Final]]*10%</f>
        <v>1.2</v>
      </c>
      <c r="N592" s="77">
        <v>-6.24</v>
      </c>
      <c r="O592" s="77">
        <v>6.24</v>
      </c>
      <c r="P592" s="77">
        <v>5.37</v>
      </c>
      <c r="Q592" s="92">
        <v>0</v>
      </c>
      <c r="R592" s="77">
        <v>0</v>
      </c>
      <c r="S592" s="77">
        <v>0.5</v>
      </c>
      <c r="T592" s="76">
        <f>STOCK[[#This Row],[Costo Unitario (USD)]]+STOCK[[#This Row],[Costo Envío (USD)]]+STOCK[[#This Row],[Comisión 10%]]</f>
        <v>7.07</v>
      </c>
      <c r="U592" s="77">
        <f>STOCK[[#This Row],[Costo total]]*1.5</f>
        <v>10.605</v>
      </c>
      <c r="V592" s="77">
        <v>12</v>
      </c>
      <c r="W592" s="77">
        <f>STOCK[[#This Row],[Precio Final]]-STOCK[[#This Row],[Costo total]]</f>
        <v>4.93</v>
      </c>
      <c r="X592" s="77">
        <f>STOCK[[#This Row],[Ganancia Unitaria]]*STOCK[[#This Row],[Salidas]]</f>
        <v>9.86</v>
      </c>
      <c r="Y592" s="77" t="s">
        <v>1157</v>
      </c>
      <c r="AA592" s="77">
        <f>STOCK[[#This Row],[Costo total]]*STOCK[[#This Row],[Entradas]]</f>
        <v>14.14</v>
      </c>
      <c r="AB592" s="77">
        <f>STOCK[[#This Row],[Stock Actual]]*STOCK[[#This Row],[Costo total]]</f>
        <v>0</v>
      </c>
    </row>
    <row r="593" s="76" customFormat="1" ht="50" hidden="1" customHeight="1" spans="1:28">
      <c r="A593" s="76" t="s">
        <v>1200</v>
      </c>
      <c r="B593" s="6"/>
      <c r="C593" s="76" t="s">
        <v>30</v>
      </c>
      <c r="D593" s="76" t="s">
        <v>173</v>
      </c>
      <c r="E593" s="76" t="s">
        <v>1201</v>
      </c>
      <c r="F593" s="76" t="s">
        <v>47</v>
      </c>
      <c r="G593" s="76" t="s">
        <v>34</v>
      </c>
      <c r="H593" s="76">
        <f>STOCK[[#This Row],[Precio Final]]</f>
        <v>25</v>
      </c>
      <c r="I593" s="76">
        <f>STOCK[[#This Row],[Precio Venta Ideal (x1.5)]]</f>
        <v>23.1</v>
      </c>
      <c r="J593" s="91">
        <v>1</v>
      </c>
      <c r="K593" s="91">
        <f>SUMIFS(VENTAS[Cantidad],VENTAS[Código del producto Vendido],STOCK[[#This Row],[Code]])</f>
        <v>1</v>
      </c>
      <c r="L593" s="91">
        <f>STOCK[[#This Row],[Entradas]]-STOCK[[#This Row],[Salidas]]</f>
        <v>0</v>
      </c>
      <c r="M593" s="76">
        <f>STOCK[[#This Row],[Precio Final]]*10%</f>
        <v>2.5</v>
      </c>
      <c r="N593" s="76">
        <v>-14.22</v>
      </c>
      <c r="O593" s="76">
        <v>0</v>
      </c>
      <c r="P593" s="76">
        <v>10.9</v>
      </c>
      <c r="Q593" s="91">
        <v>0</v>
      </c>
      <c r="R593" s="76">
        <v>0</v>
      </c>
      <c r="S593" s="76">
        <v>2</v>
      </c>
      <c r="T593" s="76">
        <f>STOCK[[#This Row],[Costo Unitario (USD)]]+STOCK[[#This Row],[Costo Envío (USD)]]+STOCK[[#This Row],[Comisión 10%]]</f>
        <v>15.4</v>
      </c>
      <c r="U593" s="76">
        <f>STOCK[[#This Row],[Costo total]]*1.5</f>
        <v>23.1</v>
      </c>
      <c r="V593" s="76">
        <v>25</v>
      </c>
      <c r="W593" s="76">
        <f>STOCK[[#This Row],[Precio Final]]-STOCK[[#This Row],[Costo total]]</f>
        <v>9.6</v>
      </c>
      <c r="X593" s="76">
        <f>STOCK[[#This Row],[Ganancia Unitaria]]*STOCK[[#This Row],[Salidas]]</f>
        <v>9.6</v>
      </c>
      <c r="Y593" s="76" t="s">
        <v>1157</v>
      </c>
      <c r="AA593" s="76">
        <f>STOCK[[#This Row],[Costo total]]*STOCK[[#This Row],[Entradas]]</f>
        <v>15.4</v>
      </c>
      <c r="AB593" s="76">
        <f>STOCK[[#This Row],[Stock Actual]]*STOCK[[#This Row],[Costo total]]</f>
        <v>0</v>
      </c>
    </row>
    <row r="594" s="77" customFormat="1" ht="50" hidden="1" customHeight="1" spans="1:28">
      <c r="A594" s="77" t="s">
        <v>1202</v>
      </c>
      <c r="B594" s="6"/>
      <c r="C594" s="77" t="s">
        <v>30</v>
      </c>
      <c r="D594" s="77" t="s">
        <v>173</v>
      </c>
      <c r="E594" s="77" t="s">
        <v>1201</v>
      </c>
      <c r="F594" s="77" t="s">
        <v>204</v>
      </c>
      <c r="G594" s="77" t="s">
        <v>34</v>
      </c>
      <c r="H594" s="77">
        <f>STOCK[[#This Row],[Precio Final]]</f>
        <v>22</v>
      </c>
      <c r="I594" s="77">
        <f>STOCK[[#This Row],[Precio Venta Ideal (x1.5)]]</f>
        <v>22.65</v>
      </c>
      <c r="J594" s="92">
        <v>3</v>
      </c>
      <c r="K594" s="92">
        <f>SUMIFS(VENTAS[Cantidad],VENTAS[Código del producto Vendido],STOCK[[#This Row],[Code]])</f>
        <v>3</v>
      </c>
      <c r="L594" s="92">
        <f>STOCK[[#This Row],[Entradas]]-STOCK[[#This Row],[Salidas]]</f>
        <v>0</v>
      </c>
      <c r="M594" s="77">
        <f>STOCK[[#This Row],[Precio Final]]*10%</f>
        <v>2.2</v>
      </c>
      <c r="N594" s="77">
        <v>-28.45</v>
      </c>
      <c r="O594" s="77">
        <v>0</v>
      </c>
      <c r="P594" s="77">
        <v>10.9</v>
      </c>
      <c r="Q594" s="92">
        <v>0</v>
      </c>
      <c r="R594" s="77">
        <v>0</v>
      </c>
      <c r="S594" s="77">
        <v>2</v>
      </c>
      <c r="T594" s="76">
        <f>STOCK[[#This Row],[Costo Unitario (USD)]]+STOCK[[#This Row],[Costo Envío (USD)]]+STOCK[[#This Row],[Comisión 10%]]</f>
        <v>15.1</v>
      </c>
      <c r="U594" s="77">
        <f>STOCK[[#This Row],[Costo total]]*1.5</f>
        <v>22.65</v>
      </c>
      <c r="V594" s="77">
        <v>22</v>
      </c>
      <c r="W594" s="77">
        <f>STOCK[[#This Row],[Precio Final]]-STOCK[[#This Row],[Costo total]]</f>
        <v>6.9</v>
      </c>
      <c r="X594" s="77">
        <f>STOCK[[#This Row],[Ganancia Unitaria]]*STOCK[[#This Row],[Salidas]]</f>
        <v>20.7</v>
      </c>
      <c r="Y594" s="77" t="s">
        <v>1157</v>
      </c>
      <c r="AA594" s="77">
        <f>STOCK[[#This Row],[Costo total]]*STOCK[[#This Row],[Entradas]]</f>
        <v>45.3</v>
      </c>
      <c r="AB594" s="77">
        <f>STOCK[[#This Row],[Stock Actual]]*STOCK[[#This Row],[Costo total]]</f>
        <v>0</v>
      </c>
    </row>
    <row r="595" s="76" customFormat="1" ht="50" hidden="1" customHeight="1" spans="1:28">
      <c r="A595" s="76" t="s">
        <v>1203</v>
      </c>
      <c r="B595" s="6"/>
      <c r="C595" s="76" t="s">
        <v>30</v>
      </c>
      <c r="D595" s="76" t="s">
        <v>173</v>
      </c>
      <c r="E595" s="76" t="s">
        <v>1201</v>
      </c>
      <c r="F595" s="76" t="s">
        <v>86</v>
      </c>
      <c r="G595" s="76" t="s">
        <v>34</v>
      </c>
      <c r="H595" s="76">
        <f>STOCK[[#This Row],[Precio Final]]</f>
        <v>22</v>
      </c>
      <c r="I595" s="76">
        <f>STOCK[[#This Row],[Precio Venta Ideal (x1.5)]]</f>
        <v>22.65</v>
      </c>
      <c r="J595" s="91">
        <v>2</v>
      </c>
      <c r="K595" s="91">
        <f>SUMIFS(VENTAS[Cantidad],VENTAS[Código del producto Vendido],STOCK[[#This Row],[Code]])</f>
        <v>2</v>
      </c>
      <c r="L595" s="91">
        <f>STOCK[[#This Row],[Entradas]]-STOCK[[#This Row],[Salidas]]</f>
        <v>0</v>
      </c>
      <c r="M595" s="76">
        <f>STOCK[[#This Row],[Precio Final]]*10%</f>
        <v>2.2</v>
      </c>
      <c r="N595" s="76">
        <v>-14.22</v>
      </c>
      <c r="O595" s="76">
        <v>0</v>
      </c>
      <c r="P595" s="76">
        <v>10.9</v>
      </c>
      <c r="Q595" s="91">
        <v>0</v>
      </c>
      <c r="R595" s="76">
        <v>0</v>
      </c>
      <c r="S595" s="76">
        <v>2</v>
      </c>
      <c r="T595" s="76">
        <f>STOCK[[#This Row],[Costo Unitario (USD)]]+STOCK[[#This Row],[Costo Envío (USD)]]+STOCK[[#This Row],[Comisión 10%]]</f>
        <v>15.1</v>
      </c>
      <c r="U595" s="76">
        <f>STOCK[[#This Row],[Costo total]]*1.5</f>
        <v>22.65</v>
      </c>
      <c r="V595" s="76">
        <v>22</v>
      </c>
      <c r="W595" s="76">
        <f>STOCK[[#This Row],[Precio Final]]-STOCK[[#This Row],[Costo total]]</f>
        <v>6.9</v>
      </c>
      <c r="X595" s="76">
        <f>STOCK[[#This Row],[Ganancia Unitaria]]*STOCK[[#This Row],[Salidas]]</f>
        <v>13.8</v>
      </c>
      <c r="Y595" s="76" t="s">
        <v>1157</v>
      </c>
      <c r="AA595" s="76">
        <f>STOCK[[#This Row],[Costo total]]*STOCK[[#This Row],[Entradas]]</f>
        <v>30.2</v>
      </c>
      <c r="AB595" s="76">
        <f>STOCK[[#This Row],[Stock Actual]]*STOCK[[#This Row],[Costo total]]</f>
        <v>0</v>
      </c>
    </row>
    <row r="596" s="77" customFormat="1" ht="50" hidden="1" customHeight="1" spans="1:28">
      <c r="A596" s="77" t="s">
        <v>1204</v>
      </c>
      <c r="B596" s="6"/>
      <c r="C596" s="77" t="s">
        <v>30</v>
      </c>
      <c r="D596" s="77" t="s">
        <v>151</v>
      </c>
      <c r="E596" s="77" t="s">
        <v>1205</v>
      </c>
      <c r="F596" s="77" t="s">
        <v>186</v>
      </c>
      <c r="G596" s="77" t="s">
        <v>34</v>
      </c>
      <c r="H596" s="77">
        <f>STOCK[[#This Row],[Precio Final]]</f>
        <v>20</v>
      </c>
      <c r="I596" s="77">
        <f>STOCK[[#This Row],[Precio Venta Ideal (x1.5)]]</f>
        <v>23.04</v>
      </c>
      <c r="J596" s="92">
        <v>1</v>
      </c>
      <c r="K596" s="92">
        <f>SUMIFS(VENTAS[Cantidad],VENTAS[Código del producto Vendido],STOCK[[#This Row],[Code]])</f>
        <v>1</v>
      </c>
      <c r="L596" s="92">
        <f>STOCK[[#This Row],[Entradas]]-STOCK[[#This Row],[Salidas]]</f>
        <v>0</v>
      </c>
      <c r="M596" s="77">
        <f>STOCK[[#This Row],[Precio Final]]*10%</f>
        <v>2</v>
      </c>
      <c r="N596" s="77">
        <v>0</v>
      </c>
      <c r="O596" s="77">
        <v>12.06</v>
      </c>
      <c r="P596" s="77">
        <v>10.36</v>
      </c>
      <c r="Q596" s="92">
        <v>0</v>
      </c>
      <c r="R596" s="77">
        <v>0</v>
      </c>
      <c r="S596" s="77">
        <v>3</v>
      </c>
      <c r="T596" s="76">
        <f>STOCK[[#This Row],[Costo Unitario (USD)]]+STOCK[[#This Row],[Costo Envío (USD)]]+STOCK[[#This Row],[Comisión 10%]]</f>
        <v>15.36</v>
      </c>
      <c r="U596" s="77">
        <f>STOCK[[#This Row],[Costo total]]*1.5</f>
        <v>23.04</v>
      </c>
      <c r="V596" s="77">
        <v>20</v>
      </c>
      <c r="W596" s="77">
        <f>STOCK[[#This Row],[Precio Final]]-STOCK[[#This Row],[Costo total]]</f>
        <v>4.64</v>
      </c>
      <c r="X596" s="77">
        <f>STOCK[[#This Row],[Ganancia Unitaria]]*STOCK[[#This Row],[Salidas]]</f>
        <v>4.64</v>
      </c>
      <c r="Y596" s="77" t="s">
        <v>1157</v>
      </c>
      <c r="AA596" s="77">
        <f>STOCK[[#This Row],[Costo total]]*STOCK[[#This Row],[Entradas]]</f>
        <v>15.36</v>
      </c>
      <c r="AB596" s="77">
        <f>STOCK[[#This Row],[Stock Actual]]*STOCK[[#This Row],[Costo total]]</f>
        <v>0</v>
      </c>
    </row>
    <row r="597" s="76" customFormat="1" ht="50" hidden="1" customHeight="1" spans="1:28">
      <c r="A597" s="76" t="s">
        <v>1206</v>
      </c>
      <c r="B597" s="6"/>
      <c r="C597" s="76" t="s">
        <v>30</v>
      </c>
      <c r="D597" s="76" t="s">
        <v>151</v>
      </c>
      <c r="E597" s="76" t="s">
        <v>1207</v>
      </c>
      <c r="F597" s="76" t="s">
        <v>60</v>
      </c>
      <c r="G597" s="76" t="s">
        <v>34</v>
      </c>
      <c r="H597" s="76">
        <f>STOCK[[#This Row],[Precio Final]]</f>
        <v>20</v>
      </c>
      <c r="I597" s="76">
        <f>STOCK[[#This Row],[Precio Venta Ideal (x1.5)]]</f>
        <v>23.04</v>
      </c>
      <c r="J597" s="91">
        <v>1</v>
      </c>
      <c r="K597" s="91">
        <f>SUMIFS(VENTAS[Cantidad],VENTAS[Código del producto Vendido],STOCK[[#This Row],[Code]])</f>
        <v>1</v>
      </c>
      <c r="L597" s="91">
        <f>STOCK[[#This Row],[Entradas]]-STOCK[[#This Row],[Salidas]]</f>
        <v>0</v>
      </c>
      <c r="M597" s="76">
        <f>STOCK[[#This Row],[Precio Final]]*10%</f>
        <v>2</v>
      </c>
      <c r="N597" s="76">
        <v>-12.06</v>
      </c>
      <c r="O597" s="76">
        <v>0</v>
      </c>
      <c r="P597" s="76">
        <v>10.36</v>
      </c>
      <c r="Q597" s="91">
        <v>0</v>
      </c>
      <c r="R597" s="76">
        <v>0</v>
      </c>
      <c r="S597" s="76">
        <v>3</v>
      </c>
      <c r="T597" s="76">
        <f>STOCK[[#This Row],[Costo Unitario (USD)]]+STOCK[[#This Row],[Costo Envío (USD)]]+STOCK[[#This Row],[Comisión 10%]]</f>
        <v>15.36</v>
      </c>
      <c r="U597" s="76">
        <f>STOCK[[#This Row],[Costo total]]*1.5</f>
        <v>23.04</v>
      </c>
      <c r="V597" s="76">
        <v>20</v>
      </c>
      <c r="W597" s="76">
        <f>STOCK[[#This Row],[Precio Final]]-STOCK[[#This Row],[Costo total]]</f>
        <v>4.64</v>
      </c>
      <c r="X597" s="76">
        <f>STOCK[[#This Row],[Ganancia Unitaria]]*STOCK[[#This Row],[Salidas]]</f>
        <v>4.64</v>
      </c>
      <c r="Y597" s="76" t="s">
        <v>1157</v>
      </c>
      <c r="AA597" s="76">
        <f>STOCK[[#This Row],[Costo total]]*STOCK[[#This Row],[Entradas]]</f>
        <v>15.36</v>
      </c>
      <c r="AB597" s="76">
        <f>STOCK[[#This Row],[Stock Actual]]*STOCK[[#This Row],[Costo total]]</f>
        <v>0</v>
      </c>
    </row>
    <row r="598" s="77" customFormat="1" ht="50" hidden="1" customHeight="1" spans="1:28">
      <c r="A598" s="77" t="s">
        <v>1208</v>
      </c>
      <c r="B598" s="6"/>
      <c r="C598" s="77" t="s">
        <v>30</v>
      </c>
      <c r="D598" s="77" t="s">
        <v>151</v>
      </c>
      <c r="E598" s="77" t="s">
        <v>1207</v>
      </c>
      <c r="F598" s="77" t="s">
        <v>60</v>
      </c>
      <c r="G598" s="77" t="s">
        <v>34</v>
      </c>
      <c r="H598" s="77">
        <f>STOCK[[#This Row],[Precio Final]]</f>
        <v>20</v>
      </c>
      <c r="I598" s="77">
        <f>STOCK[[#This Row],[Precio Venta Ideal (x1.5)]]</f>
        <v>23.04</v>
      </c>
      <c r="J598" s="92">
        <v>1</v>
      </c>
      <c r="K598" s="92">
        <f>SUMIFS(VENTAS[Cantidad],VENTAS[Código del producto Vendido],STOCK[[#This Row],[Code]])</f>
        <v>1</v>
      </c>
      <c r="L598" s="92">
        <f>STOCK[[#This Row],[Entradas]]-STOCK[[#This Row],[Salidas]]</f>
        <v>0</v>
      </c>
      <c r="M598" s="77">
        <f>STOCK[[#This Row],[Precio Final]]*10%</f>
        <v>2</v>
      </c>
      <c r="N598" s="77">
        <v>-12.06</v>
      </c>
      <c r="O598" s="77">
        <v>0</v>
      </c>
      <c r="P598" s="77">
        <v>10.36</v>
      </c>
      <c r="Q598" s="92">
        <v>0</v>
      </c>
      <c r="R598" s="77">
        <v>0</v>
      </c>
      <c r="S598" s="77">
        <v>3</v>
      </c>
      <c r="T598" s="76">
        <f>STOCK[[#This Row],[Costo Unitario (USD)]]+STOCK[[#This Row],[Costo Envío (USD)]]+STOCK[[#This Row],[Comisión 10%]]</f>
        <v>15.36</v>
      </c>
      <c r="U598" s="77">
        <f>STOCK[[#This Row],[Costo total]]*1.5</f>
        <v>23.04</v>
      </c>
      <c r="V598" s="77">
        <v>20</v>
      </c>
      <c r="W598" s="77">
        <f>STOCK[[#This Row],[Precio Final]]-STOCK[[#This Row],[Costo total]]</f>
        <v>4.64</v>
      </c>
      <c r="X598" s="77">
        <f>STOCK[[#This Row],[Ganancia Unitaria]]*STOCK[[#This Row],[Salidas]]</f>
        <v>4.64</v>
      </c>
      <c r="Y598" s="77" t="s">
        <v>1157</v>
      </c>
      <c r="AA598" s="77">
        <f>STOCK[[#This Row],[Costo total]]*STOCK[[#This Row],[Entradas]]</f>
        <v>15.36</v>
      </c>
      <c r="AB598" s="77">
        <f>STOCK[[#This Row],[Stock Actual]]*STOCK[[#This Row],[Costo total]]</f>
        <v>0</v>
      </c>
    </row>
    <row r="599" s="76" customFormat="1" ht="50" hidden="1" customHeight="1" spans="1:28">
      <c r="A599" s="76" t="s">
        <v>1209</v>
      </c>
      <c r="B599" s="6"/>
      <c r="C599" s="76" t="s">
        <v>30</v>
      </c>
      <c r="D599" s="76" t="s">
        <v>1210</v>
      </c>
      <c r="E599" s="76" t="s">
        <v>1211</v>
      </c>
      <c r="F599" s="76" t="s">
        <v>47</v>
      </c>
      <c r="G599" s="76" t="s">
        <v>34</v>
      </c>
      <c r="H599" s="76">
        <f>STOCK[[#This Row],[Precio Final]]</f>
        <v>18</v>
      </c>
      <c r="I599" s="76">
        <f>STOCK[[#This Row],[Precio Venta Ideal (x1.5)]]</f>
        <v>18.855</v>
      </c>
      <c r="J599" s="91">
        <v>3</v>
      </c>
      <c r="K599" s="91">
        <f>SUMIFS(VENTAS[Cantidad],VENTAS[Código del producto Vendido],STOCK[[#This Row],[Code]])</f>
        <v>3</v>
      </c>
      <c r="L599" s="91">
        <f>STOCK[[#This Row],[Entradas]]-STOCK[[#This Row],[Salidas]]</f>
        <v>0</v>
      </c>
      <c r="M599" s="76">
        <f>STOCK[[#This Row],[Precio Final]]*10%</f>
        <v>1.8</v>
      </c>
      <c r="N599" s="76">
        <v>0</v>
      </c>
      <c r="O599" s="76">
        <v>0</v>
      </c>
      <c r="P599" s="76">
        <v>7.77</v>
      </c>
      <c r="Q599" s="91">
        <v>0</v>
      </c>
      <c r="R599" s="76">
        <v>0</v>
      </c>
      <c r="S599" s="76">
        <v>3</v>
      </c>
      <c r="T599" s="76">
        <f>STOCK[[#This Row],[Costo Unitario (USD)]]+STOCK[[#This Row],[Costo Envío (USD)]]+STOCK[[#This Row],[Comisión 10%]]</f>
        <v>12.57</v>
      </c>
      <c r="U599" s="76">
        <f>STOCK[[#This Row],[Costo total]]*1.5</f>
        <v>18.855</v>
      </c>
      <c r="V599" s="76">
        <v>18</v>
      </c>
      <c r="W599" s="76">
        <f>STOCK[[#This Row],[Precio Final]]-STOCK[[#This Row],[Costo total]]</f>
        <v>5.43</v>
      </c>
      <c r="X599" s="76">
        <f>STOCK[[#This Row],[Ganancia Unitaria]]*STOCK[[#This Row],[Salidas]]</f>
        <v>16.29</v>
      </c>
      <c r="Y599" s="76" t="s">
        <v>1157</v>
      </c>
      <c r="AA599" s="76">
        <f>STOCK[[#This Row],[Costo total]]*STOCK[[#This Row],[Entradas]]</f>
        <v>37.71</v>
      </c>
      <c r="AB599" s="76">
        <f>STOCK[[#This Row],[Stock Actual]]*STOCK[[#This Row],[Costo total]]</f>
        <v>0</v>
      </c>
    </row>
    <row r="600" s="77" customFormat="1" ht="50" hidden="1" customHeight="1" spans="1:28">
      <c r="A600" s="77" t="s">
        <v>1212</v>
      </c>
      <c r="B600" s="6"/>
      <c r="C600" s="77" t="s">
        <v>30</v>
      </c>
      <c r="D600" s="77" t="s">
        <v>1210</v>
      </c>
      <c r="E600" s="77" t="s">
        <v>1211</v>
      </c>
      <c r="F600" s="77" t="s">
        <v>60</v>
      </c>
      <c r="G600" s="77" t="s">
        <v>34</v>
      </c>
      <c r="H600" s="77">
        <f>STOCK[[#This Row],[Precio Final]]</f>
        <v>18</v>
      </c>
      <c r="I600" s="77">
        <f>STOCK[[#This Row],[Precio Venta Ideal (x1.5)]]</f>
        <v>18.855</v>
      </c>
      <c r="J600" s="92">
        <v>1</v>
      </c>
      <c r="K600" s="92">
        <f>SUMIFS(VENTAS[Cantidad],VENTAS[Código del producto Vendido],STOCK[[#This Row],[Code]])</f>
        <v>1</v>
      </c>
      <c r="L600" s="92">
        <f>STOCK[[#This Row],[Entradas]]-STOCK[[#This Row],[Salidas]]</f>
        <v>0</v>
      </c>
      <c r="M600" s="77">
        <f>STOCK[[#This Row],[Precio Final]]*10%</f>
        <v>1.8</v>
      </c>
      <c r="N600" s="77">
        <v>0</v>
      </c>
      <c r="O600" s="77">
        <v>0</v>
      </c>
      <c r="P600" s="77">
        <v>7.77</v>
      </c>
      <c r="Q600" s="92">
        <v>0</v>
      </c>
      <c r="R600" s="77">
        <v>0</v>
      </c>
      <c r="S600" s="77">
        <v>3</v>
      </c>
      <c r="T600" s="76">
        <f>STOCK[[#This Row],[Costo Unitario (USD)]]+STOCK[[#This Row],[Costo Envío (USD)]]+STOCK[[#This Row],[Comisión 10%]]</f>
        <v>12.57</v>
      </c>
      <c r="U600" s="77">
        <f>STOCK[[#This Row],[Costo total]]*1.5</f>
        <v>18.855</v>
      </c>
      <c r="V600" s="77">
        <v>18</v>
      </c>
      <c r="W600" s="77">
        <f>STOCK[[#This Row],[Precio Final]]-STOCK[[#This Row],[Costo total]]</f>
        <v>5.43</v>
      </c>
      <c r="X600" s="77">
        <f>STOCK[[#This Row],[Ganancia Unitaria]]*STOCK[[#This Row],[Salidas]]</f>
        <v>5.43</v>
      </c>
      <c r="Y600" s="77" t="s">
        <v>1157</v>
      </c>
      <c r="AA600" s="77">
        <f>STOCK[[#This Row],[Costo total]]*STOCK[[#This Row],[Entradas]]</f>
        <v>12.57</v>
      </c>
      <c r="AB600" s="77">
        <f>STOCK[[#This Row],[Stock Actual]]*STOCK[[#This Row],[Costo total]]</f>
        <v>0</v>
      </c>
    </row>
    <row r="601" s="76" customFormat="1" ht="50" hidden="1" customHeight="1" spans="1:28">
      <c r="A601" s="76" t="s">
        <v>1213</v>
      </c>
      <c r="B601" s="6"/>
      <c r="C601" s="76" t="s">
        <v>30</v>
      </c>
      <c r="D601" s="76" t="s">
        <v>1073</v>
      </c>
      <c r="E601" s="76" t="s">
        <v>1176</v>
      </c>
      <c r="F601" s="76" t="s">
        <v>1214</v>
      </c>
      <c r="G601" s="76" t="s">
        <v>34</v>
      </c>
      <c r="H601" s="76">
        <f>STOCK[[#This Row],[Precio Final]]</f>
        <v>12</v>
      </c>
      <c r="I601" s="76">
        <f>STOCK[[#This Row],[Precio Venta Ideal (x1.5)]]</f>
        <v>16.965</v>
      </c>
      <c r="J601" s="91">
        <v>0</v>
      </c>
      <c r="K601" s="91">
        <f>SUMIFS(VENTAS[Cantidad],VENTAS[Código del producto Vendido],STOCK[[#This Row],[Code]])</f>
        <v>0</v>
      </c>
      <c r="L601" s="91">
        <f>STOCK[[#This Row],[Entradas]]-STOCK[[#This Row],[Salidas]]</f>
        <v>0</v>
      </c>
      <c r="M601" s="76">
        <f>STOCK[[#This Row],[Precio Final]]*10%</f>
        <v>1.2</v>
      </c>
      <c r="N601" s="76">
        <v>0</v>
      </c>
      <c r="O601" s="76">
        <v>0</v>
      </c>
      <c r="P601" s="76">
        <v>7.11</v>
      </c>
      <c r="Q601" s="91">
        <v>0</v>
      </c>
      <c r="R601" s="76">
        <v>0</v>
      </c>
      <c r="S601" s="76">
        <v>3</v>
      </c>
      <c r="T601" s="76">
        <f>STOCK[[#This Row],[Costo Unitario (USD)]]+STOCK[[#This Row],[Costo Envío (USD)]]+STOCK[[#This Row],[Comisión 10%]]</f>
        <v>11.31</v>
      </c>
      <c r="U601" s="76">
        <f>STOCK[[#This Row],[Costo total]]*1.5</f>
        <v>16.965</v>
      </c>
      <c r="V601" s="76">
        <v>12</v>
      </c>
      <c r="W601" s="76">
        <f>STOCK[[#This Row],[Precio Final]]-STOCK[[#This Row],[Costo total]]</f>
        <v>0.690000000000001</v>
      </c>
      <c r="X601" s="76">
        <f>STOCK[[#This Row],[Ganancia Unitaria]]*STOCK[[#This Row],[Salidas]]</f>
        <v>0</v>
      </c>
      <c r="Y601" s="76" t="s">
        <v>1157</v>
      </c>
      <c r="AA601" s="76">
        <f>STOCK[[#This Row],[Costo total]]*STOCK[[#This Row],[Entradas]]</f>
        <v>0</v>
      </c>
      <c r="AB601" s="76">
        <f>STOCK[[#This Row],[Stock Actual]]*STOCK[[#This Row],[Costo total]]</f>
        <v>0</v>
      </c>
    </row>
    <row r="602" s="77" customFormat="1" ht="50" hidden="1" customHeight="1" spans="1:28">
      <c r="A602" s="77" t="s">
        <v>1215</v>
      </c>
      <c r="B602" s="6"/>
      <c r="C602" s="77" t="s">
        <v>30</v>
      </c>
      <c r="D602" s="77" t="s">
        <v>1073</v>
      </c>
      <c r="E602" s="77" t="s">
        <v>1176</v>
      </c>
      <c r="F602" s="77" t="s">
        <v>44</v>
      </c>
      <c r="G602" s="77" t="s">
        <v>34</v>
      </c>
      <c r="H602" s="77">
        <f>STOCK[[#This Row],[Precio Final]]</f>
        <v>12</v>
      </c>
      <c r="I602" s="77">
        <f>STOCK[[#This Row],[Precio Venta Ideal (x1.5)]]</f>
        <v>17.325</v>
      </c>
      <c r="J602" s="92">
        <v>0</v>
      </c>
      <c r="K602" s="92">
        <f>SUMIFS(VENTAS[Cantidad],VENTAS[Código del producto Vendido],STOCK[[#This Row],[Code]])</f>
        <v>0</v>
      </c>
      <c r="L602" s="92">
        <f>STOCK[[#This Row],[Entradas]]-STOCK[[#This Row],[Salidas]]</f>
        <v>0</v>
      </c>
      <c r="M602" s="77">
        <f>STOCK[[#This Row],[Precio Final]]*10%</f>
        <v>1.2</v>
      </c>
      <c r="N602" s="77">
        <v>0</v>
      </c>
      <c r="O602" s="77">
        <v>0</v>
      </c>
      <c r="P602" s="77">
        <v>7.35</v>
      </c>
      <c r="Q602" s="92">
        <v>0</v>
      </c>
      <c r="R602" s="77">
        <v>0</v>
      </c>
      <c r="S602" s="77">
        <v>3</v>
      </c>
      <c r="T602" s="76">
        <f>STOCK[[#This Row],[Costo Unitario (USD)]]+STOCK[[#This Row],[Costo Envío (USD)]]+STOCK[[#This Row],[Comisión 10%]]</f>
        <v>11.55</v>
      </c>
      <c r="U602" s="77">
        <f>STOCK[[#This Row],[Costo total]]*1.5</f>
        <v>17.325</v>
      </c>
      <c r="V602" s="77">
        <v>12</v>
      </c>
      <c r="W602" s="77">
        <f>STOCK[[#This Row],[Precio Final]]-STOCK[[#This Row],[Costo total]]</f>
        <v>0.449999999999999</v>
      </c>
      <c r="X602" s="77">
        <f>STOCK[[#This Row],[Ganancia Unitaria]]*STOCK[[#This Row],[Salidas]]</f>
        <v>0</v>
      </c>
      <c r="Y602" s="77" t="s">
        <v>1157</v>
      </c>
      <c r="AA602" s="77">
        <f>STOCK[[#This Row],[Costo total]]*STOCK[[#This Row],[Entradas]]</f>
        <v>0</v>
      </c>
      <c r="AB602" s="77">
        <f>STOCK[[#This Row],[Stock Actual]]*STOCK[[#This Row],[Costo total]]</f>
        <v>0</v>
      </c>
    </row>
    <row r="603" s="76" customFormat="1" ht="50" hidden="1" customHeight="1" spans="1:28">
      <c r="A603" s="76" t="s">
        <v>1216</v>
      </c>
      <c r="B603" s="6"/>
      <c r="C603" s="76" t="s">
        <v>30</v>
      </c>
      <c r="D603" s="76" t="s">
        <v>1188</v>
      </c>
      <c r="E603" s="76" t="s">
        <v>1156</v>
      </c>
      <c r="F603" s="76" t="s">
        <v>210</v>
      </c>
      <c r="G603" s="76" t="s">
        <v>34</v>
      </c>
      <c r="H603" s="76">
        <f>STOCK[[#This Row],[Precio Final]]</f>
        <v>13</v>
      </c>
      <c r="I603" s="76">
        <f>STOCK[[#This Row],[Precio Venta Ideal (x1.5)]]</f>
        <v>14.745</v>
      </c>
      <c r="J603" s="91">
        <v>2</v>
      </c>
      <c r="K603" s="91">
        <f>SUMIFS(VENTAS[Cantidad],VENTAS[Código del producto Vendido],STOCK[[#This Row],[Code]])</f>
        <v>2</v>
      </c>
      <c r="L603" s="91">
        <f>STOCK[[#This Row],[Entradas]]-STOCK[[#This Row],[Salidas]]</f>
        <v>0</v>
      </c>
      <c r="M603" s="76">
        <f>STOCK[[#This Row],[Precio Final]]*10%</f>
        <v>1.3</v>
      </c>
      <c r="N603" s="76">
        <v>5.75</v>
      </c>
      <c r="O603" s="76">
        <v>0</v>
      </c>
      <c r="P603" s="76">
        <v>6.53</v>
      </c>
      <c r="Q603" s="91">
        <v>0</v>
      </c>
      <c r="R603" s="76">
        <v>0</v>
      </c>
      <c r="S603" s="76">
        <v>2</v>
      </c>
      <c r="T603" s="76">
        <f>STOCK[[#This Row],[Costo Unitario (USD)]]+STOCK[[#This Row],[Costo Envío (USD)]]+STOCK[[#This Row],[Comisión 10%]]</f>
        <v>9.83</v>
      </c>
      <c r="U603" s="76">
        <f>STOCK[[#This Row],[Costo total]]*1.5</f>
        <v>14.745</v>
      </c>
      <c r="V603" s="76">
        <v>13</v>
      </c>
      <c r="W603" s="76">
        <f>STOCK[[#This Row],[Precio Final]]-STOCK[[#This Row],[Costo total]]</f>
        <v>3.17</v>
      </c>
      <c r="X603" s="76">
        <f>STOCK[[#This Row],[Ganancia Unitaria]]*STOCK[[#This Row],[Salidas]]</f>
        <v>6.34</v>
      </c>
      <c r="Y603" s="76" t="s">
        <v>1157</v>
      </c>
      <c r="AA603" s="76">
        <f>STOCK[[#This Row],[Costo total]]*STOCK[[#This Row],[Entradas]]</f>
        <v>19.66</v>
      </c>
      <c r="AB603" s="76">
        <f>STOCK[[#This Row],[Stock Actual]]*STOCK[[#This Row],[Costo total]]</f>
        <v>0</v>
      </c>
    </row>
    <row r="604" s="77" customFormat="1" ht="50" hidden="1" customHeight="1" spans="1:28">
      <c r="A604" s="77" t="s">
        <v>1217</v>
      </c>
      <c r="B604" s="6"/>
      <c r="C604" s="77" t="s">
        <v>30</v>
      </c>
      <c r="D604" s="77" t="s">
        <v>1073</v>
      </c>
      <c r="E604" s="77" t="s">
        <v>1218</v>
      </c>
      <c r="G604" s="77" t="s">
        <v>34</v>
      </c>
      <c r="H604" s="77">
        <f>STOCK[[#This Row],[Precio Final]]</f>
        <v>13</v>
      </c>
      <c r="I604" s="77">
        <f>STOCK[[#This Row],[Precio Venta Ideal (x1.5)]]</f>
        <v>14.745</v>
      </c>
      <c r="J604" s="92">
        <v>0</v>
      </c>
      <c r="K604" s="92">
        <f>SUMIFS(VENTAS[Cantidad],VENTAS[Código del producto Vendido],STOCK[[#This Row],[Code]])</f>
        <v>0</v>
      </c>
      <c r="L604" s="92">
        <f>STOCK[[#This Row],[Entradas]]-STOCK[[#This Row],[Salidas]]</f>
        <v>0</v>
      </c>
      <c r="M604" s="77">
        <f>STOCK[[#This Row],[Precio Final]]*10%</f>
        <v>1.3</v>
      </c>
      <c r="N604" s="77">
        <v>0</v>
      </c>
      <c r="O604" s="77">
        <v>0</v>
      </c>
      <c r="P604" s="77">
        <v>6.53</v>
      </c>
      <c r="Q604" s="92">
        <v>0</v>
      </c>
      <c r="R604" s="77">
        <v>0</v>
      </c>
      <c r="S604" s="77">
        <v>2</v>
      </c>
      <c r="T604" s="76">
        <f>STOCK[[#This Row],[Costo Unitario (USD)]]+STOCK[[#This Row],[Costo Envío (USD)]]+STOCK[[#This Row],[Comisión 10%]]</f>
        <v>9.83</v>
      </c>
      <c r="U604" s="77">
        <f>STOCK[[#This Row],[Costo total]]*1.5</f>
        <v>14.745</v>
      </c>
      <c r="V604" s="77">
        <v>13</v>
      </c>
      <c r="W604" s="77">
        <f>STOCK[[#This Row],[Precio Final]]-STOCK[[#This Row],[Costo total]]</f>
        <v>3.17</v>
      </c>
      <c r="X604" s="77">
        <f>STOCK[[#This Row],[Ganancia Unitaria]]*STOCK[[#This Row],[Salidas]]</f>
        <v>0</v>
      </c>
      <c r="Y604" s="77" t="s">
        <v>1157</v>
      </c>
      <c r="AA604" s="77">
        <f>STOCK[[#This Row],[Costo total]]*STOCK[[#This Row],[Entradas]]</f>
        <v>0</v>
      </c>
      <c r="AB604" s="77">
        <f>STOCK[[#This Row],[Stock Actual]]*STOCK[[#This Row],[Costo total]]</f>
        <v>0</v>
      </c>
    </row>
    <row r="605" s="76" customFormat="1" ht="50" hidden="1" customHeight="1" spans="1:28">
      <c r="A605" s="76" t="s">
        <v>1219</v>
      </c>
      <c r="B605" s="6"/>
      <c r="C605" s="76" t="s">
        <v>30</v>
      </c>
      <c r="D605" s="76" t="s">
        <v>1073</v>
      </c>
      <c r="E605" s="76" t="s">
        <v>1220</v>
      </c>
      <c r="G605" s="76" t="s">
        <v>34</v>
      </c>
      <c r="H605" s="76">
        <f>STOCK[[#This Row],[Precio Final]]</f>
        <v>0</v>
      </c>
      <c r="I605" s="76">
        <f>STOCK[[#This Row],[Precio Venta Ideal (x1.5)]]</f>
        <v>0</v>
      </c>
      <c r="J605" s="91">
        <v>0</v>
      </c>
      <c r="K605" s="91">
        <f>SUMIFS(VENTAS[Cantidad],VENTAS[Código del producto Vendido],STOCK[[#This Row],[Code]])</f>
        <v>0</v>
      </c>
      <c r="L605" s="91">
        <f>STOCK[[#This Row],[Entradas]]-STOCK[[#This Row],[Salidas]]</f>
        <v>0</v>
      </c>
      <c r="M605" s="76">
        <f>STOCK[[#This Row],[Precio Final]]*10%</f>
        <v>0</v>
      </c>
      <c r="N605" s="76">
        <v>0</v>
      </c>
      <c r="O605" s="76">
        <v>0</v>
      </c>
      <c r="P605" s="76">
        <v>0</v>
      </c>
      <c r="Q605" s="91">
        <v>0</v>
      </c>
      <c r="R605" s="76">
        <v>0</v>
      </c>
      <c r="S605" s="76">
        <v>0</v>
      </c>
      <c r="T605" s="76">
        <f>STOCK[[#This Row],[Costo Unitario (USD)]]+STOCK[[#This Row],[Costo Envío (USD)]]+STOCK[[#This Row],[Comisión 10%]]</f>
        <v>0</v>
      </c>
      <c r="U605" s="76">
        <f>STOCK[[#This Row],[Costo total]]*1.5</f>
        <v>0</v>
      </c>
      <c r="V605" s="76">
        <v>0</v>
      </c>
      <c r="W605" s="76">
        <f>STOCK[[#This Row],[Precio Final]]-STOCK[[#This Row],[Costo total]]</f>
        <v>0</v>
      </c>
      <c r="X605" s="76">
        <f>STOCK[[#This Row],[Ganancia Unitaria]]*STOCK[[#This Row],[Salidas]]</f>
        <v>0</v>
      </c>
      <c r="Y605" s="76" t="s">
        <v>1157</v>
      </c>
      <c r="AA605" s="76">
        <f>STOCK[[#This Row],[Costo total]]*STOCK[[#This Row],[Entradas]]</f>
        <v>0</v>
      </c>
      <c r="AB605" s="76">
        <f>STOCK[[#This Row],[Stock Actual]]*STOCK[[#This Row],[Costo total]]</f>
        <v>0</v>
      </c>
    </row>
    <row r="606" s="77" customFormat="1" ht="50" hidden="1" customHeight="1" spans="1:28">
      <c r="A606" s="77" t="s">
        <v>1221</v>
      </c>
      <c r="B606" s="6"/>
      <c r="C606" s="77" t="s">
        <v>30</v>
      </c>
      <c r="D606" s="77" t="s">
        <v>1073</v>
      </c>
      <c r="E606" s="77" t="s">
        <v>1222</v>
      </c>
      <c r="G606" s="77" t="s">
        <v>34</v>
      </c>
      <c r="H606" s="77">
        <f>STOCK[[#This Row],[Precio Final]]</f>
        <v>0</v>
      </c>
      <c r="I606" s="77">
        <f>STOCK[[#This Row],[Precio Venta Ideal (x1.5)]]</f>
        <v>0</v>
      </c>
      <c r="J606" s="92">
        <v>0</v>
      </c>
      <c r="K606" s="92">
        <f>SUMIFS(VENTAS[Cantidad],VENTAS[Código del producto Vendido],STOCK[[#This Row],[Code]])</f>
        <v>0</v>
      </c>
      <c r="L606" s="92">
        <f>STOCK[[#This Row],[Entradas]]-STOCK[[#This Row],[Salidas]]</f>
        <v>0</v>
      </c>
      <c r="M606" s="77">
        <f>STOCK[[#This Row],[Precio Final]]*10%</f>
        <v>0</v>
      </c>
      <c r="N606" s="77">
        <v>0</v>
      </c>
      <c r="O606" s="77">
        <v>0</v>
      </c>
      <c r="P606" s="77">
        <v>0</v>
      </c>
      <c r="Q606" s="92">
        <v>0</v>
      </c>
      <c r="R606" s="77">
        <v>0</v>
      </c>
      <c r="S606" s="77">
        <v>0</v>
      </c>
      <c r="T606" s="76">
        <f>STOCK[[#This Row],[Costo Unitario (USD)]]+STOCK[[#This Row],[Costo Envío (USD)]]+STOCK[[#This Row],[Comisión 10%]]</f>
        <v>0</v>
      </c>
      <c r="U606" s="77">
        <f>STOCK[[#This Row],[Costo total]]*1.5</f>
        <v>0</v>
      </c>
      <c r="V606" s="77">
        <v>0</v>
      </c>
      <c r="W606" s="77">
        <f>STOCK[[#This Row],[Precio Final]]-STOCK[[#This Row],[Costo total]]</f>
        <v>0</v>
      </c>
      <c r="X606" s="77">
        <f>STOCK[[#This Row],[Ganancia Unitaria]]*STOCK[[#This Row],[Salidas]]</f>
        <v>0</v>
      </c>
      <c r="Y606" s="77" t="s">
        <v>1157</v>
      </c>
      <c r="AA606" s="77">
        <f>STOCK[[#This Row],[Costo total]]*STOCK[[#This Row],[Entradas]]</f>
        <v>0</v>
      </c>
      <c r="AB606" s="77">
        <f>STOCK[[#This Row],[Stock Actual]]*STOCK[[#This Row],[Costo total]]</f>
        <v>0</v>
      </c>
    </row>
    <row r="607" s="76" customFormat="1" ht="50" hidden="1" customHeight="1" spans="1:28">
      <c r="A607" s="76" t="s">
        <v>1223</v>
      </c>
      <c r="B607" s="6"/>
      <c r="C607" s="76" t="s">
        <v>30</v>
      </c>
      <c r="D607" s="76" t="s">
        <v>1224</v>
      </c>
      <c r="E607" s="76" t="s">
        <v>1225</v>
      </c>
      <c r="F607" s="76" t="s">
        <v>1226</v>
      </c>
      <c r="G607" s="76" t="s">
        <v>34</v>
      </c>
      <c r="H607" s="76">
        <f>STOCK[[#This Row],[Precio Final]]</f>
        <v>55</v>
      </c>
      <c r="I607" s="76">
        <f>STOCK[[#This Row],[Precio Venta Ideal (x1.5)]]</f>
        <v>70.995</v>
      </c>
      <c r="J607" s="91">
        <v>1</v>
      </c>
      <c r="K607" s="91">
        <f>SUMIFS(VENTAS[Cantidad],VENTAS[Código del producto Vendido],STOCK[[#This Row],[Code]])</f>
        <v>1</v>
      </c>
      <c r="L607" s="91">
        <f>STOCK[[#This Row],[Entradas]]-STOCK[[#This Row],[Salidas]]</f>
        <v>0</v>
      </c>
      <c r="M607" s="76">
        <f>STOCK[[#This Row],[Precio Final]]*10%</f>
        <v>5.5</v>
      </c>
      <c r="N607" s="76">
        <v>0</v>
      </c>
      <c r="O607" s="76">
        <v>0</v>
      </c>
      <c r="P607" s="76">
        <v>31.83</v>
      </c>
      <c r="Q607" s="91">
        <v>0</v>
      </c>
      <c r="R607" s="76">
        <v>0</v>
      </c>
      <c r="S607" s="76">
        <v>10</v>
      </c>
      <c r="T607" s="76">
        <f>STOCK[[#This Row],[Costo Unitario (USD)]]+STOCK[[#This Row],[Costo Envío (USD)]]+STOCK[[#This Row],[Comisión 10%]]</f>
        <v>47.33</v>
      </c>
      <c r="U607" s="76">
        <f>STOCK[[#This Row],[Costo total]]*1.5</f>
        <v>70.995</v>
      </c>
      <c r="V607" s="76">
        <v>55</v>
      </c>
      <c r="W607" s="76">
        <f>STOCK[[#This Row],[Precio Final]]-STOCK[[#This Row],[Costo total]]</f>
        <v>7.67</v>
      </c>
      <c r="X607" s="76">
        <f>STOCK[[#This Row],[Ganancia Unitaria]]*STOCK[[#This Row],[Salidas]]</f>
        <v>7.67</v>
      </c>
      <c r="Y607" s="76" t="s">
        <v>1157</v>
      </c>
      <c r="AA607" s="76">
        <f>STOCK[[#This Row],[Costo total]]*STOCK[[#This Row],[Entradas]]</f>
        <v>47.33</v>
      </c>
      <c r="AB607" s="76">
        <f>STOCK[[#This Row],[Stock Actual]]*STOCK[[#This Row],[Costo total]]</f>
        <v>0</v>
      </c>
    </row>
    <row r="608" s="77" customFormat="1" ht="50" hidden="1" customHeight="1" spans="1:28">
      <c r="A608" s="77" t="s">
        <v>1227</v>
      </c>
      <c r="B608" s="6"/>
      <c r="C608" s="77" t="s">
        <v>30</v>
      </c>
      <c r="D608" s="77" t="s">
        <v>1073</v>
      </c>
      <c r="E608" s="77" t="s">
        <v>1228</v>
      </c>
      <c r="G608" s="77" t="s">
        <v>34</v>
      </c>
      <c r="H608" s="77">
        <f>STOCK[[#This Row],[Precio Final]]</f>
        <v>0</v>
      </c>
      <c r="I608" s="77">
        <f>STOCK[[#This Row],[Precio Venta Ideal (x1.5)]]</f>
        <v>0</v>
      </c>
      <c r="J608" s="92">
        <v>0</v>
      </c>
      <c r="K608" s="92">
        <f>SUMIFS(VENTAS[Cantidad],VENTAS[Código del producto Vendido],STOCK[[#This Row],[Code]])</f>
        <v>0</v>
      </c>
      <c r="L608" s="92">
        <f>STOCK[[#This Row],[Entradas]]-STOCK[[#This Row],[Salidas]]</f>
        <v>0</v>
      </c>
      <c r="M608" s="77">
        <f>STOCK[[#This Row],[Precio Final]]*10%</f>
        <v>0</v>
      </c>
      <c r="N608" s="77">
        <v>0</v>
      </c>
      <c r="O608" s="77">
        <v>0</v>
      </c>
      <c r="P608" s="77">
        <v>0</v>
      </c>
      <c r="Q608" s="92">
        <v>0</v>
      </c>
      <c r="R608" s="77">
        <v>0</v>
      </c>
      <c r="S608" s="77">
        <v>0</v>
      </c>
      <c r="T608" s="76">
        <f>STOCK[[#This Row],[Costo Unitario (USD)]]+STOCK[[#This Row],[Costo Envío (USD)]]+STOCK[[#This Row],[Comisión 10%]]</f>
        <v>0</v>
      </c>
      <c r="U608" s="77">
        <f>STOCK[[#This Row],[Costo total]]*1.5</f>
        <v>0</v>
      </c>
      <c r="V608" s="77">
        <v>0</v>
      </c>
      <c r="W608" s="77">
        <f>STOCK[[#This Row],[Precio Final]]-STOCK[[#This Row],[Costo total]]</f>
        <v>0</v>
      </c>
      <c r="X608" s="77">
        <f>STOCK[[#This Row],[Ganancia Unitaria]]*STOCK[[#This Row],[Salidas]]</f>
        <v>0</v>
      </c>
      <c r="Y608" s="77" t="s">
        <v>1157</v>
      </c>
      <c r="AA608" s="77">
        <f>STOCK[[#This Row],[Costo total]]*STOCK[[#This Row],[Entradas]]</f>
        <v>0</v>
      </c>
      <c r="AB608" s="77">
        <f>STOCK[[#This Row],[Stock Actual]]*STOCK[[#This Row],[Costo total]]</f>
        <v>0</v>
      </c>
    </row>
    <row r="609" s="76" customFormat="1" ht="50" hidden="1" customHeight="1" spans="1:28">
      <c r="A609" s="76" t="s">
        <v>1229</v>
      </c>
      <c r="B609" s="6"/>
      <c r="C609" s="76" t="s">
        <v>30</v>
      </c>
      <c r="E609" s="76" t="s">
        <v>1230</v>
      </c>
      <c r="F609" s="76" t="s">
        <v>1045</v>
      </c>
      <c r="G609" s="76" t="s">
        <v>34</v>
      </c>
      <c r="H609" s="76">
        <f>STOCK[[#This Row],[Precio Final]]</f>
        <v>0</v>
      </c>
      <c r="I609" s="76">
        <f>STOCK[[#This Row],[Precio Venta Ideal (x1.5)]]</f>
        <v>0</v>
      </c>
      <c r="J609" s="91">
        <v>0</v>
      </c>
      <c r="K609" s="91">
        <f>SUMIFS(VENTAS[Cantidad],VENTAS[Código del producto Vendido],STOCK[[#This Row],[Code]])</f>
        <v>0</v>
      </c>
      <c r="L609" s="91">
        <f>STOCK[[#This Row],[Entradas]]-STOCK[[#This Row],[Salidas]]</f>
        <v>0</v>
      </c>
      <c r="M609" s="76">
        <f>STOCK[[#This Row],[Precio Final]]*10%</f>
        <v>0</v>
      </c>
      <c r="N609" s="76">
        <v>0</v>
      </c>
      <c r="O609" s="76">
        <v>0</v>
      </c>
      <c r="P609" s="76">
        <v>0</v>
      </c>
      <c r="Q609" s="91">
        <v>0</v>
      </c>
      <c r="R609" s="76">
        <v>0</v>
      </c>
      <c r="S609" s="76">
        <v>0</v>
      </c>
      <c r="T609" s="76">
        <f>STOCK[[#This Row],[Costo Unitario (USD)]]+STOCK[[#This Row],[Costo Envío (USD)]]+STOCK[[#This Row],[Comisión 10%]]</f>
        <v>0</v>
      </c>
      <c r="U609" s="76">
        <f>STOCK[[#This Row],[Costo total]]*1.5</f>
        <v>0</v>
      </c>
      <c r="V609" s="76">
        <v>0</v>
      </c>
      <c r="W609" s="76">
        <f>STOCK[[#This Row],[Precio Final]]-STOCK[[#This Row],[Costo total]]</f>
        <v>0</v>
      </c>
      <c r="X609" s="76">
        <f>STOCK[[#This Row],[Ganancia Unitaria]]*STOCK[[#This Row],[Salidas]]</f>
        <v>0</v>
      </c>
      <c r="Y609" s="76" t="s">
        <v>1157</v>
      </c>
      <c r="AA609" s="76">
        <f>STOCK[[#This Row],[Costo total]]*STOCK[[#This Row],[Entradas]]</f>
        <v>0</v>
      </c>
      <c r="AB609" s="76">
        <f>STOCK[[#This Row],[Stock Actual]]*STOCK[[#This Row],[Costo total]]</f>
        <v>0</v>
      </c>
    </row>
    <row r="610" s="77" customFormat="1" ht="50" hidden="1" customHeight="1" spans="1:28">
      <c r="A610" s="77" t="s">
        <v>1231</v>
      </c>
      <c r="B610" s="6"/>
      <c r="C610" s="77" t="s">
        <v>30</v>
      </c>
      <c r="D610" s="77" t="s">
        <v>151</v>
      </c>
      <c r="E610" s="77" t="s">
        <v>1232</v>
      </c>
      <c r="F610" s="77" t="s">
        <v>210</v>
      </c>
      <c r="G610" s="77" t="s">
        <v>34</v>
      </c>
      <c r="H610" s="77">
        <f>STOCK[[#This Row],[Precio Final]]</f>
        <v>22</v>
      </c>
      <c r="I610" s="77">
        <f>STOCK[[#This Row],[Precio Venta Ideal (x1.5)]]</f>
        <v>24.855</v>
      </c>
      <c r="J610" s="92">
        <v>4</v>
      </c>
      <c r="K610" s="92">
        <f>SUMIFS(VENTAS[Cantidad],VENTAS[Código del producto Vendido],STOCK[[#This Row],[Code]])</f>
        <v>4</v>
      </c>
      <c r="L610" s="92">
        <f>STOCK[[#This Row],[Entradas]]-STOCK[[#This Row],[Salidas]]</f>
        <v>0</v>
      </c>
      <c r="M610" s="77">
        <f>STOCK[[#This Row],[Precio Final]]*10%</f>
        <v>2.2</v>
      </c>
      <c r="N610" s="77">
        <v>-27.89</v>
      </c>
      <c r="O610" s="77">
        <v>13.94</v>
      </c>
      <c r="P610" s="77">
        <v>11.37</v>
      </c>
      <c r="Q610" s="92">
        <v>0</v>
      </c>
      <c r="R610" s="77">
        <v>0</v>
      </c>
      <c r="S610" s="77">
        <v>3</v>
      </c>
      <c r="T610" s="76">
        <f>STOCK[[#This Row],[Costo Unitario (USD)]]+STOCK[[#This Row],[Costo Envío (USD)]]+STOCK[[#This Row],[Comisión 10%]]</f>
        <v>16.57</v>
      </c>
      <c r="U610" s="77">
        <f>STOCK[[#This Row],[Costo total]]*1.5</f>
        <v>24.855</v>
      </c>
      <c r="V610" s="77">
        <v>22</v>
      </c>
      <c r="W610" s="77">
        <f>STOCK[[#This Row],[Precio Final]]-STOCK[[#This Row],[Costo total]]</f>
        <v>5.43</v>
      </c>
      <c r="X610" s="77">
        <f>STOCK[[#This Row],[Ganancia Unitaria]]*STOCK[[#This Row],[Salidas]]</f>
        <v>21.72</v>
      </c>
      <c r="Y610" s="77" t="s">
        <v>1157</v>
      </c>
      <c r="AA610" s="77">
        <f>STOCK[[#This Row],[Costo total]]*STOCK[[#This Row],[Entradas]]</f>
        <v>66.28</v>
      </c>
      <c r="AB610" s="77">
        <f>STOCK[[#This Row],[Stock Actual]]*STOCK[[#This Row],[Costo total]]</f>
        <v>0</v>
      </c>
    </row>
    <row r="611" s="76" customFormat="1" ht="50" hidden="1" customHeight="1" spans="1:28">
      <c r="A611" s="76" t="s">
        <v>1233</v>
      </c>
      <c r="B611" s="6"/>
      <c r="C611" s="76" t="s">
        <v>30</v>
      </c>
      <c r="D611" s="76" t="s">
        <v>151</v>
      </c>
      <c r="E611" s="76" t="s">
        <v>1234</v>
      </c>
      <c r="F611" s="76" t="s">
        <v>44</v>
      </c>
      <c r="G611" s="76" t="s">
        <v>34</v>
      </c>
      <c r="H611" s="76">
        <f>STOCK[[#This Row],[Precio Final]]</f>
        <v>22</v>
      </c>
      <c r="I611" s="76">
        <f>STOCK[[#This Row],[Precio Venta Ideal (x1.5)]]</f>
        <v>24.855</v>
      </c>
      <c r="J611" s="91">
        <v>3</v>
      </c>
      <c r="K611" s="91">
        <f>SUMIFS(VENTAS[Cantidad],VENTAS[Código del producto Vendido],STOCK[[#This Row],[Code]])</f>
        <v>3</v>
      </c>
      <c r="L611" s="91">
        <f>STOCK[[#This Row],[Entradas]]-STOCK[[#This Row],[Salidas]]</f>
        <v>0</v>
      </c>
      <c r="M611" s="76">
        <f>STOCK[[#This Row],[Precio Final]]*10%</f>
        <v>2.2</v>
      </c>
      <c r="N611" s="76">
        <v>0</v>
      </c>
      <c r="O611" s="76">
        <v>41.83</v>
      </c>
      <c r="P611" s="76">
        <v>11.37</v>
      </c>
      <c r="Q611" s="91">
        <v>0</v>
      </c>
      <c r="R611" s="76">
        <v>0</v>
      </c>
      <c r="S611" s="76">
        <v>3</v>
      </c>
      <c r="T611" s="76">
        <f>STOCK[[#This Row],[Costo Unitario (USD)]]+STOCK[[#This Row],[Costo Envío (USD)]]+STOCK[[#This Row],[Comisión 10%]]</f>
        <v>16.57</v>
      </c>
      <c r="U611" s="76">
        <f>STOCK[[#This Row],[Costo total]]*1.5</f>
        <v>24.855</v>
      </c>
      <c r="V611" s="76">
        <v>22</v>
      </c>
      <c r="W611" s="76">
        <f>STOCK[[#This Row],[Precio Final]]-STOCK[[#This Row],[Costo total]]</f>
        <v>5.43</v>
      </c>
      <c r="X611" s="76">
        <f>STOCK[[#This Row],[Ganancia Unitaria]]*STOCK[[#This Row],[Salidas]]</f>
        <v>16.29</v>
      </c>
      <c r="Y611" s="76" t="s">
        <v>1157</v>
      </c>
      <c r="AA611" s="76">
        <f>STOCK[[#This Row],[Costo total]]*STOCK[[#This Row],[Entradas]]</f>
        <v>49.71</v>
      </c>
      <c r="AB611" s="76">
        <f>STOCK[[#This Row],[Stock Actual]]*STOCK[[#This Row],[Costo total]]</f>
        <v>0</v>
      </c>
    </row>
    <row r="612" s="77" customFormat="1" ht="50" hidden="1" customHeight="1" spans="1:28">
      <c r="A612" s="77" t="s">
        <v>1235</v>
      </c>
      <c r="B612" s="6"/>
      <c r="C612" s="77" t="s">
        <v>30</v>
      </c>
      <c r="D612" s="77" t="s">
        <v>1236</v>
      </c>
      <c r="E612" s="77" t="s">
        <v>1237</v>
      </c>
      <c r="F612" s="77" t="s">
        <v>1238</v>
      </c>
      <c r="G612" s="77" t="s">
        <v>34</v>
      </c>
      <c r="H612" s="77">
        <f>STOCK[[#This Row],[Precio Final]]</f>
        <v>10</v>
      </c>
      <c r="I612" s="77">
        <f>STOCK[[#This Row],[Precio Venta Ideal (x1.5)]]</f>
        <v>9.255</v>
      </c>
      <c r="J612" s="92">
        <v>3</v>
      </c>
      <c r="K612" s="92">
        <f>SUMIFS(VENTAS[Cantidad],VENTAS[Código del producto Vendido],STOCK[[#This Row],[Code]])</f>
        <v>3</v>
      </c>
      <c r="L612" s="92">
        <f>STOCK[[#This Row],[Entradas]]-STOCK[[#This Row],[Salidas]]</f>
        <v>0</v>
      </c>
      <c r="M612" s="77">
        <f>STOCK[[#This Row],[Precio Final]]*10%</f>
        <v>1</v>
      </c>
      <c r="N612" s="77">
        <v>-5.88</v>
      </c>
      <c r="O612" s="77">
        <v>11.76</v>
      </c>
      <c r="P612" s="77">
        <v>4.17</v>
      </c>
      <c r="Q612" s="92">
        <v>0</v>
      </c>
      <c r="R612" s="77">
        <v>0</v>
      </c>
      <c r="S612" s="77">
        <v>1</v>
      </c>
      <c r="T612" s="76">
        <f>STOCK[[#This Row],[Costo Unitario (USD)]]+STOCK[[#This Row],[Costo Envío (USD)]]+STOCK[[#This Row],[Comisión 10%]]</f>
        <v>6.17</v>
      </c>
      <c r="U612" s="77">
        <f>STOCK[[#This Row],[Costo total]]*1.5</f>
        <v>9.255</v>
      </c>
      <c r="V612" s="77">
        <v>10</v>
      </c>
      <c r="W612" s="77">
        <f>STOCK[[#This Row],[Precio Final]]-STOCK[[#This Row],[Costo total]]</f>
        <v>3.83</v>
      </c>
      <c r="X612" s="77">
        <f>STOCK[[#This Row],[Ganancia Unitaria]]*STOCK[[#This Row],[Salidas]]</f>
        <v>11.49</v>
      </c>
      <c r="Y612" s="77" t="s">
        <v>1157</v>
      </c>
      <c r="AA612" s="77">
        <f>STOCK[[#This Row],[Costo total]]*STOCK[[#This Row],[Entradas]]</f>
        <v>18.51</v>
      </c>
      <c r="AB612" s="77">
        <f>STOCK[[#This Row],[Stock Actual]]*STOCK[[#This Row],[Costo total]]</f>
        <v>0</v>
      </c>
    </row>
    <row r="613" s="76" customFormat="1" ht="50" hidden="1" customHeight="1" spans="1:28">
      <c r="A613" s="76" t="s">
        <v>1239</v>
      </c>
      <c r="B613" s="6"/>
      <c r="C613" s="76" t="s">
        <v>30</v>
      </c>
      <c r="D613" s="76" t="s">
        <v>350</v>
      </c>
      <c r="E613" s="76" t="s">
        <v>1240</v>
      </c>
      <c r="F613" s="76" t="s">
        <v>524</v>
      </c>
      <c r="G613" s="76" t="s">
        <v>34</v>
      </c>
      <c r="H613" s="76">
        <f>STOCK[[#This Row],[Precio Final]]</f>
        <v>12</v>
      </c>
      <c r="I613" s="76">
        <f>STOCK[[#This Row],[Precio Venta Ideal (x1.5)]]</f>
        <v>8.715</v>
      </c>
      <c r="J613" s="91">
        <v>3</v>
      </c>
      <c r="K613" s="91">
        <f>SUMIFS(VENTAS[Cantidad],VENTAS[Código del producto Vendido],STOCK[[#This Row],[Code]])</f>
        <v>3</v>
      </c>
      <c r="L613" s="91">
        <f>STOCK[[#This Row],[Entradas]]-STOCK[[#This Row],[Salidas]]</f>
        <v>0</v>
      </c>
      <c r="M613" s="76">
        <f>STOCK[[#This Row],[Precio Final]]*10%</f>
        <v>1.2</v>
      </c>
      <c r="N613" s="76">
        <v>-16.01</v>
      </c>
      <c r="O613" s="76">
        <v>0</v>
      </c>
      <c r="P613" s="76">
        <v>3.61</v>
      </c>
      <c r="Q613" s="91">
        <v>0</v>
      </c>
      <c r="R613" s="76">
        <v>0</v>
      </c>
      <c r="S613" s="76">
        <v>1</v>
      </c>
      <c r="T613" s="76">
        <f>STOCK[[#This Row],[Costo Unitario (USD)]]+STOCK[[#This Row],[Costo Envío (USD)]]+STOCK[[#This Row],[Comisión 10%]]</f>
        <v>5.81</v>
      </c>
      <c r="U613" s="76">
        <f>STOCK[[#This Row],[Costo total]]*1.5</f>
        <v>8.715</v>
      </c>
      <c r="V613" s="76">
        <v>12</v>
      </c>
      <c r="W613" s="76">
        <f>STOCK[[#This Row],[Precio Final]]-STOCK[[#This Row],[Costo total]]</f>
        <v>6.19</v>
      </c>
      <c r="X613" s="76">
        <f>STOCK[[#This Row],[Ganancia Unitaria]]*STOCK[[#This Row],[Salidas]]</f>
        <v>18.57</v>
      </c>
      <c r="Y613" s="76" t="s">
        <v>1157</v>
      </c>
      <c r="AA613" s="76">
        <f>STOCK[[#This Row],[Costo total]]*STOCK[[#This Row],[Entradas]]</f>
        <v>17.43</v>
      </c>
      <c r="AB613" s="76">
        <f>STOCK[[#This Row],[Stock Actual]]*STOCK[[#This Row],[Costo total]]</f>
        <v>0</v>
      </c>
    </row>
    <row r="614" s="77" customFormat="1" ht="50" hidden="1" customHeight="1" spans="1:28">
      <c r="A614" s="77" t="s">
        <v>1241</v>
      </c>
      <c r="B614" s="6"/>
      <c r="C614" s="77" t="s">
        <v>30</v>
      </c>
      <c r="D614" s="77" t="s">
        <v>350</v>
      </c>
      <c r="E614" s="77" t="s">
        <v>1237</v>
      </c>
      <c r="F614" s="77" t="s">
        <v>524</v>
      </c>
      <c r="G614" s="77" t="s">
        <v>34</v>
      </c>
      <c r="H614" s="77">
        <f>STOCK[[#This Row],[Precio Final]]</f>
        <v>10</v>
      </c>
      <c r="I614" s="77">
        <f>STOCK[[#This Row],[Precio Venta Ideal (x1.5)]]</f>
        <v>7.635</v>
      </c>
      <c r="J614" s="92">
        <v>4</v>
      </c>
      <c r="K614" s="92">
        <f>SUMIFS(VENTAS[Cantidad],VENTAS[Código del producto Vendido],STOCK[[#This Row],[Code]])</f>
        <v>2</v>
      </c>
      <c r="L614" s="92">
        <f>STOCK[[#This Row],[Entradas]]-STOCK[[#This Row],[Salidas]]</f>
        <v>2</v>
      </c>
      <c r="M614" s="77">
        <f>STOCK[[#This Row],[Precio Final]]*10%</f>
        <v>1</v>
      </c>
      <c r="N614" s="77">
        <v>-4.79</v>
      </c>
      <c r="O614" s="77">
        <v>14.37</v>
      </c>
      <c r="P614" s="77">
        <v>3.09</v>
      </c>
      <c r="Q614" s="92">
        <v>0</v>
      </c>
      <c r="R614" s="77">
        <v>0</v>
      </c>
      <c r="S614" s="77">
        <v>1</v>
      </c>
      <c r="T614" s="76">
        <f>STOCK[[#This Row],[Costo Unitario (USD)]]+STOCK[[#This Row],[Costo Envío (USD)]]+STOCK[[#This Row],[Comisión 10%]]</f>
        <v>5.09</v>
      </c>
      <c r="U614" s="77">
        <f>STOCK[[#This Row],[Costo total]]*1.5</f>
        <v>7.635</v>
      </c>
      <c r="V614" s="77">
        <v>10</v>
      </c>
      <c r="W614" s="77">
        <f>STOCK[[#This Row],[Precio Final]]-STOCK[[#This Row],[Costo total]]</f>
        <v>4.91</v>
      </c>
      <c r="X614" s="77">
        <f>STOCK[[#This Row],[Ganancia Unitaria]]*STOCK[[#This Row],[Salidas]]</f>
        <v>9.82</v>
      </c>
      <c r="Y614" s="77" t="s">
        <v>1157</v>
      </c>
      <c r="AA614" s="77">
        <f>STOCK[[#This Row],[Costo total]]*STOCK[[#This Row],[Entradas]]</f>
        <v>20.36</v>
      </c>
      <c r="AB614" s="77">
        <f>STOCK[[#This Row],[Stock Actual]]*STOCK[[#This Row],[Costo total]]</f>
        <v>10.18</v>
      </c>
    </row>
    <row r="615" s="76" customFormat="1" ht="50" hidden="1" customHeight="1" spans="1:28">
      <c r="A615" s="76" t="s">
        <v>1242</v>
      </c>
      <c r="B615" s="6"/>
      <c r="C615" s="76" t="s">
        <v>30</v>
      </c>
      <c r="D615" s="76" t="s">
        <v>151</v>
      </c>
      <c r="E615" s="76" t="s">
        <v>1243</v>
      </c>
      <c r="F615" s="76" t="s">
        <v>1244</v>
      </c>
      <c r="G615" s="76" t="s">
        <v>34</v>
      </c>
      <c r="H615" s="76">
        <f>STOCK[[#This Row],[Precio Final]]</f>
        <v>25</v>
      </c>
      <c r="I615" s="76">
        <f>STOCK[[#This Row],[Precio Venta Ideal (x1.5)]]</f>
        <v>34.92</v>
      </c>
      <c r="J615" s="91">
        <v>2</v>
      </c>
      <c r="K615" s="91">
        <f>SUMIFS(VENTAS[Cantidad],VENTAS[Código del producto Vendido],STOCK[[#This Row],[Code]])</f>
        <v>2</v>
      </c>
      <c r="L615" s="91">
        <f>STOCK[[#This Row],[Entradas]]-STOCK[[#This Row],[Salidas]]</f>
        <v>0</v>
      </c>
      <c r="M615" s="76">
        <f>STOCK[[#This Row],[Precio Final]]*10%</f>
        <v>2.5</v>
      </c>
      <c r="N615" s="76">
        <v>-20.15</v>
      </c>
      <c r="O615" s="76">
        <v>20.15</v>
      </c>
      <c r="P615" s="76">
        <v>15.78</v>
      </c>
      <c r="Q615" s="91">
        <v>0</v>
      </c>
      <c r="R615" s="76">
        <v>0</v>
      </c>
      <c r="S615" s="76">
        <v>5</v>
      </c>
      <c r="T615" s="76">
        <f>STOCK[[#This Row],[Costo Unitario (USD)]]+STOCK[[#This Row],[Costo Envío (USD)]]+STOCK[[#This Row],[Comisión 10%]]</f>
        <v>23.28</v>
      </c>
      <c r="U615" s="76">
        <f>STOCK[[#This Row],[Costo total]]*1.5</f>
        <v>34.92</v>
      </c>
      <c r="V615" s="76">
        <v>25</v>
      </c>
      <c r="W615" s="76">
        <f>STOCK[[#This Row],[Precio Final]]-STOCK[[#This Row],[Costo total]]</f>
        <v>1.72</v>
      </c>
      <c r="X615" s="76">
        <f>STOCK[[#This Row],[Ganancia Unitaria]]*STOCK[[#This Row],[Salidas]]</f>
        <v>3.44</v>
      </c>
      <c r="Y615" s="76" t="s">
        <v>1157</v>
      </c>
      <c r="AA615" s="76">
        <f>STOCK[[#This Row],[Costo total]]*STOCK[[#This Row],[Entradas]]</f>
        <v>46.56</v>
      </c>
      <c r="AB615" s="76">
        <f>STOCK[[#This Row],[Stock Actual]]*STOCK[[#This Row],[Costo total]]</f>
        <v>0</v>
      </c>
    </row>
    <row r="616" s="77" customFormat="1" ht="50" hidden="1" customHeight="1" spans="1:28">
      <c r="A616" s="77" t="s">
        <v>1245</v>
      </c>
      <c r="B616" s="6"/>
      <c r="C616" s="77" t="s">
        <v>30</v>
      </c>
      <c r="D616" s="77" t="s">
        <v>1073</v>
      </c>
      <c r="E616" s="77" t="s">
        <v>1246</v>
      </c>
      <c r="G616" s="77" t="s">
        <v>34</v>
      </c>
      <c r="H616" s="77">
        <f>STOCK[[#This Row],[Precio Final]]</f>
        <v>18</v>
      </c>
      <c r="I616" s="77">
        <f>STOCK[[#This Row],[Precio Venta Ideal (x1.5)]]</f>
        <v>27.09</v>
      </c>
      <c r="J616" s="92">
        <v>0</v>
      </c>
      <c r="K616" s="92">
        <f>SUMIFS(VENTAS[Cantidad],VENTAS[Código del producto Vendido],STOCK[[#This Row],[Code]])</f>
        <v>0</v>
      </c>
      <c r="L616" s="92">
        <f>STOCK[[#This Row],[Entradas]]-STOCK[[#This Row],[Salidas]]</f>
        <v>0</v>
      </c>
      <c r="M616" s="77">
        <f>STOCK[[#This Row],[Precio Final]]*10%</f>
        <v>1.8</v>
      </c>
      <c r="N616" s="77">
        <v>0</v>
      </c>
      <c r="O616" s="77">
        <v>0</v>
      </c>
      <c r="P616" s="77">
        <v>13.26</v>
      </c>
      <c r="Q616" s="92">
        <v>0</v>
      </c>
      <c r="R616" s="77">
        <v>0</v>
      </c>
      <c r="S616" s="77">
        <v>3</v>
      </c>
      <c r="T616" s="76">
        <f>STOCK[[#This Row],[Costo Unitario (USD)]]+STOCK[[#This Row],[Costo Envío (USD)]]+STOCK[[#This Row],[Comisión 10%]]</f>
        <v>18.06</v>
      </c>
      <c r="U616" s="77">
        <f>STOCK[[#This Row],[Costo total]]*1.5</f>
        <v>27.09</v>
      </c>
      <c r="V616" s="77">
        <v>18</v>
      </c>
      <c r="W616" s="77">
        <f>STOCK[[#This Row],[Precio Final]]-STOCK[[#This Row],[Costo total]]</f>
        <v>-0.0599999999999987</v>
      </c>
      <c r="X616" s="77">
        <f>STOCK[[#This Row],[Ganancia Unitaria]]*STOCK[[#This Row],[Salidas]]</f>
        <v>0</v>
      </c>
      <c r="Y616" s="77" t="s">
        <v>1157</v>
      </c>
      <c r="AA616" s="77">
        <f>STOCK[[#This Row],[Costo total]]*STOCK[[#This Row],[Entradas]]</f>
        <v>0</v>
      </c>
      <c r="AB616" s="77">
        <f>STOCK[[#This Row],[Stock Actual]]*STOCK[[#This Row],[Costo total]]</f>
        <v>0</v>
      </c>
    </row>
    <row r="617" s="76" customFormat="1" ht="50" hidden="1" customHeight="1" spans="1:28">
      <c r="A617" s="76" t="s">
        <v>1247</v>
      </c>
      <c r="B617" s="6"/>
      <c r="C617" s="76" t="s">
        <v>30</v>
      </c>
      <c r="D617" s="76" t="s">
        <v>1073</v>
      </c>
      <c r="E617" s="76" t="s">
        <v>1248</v>
      </c>
      <c r="G617" s="76" t="s">
        <v>34</v>
      </c>
      <c r="H617" s="76">
        <f>STOCK[[#This Row],[Precio Final]]</f>
        <v>18</v>
      </c>
      <c r="I617" s="76">
        <f>STOCK[[#This Row],[Precio Venta Ideal (x1.5)]]</f>
        <v>27.63</v>
      </c>
      <c r="J617" s="91">
        <v>0</v>
      </c>
      <c r="K617" s="91">
        <f>SUMIFS(VENTAS[Cantidad],VENTAS[Código del producto Vendido],STOCK[[#This Row],[Code]])</f>
        <v>0</v>
      </c>
      <c r="L617" s="91">
        <f>STOCK[[#This Row],[Entradas]]-STOCK[[#This Row],[Salidas]]</f>
        <v>0</v>
      </c>
      <c r="M617" s="76">
        <f>STOCK[[#This Row],[Precio Final]]*10%</f>
        <v>1.8</v>
      </c>
      <c r="N617" s="76">
        <v>0</v>
      </c>
      <c r="O617" s="76">
        <v>0</v>
      </c>
      <c r="P617" s="76">
        <v>13.62</v>
      </c>
      <c r="Q617" s="91">
        <v>0</v>
      </c>
      <c r="R617" s="76">
        <v>0</v>
      </c>
      <c r="S617" s="76">
        <v>3</v>
      </c>
      <c r="T617" s="76">
        <f>STOCK[[#This Row],[Costo Unitario (USD)]]+STOCK[[#This Row],[Costo Envío (USD)]]+STOCK[[#This Row],[Comisión 10%]]</f>
        <v>18.42</v>
      </c>
      <c r="U617" s="76">
        <f>STOCK[[#This Row],[Costo total]]*1.5</f>
        <v>27.63</v>
      </c>
      <c r="V617" s="76">
        <v>18</v>
      </c>
      <c r="W617" s="76">
        <f>STOCK[[#This Row],[Precio Final]]-STOCK[[#This Row],[Costo total]]</f>
        <v>-0.419999999999998</v>
      </c>
      <c r="X617" s="76">
        <f>STOCK[[#This Row],[Ganancia Unitaria]]*STOCK[[#This Row],[Salidas]]</f>
        <v>0</v>
      </c>
      <c r="Y617" s="76" t="s">
        <v>1157</v>
      </c>
      <c r="AA617" s="76">
        <f>STOCK[[#This Row],[Costo total]]*STOCK[[#This Row],[Entradas]]</f>
        <v>0</v>
      </c>
      <c r="AB617" s="76">
        <f>STOCK[[#This Row],[Stock Actual]]*STOCK[[#This Row],[Costo total]]</f>
        <v>0</v>
      </c>
    </row>
    <row r="618" s="77" customFormat="1" ht="50" hidden="1" customHeight="1" spans="1:28">
      <c r="A618" s="77" t="s">
        <v>1249</v>
      </c>
      <c r="B618" s="6"/>
      <c r="C618" s="77" t="s">
        <v>30</v>
      </c>
      <c r="D618" s="77" t="s">
        <v>1073</v>
      </c>
      <c r="E618" s="77" t="s">
        <v>1250</v>
      </c>
      <c r="F618" s="77" t="s">
        <v>47</v>
      </c>
      <c r="G618" s="77" t="s">
        <v>34</v>
      </c>
      <c r="H618" s="77">
        <f>STOCK[[#This Row],[Precio Final]]</f>
        <v>18</v>
      </c>
      <c r="I618" s="77">
        <f>STOCK[[#This Row],[Precio Venta Ideal (x1.5)]]</f>
        <v>24.57</v>
      </c>
      <c r="J618" s="92">
        <v>0</v>
      </c>
      <c r="K618" s="92">
        <f>SUMIFS(VENTAS[Cantidad],VENTAS[Código del producto Vendido],STOCK[[#This Row],[Code]])</f>
        <v>0</v>
      </c>
      <c r="L618" s="92">
        <f>STOCK[[#This Row],[Entradas]]-STOCK[[#This Row],[Salidas]]</f>
        <v>0</v>
      </c>
      <c r="M618" s="77">
        <f>STOCK[[#This Row],[Precio Final]]*10%</f>
        <v>1.8</v>
      </c>
      <c r="N618" s="77">
        <v>0</v>
      </c>
      <c r="O618" s="77">
        <v>0</v>
      </c>
      <c r="P618" s="77">
        <v>11.58</v>
      </c>
      <c r="Q618" s="92">
        <v>0</v>
      </c>
      <c r="R618" s="77">
        <v>0</v>
      </c>
      <c r="S618" s="77">
        <v>3</v>
      </c>
      <c r="T618" s="76">
        <f>STOCK[[#This Row],[Costo Unitario (USD)]]+STOCK[[#This Row],[Costo Envío (USD)]]+STOCK[[#This Row],[Comisión 10%]]</f>
        <v>16.38</v>
      </c>
      <c r="U618" s="77">
        <f>STOCK[[#This Row],[Costo total]]*1.5</f>
        <v>24.57</v>
      </c>
      <c r="V618" s="77">
        <v>18</v>
      </c>
      <c r="W618" s="77">
        <f>STOCK[[#This Row],[Precio Final]]-STOCK[[#This Row],[Costo total]]</f>
        <v>1.62</v>
      </c>
      <c r="X618" s="77">
        <f>STOCK[[#This Row],[Ganancia Unitaria]]*STOCK[[#This Row],[Salidas]]</f>
        <v>0</v>
      </c>
      <c r="Y618" s="77" t="s">
        <v>1157</v>
      </c>
      <c r="AA618" s="77">
        <f>STOCK[[#This Row],[Costo total]]*STOCK[[#This Row],[Entradas]]</f>
        <v>0</v>
      </c>
      <c r="AB618" s="77">
        <f>STOCK[[#This Row],[Stock Actual]]*STOCK[[#This Row],[Costo total]]</f>
        <v>0</v>
      </c>
    </row>
    <row r="619" s="76" customFormat="1" ht="50" hidden="1" customHeight="1" spans="1:28">
      <c r="A619" s="76" t="s">
        <v>1251</v>
      </c>
      <c r="B619" s="6"/>
      <c r="C619" s="76" t="s">
        <v>30</v>
      </c>
      <c r="D619" s="76" t="s">
        <v>151</v>
      </c>
      <c r="E619" s="76" t="s">
        <v>1252</v>
      </c>
      <c r="F619" s="76" t="s">
        <v>47</v>
      </c>
      <c r="G619" s="76" t="s">
        <v>34</v>
      </c>
      <c r="H619" s="76">
        <f>STOCK[[#This Row],[Precio Final]]</f>
        <v>25</v>
      </c>
      <c r="I619" s="76">
        <f>STOCK[[#This Row],[Precio Venta Ideal (x1.5)]]</f>
        <v>31.2</v>
      </c>
      <c r="J619" s="91">
        <v>1</v>
      </c>
      <c r="K619" s="91">
        <f>SUMIFS(VENTAS[Cantidad],VENTAS[Código del producto Vendido],STOCK[[#This Row],[Code]])</f>
        <v>1</v>
      </c>
      <c r="L619" s="91">
        <f>STOCK[[#This Row],[Entradas]]-STOCK[[#This Row],[Salidas]]</f>
        <v>0</v>
      </c>
      <c r="M619" s="76">
        <f>STOCK[[#This Row],[Precio Final]]*10%</f>
        <v>2.5</v>
      </c>
      <c r="N619" s="76">
        <v>-18.52</v>
      </c>
      <c r="O619" s="76">
        <v>0</v>
      </c>
      <c r="P619" s="76">
        <v>13.3</v>
      </c>
      <c r="Q619" s="91">
        <v>0</v>
      </c>
      <c r="R619" s="76">
        <v>0</v>
      </c>
      <c r="S619" s="76">
        <v>5</v>
      </c>
      <c r="T619" s="76">
        <f>STOCK[[#This Row],[Costo Unitario (USD)]]+STOCK[[#This Row],[Costo Envío (USD)]]+STOCK[[#This Row],[Comisión 10%]]</f>
        <v>20.8</v>
      </c>
      <c r="U619" s="76">
        <f>STOCK[[#This Row],[Costo total]]*1.5</f>
        <v>31.2</v>
      </c>
      <c r="V619" s="76">
        <v>25</v>
      </c>
      <c r="W619" s="76">
        <f>STOCK[[#This Row],[Precio Final]]-STOCK[[#This Row],[Costo total]]</f>
        <v>4.2</v>
      </c>
      <c r="X619" s="76">
        <f>STOCK[[#This Row],[Ganancia Unitaria]]*STOCK[[#This Row],[Salidas]]</f>
        <v>4.2</v>
      </c>
      <c r="Y619" s="76" t="s">
        <v>1157</v>
      </c>
      <c r="AA619" s="76">
        <f>STOCK[[#This Row],[Costo total]]*STOCK[[#This Row],[Entradas]]</f>
        <v>20.8</v>
      </c>
      <c r="AB619" s="76">
        <f>STOCK[[#This Row],[Stock Actual]]*STOCK[[#This Row],[Costo total]]</f>
        <v>0</v>
      </c>
    </row>
    <row r="620" s="77" customFormat="1" ht="50" hidden="1" customHeight="1" spans="1:28">
      <c r="A620" s="77" t="s">
        <v>1253</v>
      </c>
      <c r="B620" s="6"/>
      <c r="C620" s="77" t="s">
        <v>30</v>
      </c>
      <c r="D620" s="77" t="s">
        <v>151</v>
      </c>
      <c r="E620" s="77" t="s">
        <v>1252</v>
      </c>
      <c r="F620" s="77" t="s">
        <v>44</v>
      </c>
      <c r="G620" s="77" t="s">
        <v>34</v>
      </c>
      <c r="H620" s="77">
        <f>STOCK[[#This Row],[Precio Final]]</f>
        <v>25</v>
      </c>
      <c r="I620" s="77">
        <f>STOCK[[#This Row],[Precio Venta Ideal (x1.5)]]</f>
        <v>31.2</v>
      </c>
      <c r="J620" s="92">
        <v>1</v>
      </c>
      <c r="K620" s="92">
        <f>SUMIFS(VENTAS[Cantidad],VENTAS[Código del producto Vendido],STOCK[[#This Row],[Code]])</f>
        <v>1</v>
      </c>
      <c r="L620" s="92">
        <f>STOCK[[#This Row],[Entradas]]-STOCK[[#This Row],[Salidas]]</f>
        <v>0</v>
      </c>
      <c r="M620" s="77">
        <f>STOCK[[#This Row],[Precio Final]]*10%</f>
        <v>2.5</v>
      </c>
      <c r="N620" s="77">
        <v>-18.52</v>
      </c>
      <c r="O620" s="77">
        <v>0</v>
      </c>
      <c r="P620" s="77">
        <v>13.3</v>
      </c>
      <c r="Q620" s="92">
        <v>0</v>
      </c>
      <c r="R620" s="77">
        <v>0</v>
      </c>
      <c r="S620" s="77">
        <v>5</v>
      </c>
      <c r="T620" s="76">
        <f>STOCK[[#This Row],[Costo Unitario (USD)]]+STOCK[[#This Row],[Costo Envío (USD)]]+STOCK[[#This Row],[Comisión 10%]]</f>
        <v>20.8</v>
      </c>
      <c r="U620" s="77">
        <f>STOCK[[#This Row],[Costo total]]*1.5</f>
        <v>31.2</v>
      </c>
      <c r="V620" s="77">
        <v>25</v>
      </c>
      <c r="W620" s="77">
        <f>STOCK[[#This Row],[Precio Final]]-STOCK[[#This Row],[Costo total]]</f>
        <v>4.2</v>
      </c>
      <c r="X620" s="77">
        <f>STOCK[[#This Row],[Ganancia Unitaria]]*STOCK[[#This Row],[Salidas]]</f>
        <v>4.2</v>
      </c>
      <c r="Y620" s="77" t="s">
        <v>1157</v>
      </c>
      <c r="AA620" s="77">
        <f>STOCK[[#This Row],[Costo total]]*STOCK[[#This Row],[Entradas]]</f>
        <v>20.8</v>
      </c>
      <c r="AB620" s="77">
        <f>STOCK[[#This Row],[Stock Actual]]*STOCK[[#This Row],[Costo total]]</f>
        <v>0</v>
      </c>
    </row>
    <row r="621" s="76" customFormat="1" ht="50" hidden="1" customHeight="1" spans="1:28">
      <c r="A621" s="76" t="s">
        <v>1254</v>
      </c>
      <c r="B621" s="6"/>
      <c r="C621" s="76" t="s">
        <v>30</v>
      </c>
      <c r="D621" s="76" t="s">
        <v>151</v>
      </c>
      <c r="E621" s="76" t="s">
        <v>1252</v>
      </c>
      <c r="F621" s="76" t="s">
        <v>47</v>
      </c>
      <c r="G621" s="76" t="s">
        <v>34</v>
      </c>
      <c r="H621" s="76">
        <f>STOCK[[#This Row],[Precio Final]]</f>
        <v>25</v>
      </c>
      <c r="I621" s="76">
        <f>STOCK[[#This Row],[Precio Venta Ideal (x1.5)]]</f>
        <v>31.2</v>
      </c>
      <c r="J621" s="91">
        <v>1</v>
      </c>
      <c r="K621" s="91">
        <f>SUMIFS(VENTAS[Cantidad],VENTAS[Código del producto Vendido],STOCK[[#This Row],[Code]])</f>
        <v>1</v>
      </c>
      <c r="L621" s="91">
        <f>STOCK[[#This Row],[Entradas]]-STOCK[[#This Row],[Salidas]]</f>
        <v>0</v>
      </c>
      <c r="M621" s="76">
        <f>STOCK[[#This Row],[Precio Final]]*10%</f>
        <v>2.5</v>
      </c>
      <c r="N621" s="76">
        <v>-18.52</v>
      </c>
      <c r="O621" s="76">
        <v>0</v>
      </c>
      <c r="P621" s="76">
        <v>13.3</v>
      </c>
      <c r="Q621" s="91">
        <v>0</v>
      </c>
      <c r="R621" s="76">
        <v>0</v>
      </c>
      <c r="S621" s="76">
        <v>5</v>
      </c>
      <c r="T621" s="76">
        <f>STOCK[[#This Row],[Costo Unitario (USD)]]+STOCK[[#This Row],[Costo Envío (USD)]]+STOCK[[#This Row],[Comisión 10%]]</f>
        <v>20.8</v>
      </c>
      <c r="U621" s="76">
        <f>STOCK[[#This Row],[Costo total]]*1.5</f>
        <v>31.2</v>
      </c>
      <c r="V621" s="76">
        <v>25</v>
      </c>
      <c r="W621" s="76">
        <f>STOCK[[#This Row],[Precio Final]]-STOCK[[#This Row],[Costo total]]</f>
        <v>4.2</v>
      </c>
      <c r="X621" s="76">
        <f>STOCK[[#This Row],[Ganancia Unitaria]]*STOCK[[#This Row],[Salidas]]</f>
        <v>4.2</v>
      </c>
      <c r="Y621" s="76" t="s">
        <v>1157</v>
      </c>
      <c r="AA621" s="76">
        <f>STOCK[[#This Row],[Costo total]]*STOCK[[#This Row],[Entradas]]</f>
        <v>20.8</v>
      </c>
      <c r="AB621" s="76">
        <f>STOCK[[#This Row],[Stock Actual]]*STOCK[[#This Row],[Costo total]]</f>
        <v>0</v>
      </c>
    </row>
    <row r="622" s="77" customFormat="1" ht="50" hidden="1" customHeight="1" spans="1:28">
      <c r="A622" s="77" t="s">
        <v>1255</v>
      </c>
      <c r="B622" s="6"/>
      <c r="C622" s="77" t="s">
        <v>30</v>
      </c>
      <c r="D622" s="77" t="s">
        <v>42</v>
      </c>
      <c r="E622" s="77" t="s">
        <v>1256</v>
      </c>
      <c r="F622" s="77" t="s">
        <v>47</v>
      </c>
      <c r="G622" s="77" t="s">
        <v>34</v>
      </c>
      <c r="H622" s="77">
        <f>STOCK[[#This Row],[Precio Final]]</f>
        <v>35</v>
      </c>
      <c r="I622" s="77">
        <f>STOCK[[#This Row],[Precio Venta Ideal (x1.5)]]</f>
        <v>40.38</v>
      </c>
      <c r="J622" s="92">
        <v>1</v>
      </c>
      <c r="K622" s="92">
        <f>SUMIFS(VENTAS[Cantidad],VENTAS[Código del producto Vendido],STOCK[[#This Row],[Code]])</f>
        <v>1</v>
      </c>
      <c r="L622" s="92">
        <f>STOCK[[#This Row],[Entradas]]-STOCK[[#This Row],[Salidas]]</f>
        <v>0</v>
      </c>
      <c r="M622" s="77">
        <f>STOCK[[#This Row],[Precio Final]]*10%</f>
        <v>3.5</v>
      </c>
      <c r="N622" s="77">
        <v>-25.28</v>
      </c>
      <c r="O622" s="77">
        <v>0</v>
      </c>
      <c r="P622" s="77">
        <v>18.42</v>
      </c>
      <c r="Q622" s="92">
        <v>0</v>
      </c>
      <c r="R622" s="77">
        <v>0</v>
      </c>
      <c r="S622" s="77">
        <v>5</v>
      </c>
      <c r="T622" s="76">
        <f>STOCK[[#This Row],[Costo Unitario (USD)]]+STOCK[[#This Row],[Costo Envío (USD)]]+STOCK[[#This Row],[Comisión 10%]]</f>
        <v>26.92</v>
      </c>
      <c r="U622" s="77">
        <f>STOCK[[#This Row],[Costo total]]*1.5</f>
        <v>40.38</v>
      </c>
      <c r="V622" s="77">
        <v>35</v>
      </c>
      <c r="W622" s="77">
        <f>STOCK[[#This Row],[Precio Final]]-STOCK[[#This Row],[Costo total]]</f>
        <v>8.08</v>
      </c>
      <c r="X622" s="77">
        <f>STOCK[[#This Row],[Ganancia Unitaria]]*STOCK[[#This Row],[Salidas]]</f>
        <v>8.08</v>
      </c>
      <c r="Y622" s="77" t="s">
        <v>1157</v>
      </c>
      <c r="AA622" s="77">
        <f>STOCK[[#This Row],[Costo total]]*STOCK[[#This Row],[Entradas]]</f>
        <v>26.92</v>
      </c>
      <c r="AB622" s="77">
        <f>STOCK[[#This Row],[Stock Actual]]*STOCK[[#This Row],[Costo total]]</f>
        <v>0</v>
      </c>
    </row>
    <row r="623" s="76" customFormat="1" ht="50" hidden="1" customHeight="1" spans="1:28">
      <c r="A623" s="76" t="s">
        <v>1257</v>
      </c>
      <c r="B623" s="6"/>
      <c r="C623" s="76" t="s">
        <v>30</v>
      </c>
      <c r="D623" s="76" t="s">
        <v>1012</v>
      </c>
      <c r="E623" s="76" t="s">
        <v>1258</v>
      </c>
      <c r="F623" s="76" t="s">
        <v>1259</v>
      </c>
      <c r="G623" s="76" t="s">
        <v>34</v>
      </c>
      <c r="H623" s="76">
        <f>STOCK[[#This Row],[Precio Final]]</f>
        <v>35</v>
      </c>
      <c r="I623" s="76">
        <f>STOCK[[#This Row],[Precio Venta Ideal (x1.5)]]</f>
        <v>41.175</v>
      </c>
      <c r="J623" s="91">
        <v>2</v>
      </c>
      <c r="K623" s="91">
        <f>SUMIFS(VENTAS[Cantidad],VENTAS[Código del producto Vendido],STOCK[[#This Row],[Code]])</f>
        <v>2</v>
      </c>
      <c r="L623" s="91">
        <f>STOCK[[#This Row],[Entradas]]-STOCK[[#This Row],[Salidas]]</f>
        <v>0</v>
      </c>
      <c r="M623" s="76">
        <f>STOCK[[#This Row],[Precio Final]]*10%</f>
        <v>3.5</v>
      </c>
      <c r="N623" s="76">
        <v>0</v>
      </c>
      <c r="O623" s="76">
        <v>49.6</v>
      </c>
      <c r="P623" s="76">
        <v>17.95</v>
      </c>
      <c r="Q623" s="91">
        <v>0</v>
      </c>
      <c r="R623" s="76">
        <v>0</v>
      </c>
      <c r="S623" s="76">
        <v>6</v>
      </c>
      <c r="T623" s="76">
        <f>STOCK[[#This Row],[Costo Unitario (USD)]]+STOCK[[#This Row],[Costo Envío (USD)]]+STOCK[[#This Row],[Comisión 10%]]</f>
        <v>27.45</v>
      </c>
      <c r="U623" s="76">
        <f>STOCK[[#This Row],[Costo total]]*1.5</f>
        <v>41.175</v>
      </c>
      <c r="V623" s="76">
        <v>35</v>
      </c>
      <c r="W623" s="76">
        <f>STOCK[[#This Row],[Precio Final]]-STOCK[[#This Row],[Costo total]]</f>
        <v>7.55</v>
      </c>
      <c r="X623" s="76">
        <f>STOCK[[#This Row],[Ganancia Unitaria]]*STOCK[[#This Row],[Salidas]]</f>
        <v>15.1</v>
      </c>
      <c r="Y623" s="76" t="s">
        <v>1157</v>
      </c>
      <c r="AA623" s="76">
        <f>STOCK[[#This Row],[Costo total]]*STOCK[[#This Row],[Entradas]]</f>
        <v>54.9</v>
      </c>
      <c r="AB623" s="76">
        <f>STOCK[[#This Row],[Stock Actual]]*STOCK[[#This Row],[Costo total]]</f>
        <v>0</v>
      </c>
    </row>
    <row r="624" s="77" customFormat="1" ht="50" hidden="1" customHeight="1" spans="1:28">
      <c r="A624" s="77" t="s">
        <v>1260</v>
      </c>
      <c r="B624" s="6"/>
      <c r="C624" s="77" t="s">
        <v>30</v>
      </c>
      <c r="D624" s="77" t="s">
        <v>42</v>
      </c>
      <c r="E624" s="77" t="s">
        <v>1261</v>
      </c>
      <c r="F624" s="77" t="s">
        <v>44</v>
      </c>
      <c r="G624" s="77" t="s">
        <v>34</v>
      </c>
      <c r="H624" s="77">
        <f>STOCK[[#This Row],[Precio Final]]</f>
        <v>35</v>
      </c>
      <c r="I624" s="77">
        <f>STOCK[[#This Row],[Precio Venta Ideal (x1.5)]]</f>
        <v>41.175</v>
      </c>
      <c r="J624" s="92">
        <v>2</v>
      </c>
      <c r="K624" s="92">
        <f>SUMIFS(VENTAS[Cantidad],VENTAS[Código del producto Vendido],STOCK[[#This Row],[Code]])</f>
        <v>2</v>
      </c>
      <c r="L624" s="92">
        <f>STOCK[[#This Row],[Entradas]]-STOCK[[#This Row],[Salidas]]</f>
        <v>0</v>
      </c>
      <c r="M624" s="77">
        <f>STOCK[[#This Row],[Precio Final]]*10%</f>
        <v>3.5</v>
      </c>
      <c r="N624" s="77">
        <v>-49.6</v>
      </c>
      <c r="O624" s="77">
        <v>0</v>
      </c>
      <c r="P624" s="77">
        <v>17.95</v>
      </c>
      <c r="Q624" s="92">
        <v>0</v>
      </c>
      <c r="R624" s="77">
        <v>0</v>
      </c>
      <c r="S624" s="77">
        <v>6</v>
      </c>
      <c r="T624" s="76">
        <f>STOCK[[#This Row],[Costo Unitario (USD)]]+STOCK[[#This Row],[Costo Envío (USD)]]+STOCK[[#This Row],[Comisión 10%]]</f>
        <v>27.45</v>
      </c>
      <c r="U624" s="77">
        <f>STOCK[[#This Row],[Costo total]]*1.5</f>
        <v>41.175</v>
      </c>
      <c r="V624" s="77">
        <v>35</v>
      </c>
      <c r="W624" s="77">
        <f>STOCK[[#This Row],[Precio Final]]-STOCK[[#This Row],[Costo total]]</f>
        <v>7.55</v>
      </c>
      <c r="X624" s="77">
        <f>STOCK[[#This Row],[Ganancia Unitaria]]*STOCK[[#This Row],[Salidas]]</f>
        <v>15.1</v>
      </c>
      <c r="Y624" s="77" t="s">
        <v>1157</v>
      </c>
      <c r="AA624" s="77">
        <f>STOCK[[#This Row],[Costo total]]*STOCK[[#This Row],[Entradas]]</f>
        <v>54.9</v>
      </c>
      <c r="AB624" s="77">
        <f>STOCK[[#This Row],[Stock Actual]]*STOCK[[#This Row],[Costo total]]</f>
        <v>0</v>
      </c>
    </row>
    <row r="625" s="76" customFormat="1" ht="50" hidden="1" customHeight="1" spans="1:28">
      <c r="A625" s="76" t="s">
        <v>1262</v>
      </c>
      <c r="B625" s="6"/>
      <c r="C625" s="76" t="s">
        <v>30</v>
      </c>
      <c r="D625" s="76" t="s">
        <v>42</v>
      </c>
      <c r="E625" s="76" t="s">
        <v>1261</v>
      </c>
      <c r="F625" s="76" t="s">
        <v>60</v>
      </c>
      <c r="G625" s="76" t="s">
        <v>34</v>
      </c>
      <c r="H625" s="76">
        <f>STOCK[[#This Row],[Precio Final]]</f>
        <v>35</v>
      </c>
      <c r="I625" s="76">
        <f>STOCK[[#This Row],[Precio Venta Ideal (x1.5)]]</f>
        <v>41.175</v>
      </c>
      <c r="J625" s="91">
        <v>2</v>
      </c>
      <c r="K625" s="91">
        <f>SUMIFS(VENTAS[Cantidad],VENTAS[Código del producto Vendido],STOCK[[#This Row],[Code]])</f>
        <v>2</v>
      </c>
      <c r="L625" s="91">
        <f>STOCK[[#This Row],[Entradas]]-STOCK[[#This Row],[Salidas]]</f>
        <v>0</v>
      </c>
      <c r="M625" s="76">
        <f>STOCK[[#This Row],[Precio Final]]*10%</f>
        <v>3.5</v>
      </c>
      <c r="N625" s="76">
        <v>0</v>
      </c>
      <c r="O625" s="76">
        <v>24.8</v>
      </c>
      <c r="P625" s="76">
        <v>17.95</v>
      </c>
      <c r="Q625" s="91">
        <v>0</v>
      </c>
      <c r="R625" s="76">
        <v>0</v>
      </c>
      <c r="S625" s="76">
        <v>6</v>
      </c>
      <c r="T625" s="76">
        <f>STOCK[[#This Row],[Costo Unitario (USD)]]+STOCK[[#This Row],[Costo Envío (USD)]]+STOCK[[#This Row],[Comisión 10%]]</f>
        <v>27.45</v>
      </c>
      <c r="U625" s="76">
        <f>STOCK[[#This Row],[Costo total]]*1.5</f>
        <v>41.175</v>
      </c>
      <c r="V625" s="76">
        <v>35</v>
      </c>
      <c r="W625" s="76">
        <f>STOCK[[#This Row],[Precio Final]]-STOCK[[#This Row],[Costo total]]</f>
        <v>7.55</v>
      </c>
      <c r="X625" s="76">
        <f>STOCK[[#This Row],[Ganancia Unitaria]]*STOCK[[#This Row],[Salidas]]</f>
        <v>15.1</v>
      </c>
      <c r="Y625" s="76" t="s">
        <v>1157</v>
      </c>
      <c r="AA625" s="76">
        <f>STOCK[[#This Row],[Costo total]]*STOCK[[#This Row],[Entradas]]</f>
        <v>54.9</v>
      </c>
      <c r="AB625" s="76">
        <f>STOCK[[#This Row],[Stock Actual]]*STOCK[[#This Row],[Costo total]]</f>
        <v>0</v>
      </c>
    </row>
    <row r="626" s="77" customFormat="1" ht="50" hidden="1" customHeight="1" spans="1:28">
      <c r="A626" s="77" t="s">
        <v>1263</v>
      </c>
      <c r="B626" s="6"/>
      <c r="C626" s="77" t="s">
        <v>30</v>
      </c>
      <c r="D626" s="77" t="s">
        <v>151</v>
      </c>
      <c r="E626" s="77" t="s">
        <v>1264</v>
      </c>
      <c r="F626" s="77" t="s">
        <v>44</v>
      </c>
      <c r="G626" s="77" t="s">
        <v>34</v>
      </c>
      <c r="H626" s="77">
        <f>STOCK[[#This Row],[Precio Final]]</f>
        <v>23</v>
      </c>
      <c r="I626" s="77">
        <f>STOCK[[#This Row],[Precio Venta Ideal (x1.5)]]</f>
        <v>26.28</v>
      </c>
      <c r="J626" s="92">
        <v>2</v>
      </c>
      <c r="K626" s="92">
        <f>SUMIFS(VENTAS[Cantidad],VENTAS[Código del producto Vendido],STOCK[[#This Row],[Code]])</f>
        <v>2</v>
      </c>
      <c r="L626" s="92">
        <f>STOCK[[#This Row],[Entradas]]-STOCK[[#This Row],[Salidas]]</f>
        <v>0</v>
      </c>
      <c r="M626" s="77">
        <f>STOCK[[#This Row],[Precio Final]]*10%</f>
        <v>2.3</v>
      </c>
      <c r="N626" s="77">
        <v>-29.83</v>
      </c>
      <c r="O626" s="77">
        <v>0</v>
      </c>
      <c r="P626" s="77">
        <v>10.22</v>
      </c>
      <c r="Q626" s="92">
        <v>0</v>
      </c>
      <c r="R626" s="77">
        <v>0</v>
      </c>
      <c r="S626" s="77">
        <v>5</v>
      </c>
      <c r="T626" s="76">
        <f>STOCK[[#This Row],[Costo Unitario (USD)]]+STOCK[[#This Row],[Costo Envío (USD)]]+STOCK[[#This Row],[Comisión 10%]]</f>
        <v>17.52</v>
      </c>
      <c r="U626" s="77">
        <f>STOCK[[#This Row],[Costo total]]*1.5</f>
        <v>26.28</v>
      </c>
      <c r="V626" s="77">
        <v>23</v>
      </c>
      <c r="W626" s="77">
        <f>STOCK[[#This Row],[Precio Final]]-STOCK[[#This Row],[Costo total]]</f>
        <v>5.48</v>
      </c>
      <c r="X626" s="77">
        <f>STOCK[[#This Row],[Ganancia Unitaria]]*STOCK[[#This Row],[Salidas]]</f>
        <v>10.96</v>
      </c>
      <c r="Y626" s="77" t="s">
        <v>1157</v>
      </c>
      <c r="AA626" s="77">
        <f>STOCK[[#This Row],[Costo total]]*STOCK[[#This Row],[Entradas]]</f>
        <v>35.04</v>
      </c>
      <c r="AB626" s="77">
        <f>STOCK[[#This Row],[Stock Actual]]*STOCK[[#This Row],[Costo total]]</f>
        <v>0</v>
      </c>
    </row>
    <row r="627" s="76" customFormat="1" ht="50" hidden="1" customHeight="1" spans="1:28">
      <c r="A627" s="76" t="s">
        <v>1265</v>
      </c>
      <c r="B627" s="6"/>
      <c r="C627" s="76" t="s">
        <v>30</v>
      </c>
      <c r="D627" s="76" t="s">
        <v>173</v>
      </c>
      <c r="E627" s="76" t="s">
        <v>1266</v>
      </c>
      <c r="F627" s="76" t="s">
        <v>38</v>
      </c>
      <c r="G627" s="76" t="s">
        <v>34</v>
      </c>
      <c r="H627" s="76">
        <f>STOCK[[#This Row],[Precio Final]]</f>
        <v>10</v>
      </c>
      <c r="I627" s="76">
        <f>STOCK[[#This Row],[Precio Venta Ideal (x1.5)]]</f>
        <v>10.155</v>
      </c>
      <c r="J627" s="91">
        <v>2</v>
      </c>
      <c r="K627" s="91">
        <f>SUMIFS(VENTAS[Cantidad],VENTAS[Código del producto Vendido],STOCK[[#This Row],[Code]])</f>
        <v>2</v>
      </c>
      <c r="L627" s="91">
        <f>STOCK[[#This Row],[Entradas]]-STOCK[[#This Row],[Salidas]]</f>
        <v>0</v>
      </c>
      <c r="M627" s="76">
        <f>STOCK[[#This Row],[Precio Final]]*10%</f>
        <v>1</v>
      </c>
      <c r="N627" s="76">
        <v>-9.17</v>
      </c>
      <c r="O627" s="76">
        <v>0</v>
      </c>
      <c r="P627" s="76">
        <v>3.77</v>
      </c>
      <c r="Q627" s="91">
        <v>0</v>
      </c>
      <c r="R627" s="76">
        <v>0</v>
      </c>
      <c r="S627" s="76">
        <v>2</v>
      </c>
      <c r="T627" s="76">
        <f>STOCK[[#This Row],[Costo Unitario (USD)]]+STOCK[[#This Row],[Costo Envío (USD)]]+STOCK[[#This Row],[Comisión 10%]]</f>
        <v>6.77</v>
      </c>
      <c r="U627" s="76">
        <f>STOCK[[#This Row],[Costo total]]*1.5</f>
        <v>10.155</v>
      </c>
      <c r="V627" s="76">
        <v>10</v>
      </c>
      <c r="W627" s="76">
        <f>STOCK[[#This Row],[Precio Final]]-STOCK[[#This Row],[Costo total]]</f>
        <v>3.23</v>
      </c>
      <c r="X627" s="76">
        <f>STOCK[[#This Row],[Ganancia Unitaria]]*STOCK[[#This Row],[Salidas]]</f>
        <v>6.46</v>
      </c>
      <c r="Y627" s="76" t="s">
        <v>1157</v>
      </c>
      <c r="AA627" s="76">
        <f>STOCK[[#This Row],[Costo total]]*STOCK[[#This Row],[Entradas]]</f>
        <v>13.54</v>
      </c>
      <c r="AB627" s="76">
        <f>STOCK[[#This Row],[Stock Actual]]*STOCK[[#This Row],[Costo total]]</f>
        <v>0</v>
      </c>
    </row>
    <row r="628" s="77" customFormat="1" ht="50" hidden="1" customHeight="1" spans="1:28">
      <c r="A628" s="77" t="s">
        <v>1267</v>
      </c>
      <c r="B628" s="6"/>
      <c r="C628" s="77" t="s">
        <v>30</v>
      </c>
      <c r="D628" s="77" t="s">
        <v>173</v>
      </c>
      <c r="E628" s="77" t="s">
        <v>1268</v>
      </c>
      <c r="F628" s="77" t="s">
        <v>585</v>
      </c>
      <c r="G628" s="77" t="s">
        <v>34</v>
      </c>
      <c r="H628" s="77">
        <f>STOCK[[#This Row],[Precio Final]]</f>
        <v>10</v>
      </c>
      <c r="I628" s="77">
        <f>STOCK[[#This Row],[Precio Venta Ideal (x1.5)]]</f>
        <v>10.155</v>
      </c>
      <c r="J628" s="92">
        <v>2</v>
      </c>
      <c r="K628" s="92">
        <f>SUMIFS(VENTAS[Cantidad],VENTAS[Código del producto Vendido],STOCK[[#This Row],[Code]])</f>
        <v>2</v>
      </c>
      <c r="L628" s="92">
        <f>STOCK[[#This Row],[Entradas]]-STOCK[[#This Row],[Salidas]]</f>
        <v>0</v>
      </c>
      <c r="M628" s="77">
        <f>STOCK[[#This Row],[Precio Final]]*10%</f>
        <v>1</v>
      </c>
      <c r="N628" s="77">
        <v>0</v>
      </c>
      <c r="O628" s="77">
        <v>9.17</v>
      </c>
      <c r="P628" s="77">
        <v>3.77</v>
      </c>
      <c r="Q628" s="92">
        <v>0</v>
      </c>
      <c r="R628" s="77">
        <v>0</v>
      </c>
      <c r="S628" s="77">
        <v>2</v>
      </c>
      <c r="T628" s="76">
        <f>STOCK[[#This Row],[Costo Unitario (USD)]]+STOCK[[#This Row],[Costo Envío (USD)]]+STOCK[[#This Row],[Comisión 10%]]</f>
        <v>6.77</v>
      </c>
      <c r="U628" s="77">
        <f>STOCK[[#This Row],[Costo total]]*1.5</f>
        <v>10.155</v>
      </c>
      <c r="V628" s="77">
        <v>10</v>
      </c>
      <c r="W628" s="77">
        <f>STOCK[[#This Row],[Precio Final]]-STOCK[[#This Row],[Costo total]]</f>
        <v>3.23</v>
      </c>
      <c r="X628" s="77">
        <f>STOCK[[#This Row],[Ganancia Unitaria]]*STOCK[[#This Row],[Salidas]]</f>
        <v>6.46</v>
      </c>
      <c r="Y628" s="77" t="s">
        <v>1157</v>
      </c>
      <c r="AA628" s="77">
        <f>STOCK[[#This Row],[Costo total]]*STOCK[[#This Row],[Entradas]]</f>
        <v>13.54</v>
      </c>
      <c r="AB628" s="77">
        <f>STOCK[[#This Row],[Stock Actual]]*STOCK[[#This Row],[Costo total]]</f>
        <v>0</v>
      </c>
    </row>
    <row r="629" s="76" customFormat="1" ht="50" hidden="1" customHeight="1" spans="1:28">
      <c r="A629" s="76" t="s">
        <v>1269</v>
      </c>
      <c r="B629" s="6"/>
      <c r="C629" s="76" t="s">
        <v>30</v>
      </c>
      <c r="D629" s="76" t="s">
        <v>173</v>
      </c>
      <c r="E629" s="76" t="s">
        <v>1270</v>
      </c>
      <c r="F629" s="76" t="s">
        <v>38</v>
      </c>
      <c r="G629" s="76" t="s">
        <v>34</v>
      </c>
      <c r="H629" s="76">
        <f>STOCK[[#This Row],[Precio Final]]</f>
        <v>12</v>
      </c>
      <c r="I629" s="76">
        <f>STOCK[[#This Row],[Precio Venta Ideal (x1.5)]]</f>
        <v>13.755</v>
      </c>
      <c r="J629" s="91">
        <v>2</v>
      </c>
      <c r="K629" s="91">
        <f>SUMIFS(VENTAS[Cantidad],VENTAS[Código del producto Vendido],STOCK[[#This Row],[Code]])</f>
        <v>2</v>
      </c>
      <c r="L629" s="91">
        <f>STOCK[[#This Row],[Entradas]]-STOCK[[#This Row],[Salidas]]</f>
        <v>0</v>
      </c>
      <c r="M629" s="76">
        <f>STOCK[[#This Row],[Precio Final]]*10%</f>
        <v>1.2</v>
      </c>
      <c r="N629" s="76">
        <v>-11.76</v>
      </c>
      <c r="O629" s="76">
        <v>5.88</v>
      </c>
      <c r="P629" s="76">
        <v>4.97</v>
      </c>
      <c r="Q629" s="91">
        <v>0</v>
      </c>
      <c r="R629" s="76">
        <v>0</v>
      </c>
      <c r="S629" s="76">
        <v>3</v>
      </c>
      <c r="T629" s="76">
        <f>STOCK[[#This Row],[Costo Unitario (USD)]]+STOCK[[#This Row],[Costo Envío (USD)]]+STOCK[[#This Row],[Comisión 10%]]</f>
        <v>9.17</v>
      </c>
      <c r="U629" s="76">
        <f>STOCK[[#This Row],[Costo total]]*1.5</f>
        <v>13.755</v>
      </c>
      <c r="V629" s="76">
        <v>12</v>
      </c>
      <c r="W629" s="76">
        <f>STOCK[[#This Row],[Precio Final]]-STOCK[[#This Row],[Costo total]]</f>
        <v>2.83</v>
      </c>
      <c r="X629" s="76">
        <f>STOCK[[#This Row],[Ganancia Unitaria]]*STOCK[[#This Row],[Salidas]]</f>
        <v>5.66</v>
      </c>
      <c r="Y629" s="76" t="s">
        <v>1157</v>
      </c>
      <c r="AA629" s="76">
        <f>STOCK[[#This Row],[Costo total]]*STOCK[[#This Row],[Entradas]]</f>
        <v>18.34</v>
      </c>
      <c r="AB629" s="76">
        <f>STOCK[[#This Row],[Stock Actual]]*STOCK[[#This Row],[Costo total]]</f>
        <v>0</v>
      </c>
    </row>
    <row r="630" s="77" customFormat="1" ht="50" hidden="1" customHeight="1" spans="1:28">
      <c r="A630" s="77" t="s">
        <v>1271</v>
      </c>
      <c r="B630" s="6"/>
      <c r="C630" s="77" t="s">
        <v>30</v>
      </c>
      <c r="D630" s="77" t="s">
        <v>173</v>
      </c>
      <c r="E630" s="77" t="s">
        <v>1270</v>
      </c>
      <c r="F630" s="77" t="s">
        <v>44</v>
      </c>
      <c r="G630" s="77" t="s">
        <v>34</v>
      </c>
      <c r="H630" s="77">
        <f>STOCK[[#This Row],[Precio Final]]</f>
        <v>12</v>
      </c>
      <c r="I630" s="77">
        <f>STOCK[[#This Row],[Precio Venta Ideal (x1.5)]]</f>
        <v>13.755</v>
      </c>
      <c r="J630" s="92">
        <v>3</v>
      </c>
      <c r="K630" s="92">
        <f>SUMIFS(VENTAS[Cantidad],VENTAS[Código del producto Vendido],STOCK[[#This Row],[Code]])</f>
        <v>3</v>
      </c>
      <c r="L630" s="92">
        <f>STOCK[[#This Row],[Entradas]]-STOCK[[#This Row],[Salidas]]</f>
        <v>0</v>
      </c>
      <c r="M630" s="77">
        <f>STOCK[[#This Row],[Precio Final]]*10%</f>
        <v>1.2</v>
      </c>
      <c r="N630" s="77">
        <v>-21.21</v>
      </c>
      <c r="O630" s="77">
        <v>0</v>
      </c>
      <c r="P630" s="77">
        <v>4.97</v>
      </c>
      <c r="Q630" s="92">
        <v>0</v>
      </c>
      <c r="R630" s="77">
        <v>0</v>
      </c>
      <c r="S630" s="77">
        <v>3</v>
      </c>
      <c r="T630" s="76">
        <f>STOCK[[#This Row],[Costo Unitario (USD)]]+STOCK[[#This Row],[Costo Envío (USD)]]+STOCK[[#This Row],[Comisión 10%]]</f>
        <v>9.17</v>
      </c>
      <c r="U630" s="77">
        <f>STOCK[[#This Row],[Costo total]]*1.5</f>
        <v>13.755</v>
      </c>
      <c r="V630" s="77">
        <v>12</v>
      </c>
      <c r="W630" s="77">
        <f>STOCK[[#This Row],[Precio Final]]-STOCK[[#This Row],[Costo total]]</f>
        <v>2.83</v>
      </c>
      <c r="X630" s="77">
        <f>STOCK[[#This Row],[Ganancia Unitaria]]*STOCK[[#This Row],[Salidas]]</f>
        <v>8.49</v>
      </c>
      <c r="Y630" s="77" t="s">
        <v>1157</v>
      </c>
      <c r="AA630" s="77">
        <f>STOCK[[#This Row],[Costo total]]*STOCK[[#This Row],[Entradas]]</f>
        <v>27.51</v>
      </c>
      <c r="AB630" s="77">
        <f>STOCK[[#This Row],[Stock Actual]]*STOCK[[#This Row],[Costo total]]</f>
        <v>0</v>
      </c>
    </row>
    <row r="631" s="76" customFormat="1" ht="50" hidden="1" customHeight="1" spans="1:28">
      <c r="A631" s="76" t="s">
        <v>1272</v>
      </c>
      <c r="B631" s="6"/>
      <c r="C631" s="76" t="s">
        <v>30</v>
      </c>
      <c r="D631" s="76" t="s">
        <v>173</v>
      </c>
      <c r="E631" s="76" t="s">
        <v>1273</v>
      </c>
      <c r="F631" s="76" t="s">
        <v>1274</v>
      </c>
      <c r="G631" s="76" t="s">
        <v>34</v>
      </c>
      <c r="H631" s="76">
        <f>STOCK[[#This Row],[Precio Final]]</f>
        <v>12</v>
      </c>
      <c r="I631" s="76">
        <f>STOCK[[#This Row],[Precio Venta Ideal (x1.5)]]</f>
        <v>13.755</v>
      </c>
      <c r="J631" s="91">
        <v>3</v>
      </c>
      <c r="K631" s="91">
        <f>SUMIFS(VENTAS[Cantidad],VENTAS[Código del producto Vendido],STOCK[[#This Row],[Code]])</f>
        <v>3</v>
      </c>
      <c r="L631" s="91">
        <f>STOCK[[#This Row],[Entradas]]-STOCK[[#This Row],[Salidas]]</f>
        <v>0</v>
      </c>
      <c r="M631" s="76">
        <f>STOCK[[#This Row],[Precio Final]]*10%</f>
        <v>1.2</v>
      </c>
      <c r="N631" s="76">
        <v>-14.14</v>
      </c>
      <c r="O631" s="76">
        <v>0</v>
      </c>
      <c r="P631" s="76">
        <v>4.97</v>
      </c>
      <c r="Q631" s="91">
        <v>0</v>
      </c>
      <c r="R631" s="76">
        <v>0</v>
      </c>
      <c r="S631" s="76">
        <v>3</v>
      </c>
      <c r="T631" s="76">
        <f>STOCK[[#This Row],[Costo Unitario (USD)]]+STOCK[[#This Row],[Costo Envío (USD)]]+STOCK[[#This Row],[Comisión 10%]]</f>
        <v>9.17</v>
      </c>
      <c r="U631" s="76">
        <f>STOCK[[#This Row],[Costo total]]*1.5</f>
        <v>13.755</v>
      </c>
      <c r="V631" s="76">
        <v>12</v>
      </c>
      <c r="W631" s="76">
        <f>STOCK[[#This Row],[Precio Final]]-STOCK[[#This Row],[Costo total]]</f>
        <v>2.83</v>
      </c>
      <c r="X631" s="76">
        <f>STOCK[[#This Row],[Ganancia Unitaria]]*STOCK[[#This Row],[Salidas]]</f>
        <v>8.49</v>
      </c>
      <c r="Y631" s="76" t="s">
        <v>1157</v>
      </c>
      <c r="AA631" s="76">
        <f>STOCK[[#This Row],[Costo total]]*STOCK[[#This Row],[Entradas]]</f>
        <v>27.51</v>
      </c>
      <c r="AB631" s="76">
        <f>STOCK[[#This Row],[Stock Actual]]*STOCK[[#This Row],[Costo total]]</f>
        <v>0</v>
      </c>
    </row>
    <row r="632" s="77" customFormat="1" ht="50" hidden="1" customHeight="1" spans="1:28">
      <c r="A632" s="77" t="s">
        <v>1275</v>
      </c>
      <c r="B632" s="6"/>
      <c r="C632" s="77" t="s">
        <v>30</v>
      </c>
      <c r="D632" s="77" t="s">
        <v>173</v>
      </c>
      <c r="E632" s="77" t="s">
        <v>1276</v>
      </c>
      <c r="F632" s="77" t="s">
        <v>338</v>
      </c>
      <c r="G632" s="77" t="s">
        <v>34</v>
      </c>
      <c r="H632" s="77">
        <f>STOCK[[#This Row],[Precio Final]]</f>
        <v>12</v>
      </c>
      <c r="I632" s="77">
        <f>STOCK[[#This Row],[Precio Venta Ideal (x1.5)]]</f>
        <v>13.935</v>
      </c>
      <c r="J632" s="92">
        <v>2</v>
      </c>
      <c r="K632" s="92">
        <f>SUMIFS(VENTAS[Cantidad],VENTAS[Código del producto Vendido],STOCK[[#This Row],[Code]])</f>
        <v>1</v>
      </c>
      <c r="L632" s="92">
        <f>STOCK[[#This Row],[Entradas]]-STOCK[[#This Row],[Salidas]]</f>
        <v>1</v>
      </c>
      <c r="M632" s="77">
        <f>STOCK[[#This Row],[Precio Final]]*10%</f>
        <v>1.2</v>
      </c>
      <c r="N632" s="77">
        <v>0</v>
      </c>
      <c r="O632" s="77">
        <v>14.26</v>
      </c>
      <c r="P632" s="77">
        <v>5.09</v>
      </c>
      <c r="Q632" s="92">
        <v>0</v>
      </c>
      <c r="R632" s="77">
        <v>0</v>
      </c>
      <c r="S632" s="77">
        <v>3</v>
      </c>
      <c r="T632" s="76">
        <f>STOCK[[#This Row],[Costo Unitario (USD)]]+STOCK[[#This Row],[Costo Envío (USD)]]+STOCK[[#This Row],[Comisión 10%]]</f>
        <v>9.29</v>
      </c>
      <c r="U632" s="77">
        <f>STOCK[[#This Row],[Costo total]]*1.5</f>
        <v>13.935</v>
      </c>
      <c r="V632" s="77">
        <v>12</v>
      </c>
      <c r="W632" s="77">
        <f>STOCK[[#This Row],[Precio Final]]-STOCK[[#This Row],[Costo total]]</f>
        <v>2.71</v>
      </c>
      <c r="X632" s="77">
        <f>STOCK[[#This Row],[Ganancia Unitaria]]*STOCK[[#This Row],[Salidas]]</f>
        <v>2.71</v>
      </c>
      <c r="Y632" s="77" t="s">
        <v>1157</v>
      </c>
      <c r="AA632" s="77">
        <f>STOCK[[#This Row],[Costo total]]*STOCK[[#This Row],[Entradas]]</f>
        <v>18.58</v>
      </c>
      <c r="AB632" s="77">
        <f>STOCK[[#This Row],[Stock Actual]]*STOCK[[#This Row],[Costo total]]</f>
        <v>9.29</v>
      </c>
    </row>
    <row r="633" s="76" customFormat="1" ht="50" hidden="1" customHeight="1" spans="1:28">
      <c r="A633" s="76" t="s">
        <v>1277</v>
      </c>
      <c r="B633" s="6"/>
      <c r="C633" s="76" t="s">
        <v>30</v>
      </c>
      <c r="D633" s="76" t="s">
        <v>173</v>
      </c>
      <c r="E633" s="76" t="s">
        <v>1278</v>
      </c>
      <c r="F633" s="76" t="s">
        <v>44</v>
      </c>
      <c r="G633" s="76" t="s">
        <v>34</v>
      </c>
      <c r="H633" s="76">
        <f>STOCK[[#This Row],[Precio Final]]</f>
        <v>12</v>
      </c>
      <c r="I633" s="76">
        <f>STOCK[[#This Row],[Precio Venta Ideal (x1.5)]]</f>
        <v>13.935</v>
      </c>
      <c r="J633" s="91">
        <v>3</v>
      </c>
      <c r="K633" s="91">
        <f>SUMIFS(VENTAS[Cantidad],VENTAS[Código del producto Vendido],STOCK[[#This Row],[Code]])</f>
        <v>3</v>
      </c>
      <c r="L633" s="91">
        <f>STOCK[[#This Row],[Entradas]]-STOCK[[#This Row],[Salidas]]</f>
        <v>0</v>
      </c>
      <c r="M633" s="76">
        <f>STOCK[[#This Row],[Precio Final]]*10%</f>
        <v>1.2</v>
      </c>
      <c r="N633" s="76">
        <v>-21.39</v>
      </c>
      <c r="O633" s="76">
        <v>0</v>
      </c>
      <c r="P633" s="76">
        <v>5.09</v>
      </c>
      <c r="Q633" s="91">
        <v>0</v>
      </c>
      <c r="R633" s="76">
        <v>0</v>
      </c>
      <c r="S633" s="76">
        <v>3</v>
      </c>
      <c r="T633" s="76">
        <f>STOCK[[#This Row],[Costo Unitario (USD)]]+STOCK[[#This Row],[Costo Envío (USD)]]+STOCK[[#This Row],[Comisión 10%]]</f>
        <v>9.29</v>
      </c>
      <c r="U633" s="76">
        <f>STOCK[[#This Row],[Costo total]]*1.5</f>
        <v>13.935</v>
      </c>
      <c r="V633" s="76">
        <v>12</v>
      </c>
      <c r="W633" s="76">
        <f>STOCK[[#This Row],[Precio Final]]-STOCK[[#This Row],[Costo total]]</f>
        <v>2.71</v>
      </c>
      <c r="X633" s="76">
        <f>STOCK[[#This Row],[Ganancia Unitaria]]*STOCK[[#This Row],[Salidas]]</f>
        <v>8.13</v>
      </c>
      <c r="Y633" s="76" t="s">
        <v>1157</v>
      </c>
      <c r="AA633" s="76">
        <f>STOCK[[#This Row],[Costo total]]*STOCK[[#This Row],[Entradas]]</f>
        <v>27.87</v>
      </c>
      <c r="AB633" s="76">
        <f>STOCK[[#This Row],[Stock Actual]]*STOCK[[#This Row],[Costo total]]</f>
        <v>0</v>
      </c>
    </row>
    <row r="634" s="77" customFormat="1" ht="50" hidden="1" customHeight="1" spans="1:28">
      <c r="A634" s="77" t="s">
        <v>1279</v>
      </c>
      <c r="B634" s="6"/>
      <c r="C634" s="77" t="s">
        <v>30</v>
      </c>
      <c r="D634" s="77" t="s">
        <v>151</v>
      </c>
      <c r="E634" s="77" t="s">
        <v>1280</v>
      </c>
      <c r="F634" s="77" t="s">
        <v>60</v>
      </c>
      <c r="G634" s="77" t="s">
        <v>34</v>
      </c>
      <c r="H634" s="77">
        <f>STOCK[[#This Row],[Precio Final]]</f>
        <v>22</v>
      </c>
      <c r="I634" s="77">
        <f>STOCK[[#This Row],[Precio Venta Ideal (x1.5)]]</f>
        <v>24.855</v>
      </c>
      <c r="J634" s="92">
        <v>3</v>
      </c>
      <c r="K634" s="92">
        <f>SUMIFS(VENTAS[Cantidad],VENTAS[Código del producto Vendido],STOCK[[#This Row],[Code]])</f>
        <v>3</v>
      </c>
      <c r="L634" s="92">
        <f>STOCK[[#This Row],[Entradas]]-STOCK[[#This Row],[Salidas]]</f>
        <v>0</v>
      </c>
      <c r="M634" s="77">
        <f>STOCK[[#This Row],[Precio Final]]*10%</f>
        <v>2.2</v>
      </c>
      <c r="N634" s="77">
        <v>0</v>
      </c>
      <c r="O634" s="77">
        <v>13.94</v>
      </c>
      <c r="P634" s="77">
        <v>11.37</v>
      </c>
      <c r="Q634" s="92">
        <v>0</v>
      </c>
      <c r="R634" s="77">
        <v>0</v>
      </c>
      <c r="S634" s="77">
        <v>3</v>
      </c>
      <c r="T634" s="76">
        <f>STOCK[[#This Row],[Costo Unitario (USD)]]+STOCK[[#This Row],[Costo Envío (USD)]]+STOCK[[#This Row],[Comisión 10%]]</f>
        <v>16.57</v>
      </c>
      <c r="U634" s="77">
        <f>STOCK[[#This Row],[Costo total]]*1.5</f>
        <v>24.855</v>
      </c>
      <c r="V634" s="77">
        <v>22</v>
      </c>
      <c r="W634" s="77">
        <f>STOCK[[#This Row],[Precio Final]]-STOCK[[#This Row],[Costo total]]</f>
        <v>5.43</v>
      </c>
      <c r="X634" s="77">
        <f>STOCK[[#This Row],[Ganancia Unitaria]]*STOCK[[#This Row],[Salidas]]</f>
        <v>16.29</v>
      </c>
      <c r="Y634" s="77" t="s">
        <v>1157</v>
      </c>
      <c r="AA634" s="77">
        <f>STOCK[[#This Row],[Costo total]]*STOCK[[#This Row],[Entradas]]</f>
        <v>49.71</v>
      </c>
      <c r="AB634" s="77">
        <f>STOCK[[#This Row],[Stock Actual]]*STOCK[[#This Row],[Costo total]]</f>
        <v>0</v>
      </c>
    </row>
    <row r="635" s="76" customFormat="1" ht="50" hidden="1" customHeight="1" spans="1:28">
      <c r="A635" s="76" t="s">
        <v>1281</v>
      </c>
      <c r="B635" s="6"/>
      <c r="C635" s="76" t="s">
        <v>30</v>
      </c>
      <c r="D635" s="76" t="s">
        <v>151</v>
      </c>
      <c r="E635" s="76" t="s">
        <v>1282</v>
      </c>
      <c r="F635" s="76" t="s">
        <v>38</v>
      </c>
      <c r="G635" s="76" t="s">
        <v>34</v>
      </c>
      <c r="H635" s="76">
        <f>STOCK[[#This Row],[Precio Final]]</f>
        <v>28</v>
      </c>
      <c r="I635" s="76">
        <f>STOCK[[#This Row],[Precio Venta Ideal (x1.5)]]</f>
        <v>35.37</v>
      </c>
      <c r="J635" s="91">
        <v>2</v>
      </c>
      <c r="K635" s="91">
        <f>SUMIFS(VENTAS[Cantidad],VENTAS[Código del producto Vendido],STOCK[[#This Row],[Code]])</f>
        <v>2</v>
      </c>
      <c r="L635" s="91">
        <f>STOCK[[#This Row],[Entradas]]-STOCK[[#This Row],[Salidas]]</f>
        <v>0</v>
      </c>
      <c r="M635" s="76">
        <f>STOCK[[#This Row],[Precio Final]]*10%</f>
        <v>2.8</v>
      </c>
      <c r="N635" s="76">
        <v>-40.31</v>
      </c>
      <c r="O635" s="76">
        <v>0</v>
      </c>
      <c r="P635" s="76">
        <v>15.78</v>
      </c>
      <c r="Q635" s="91">
        <v>0</v>
      </c>
      <c r="R635" s="76">
        <v>0</v>
      </c>
      <c r="S635" s="76">
        <v>5</v>
      </c>
      <c r="T635" s="76">
        <f>STOCK[[#This Row],[Costo Unitario (USD)]]+STOCK[[#This Row],[Costo Envío (USD)]]+STOCK[[#This Row],[Comisión 10%]]</f>
        <v>23.58</v>
      </c>
      <c r="U635" s="76">
        <f>STOCK[[#This Row],[Costo total]]*1.5</f>
        <v>35.37</v>
      </c>
      <c r="V635" s="76">
        <v>28</v>
      </c>
      <c r="W635" s="76">
        <f>STOCK[[#This Row],[Precio Final]]-STOCK[[#This Row],[Costo total]]</f>
        <v>4.42</v>
      </c>
      <c r="X635" s="76">
        <f>STOCK[[#This Row],[Ganancia Unitaria]]*STOCK[[#This Row],[Salidas]]</f>
        <v>8.84</v>
      </c>
      <c r="Y635" s="76" t="s">
        <v>1157</v>
      </c>
      <c r="AA635" s="76">
        <f>STOCK[[#This Row],[Costo total]]*STOCK[[#This Row],[Entradas]]</f>
        <v>47.16</v>
      </c>
      <c r="AB635" s="76">
        <f>STOCK[[#This Row],[Stock Actual]]*STOCK[[#This Row],[Costo total]]</f>
        <v>0</v>
      </c>
    </row>
    <row r="636" s="77" customFormat="1" ht="50" hidden="1" customHeight="1" spans="1:28">
      <c r="A636" s="77" t="s">
        <v>1283</v>
      </c>
      <c r="B636" s="6"/>
      <c r="C636" s="77" t="s">
        <v>30</v>
      </c>
      <c r="D636" s="77" t="s">
        <v>151</v>
      </c>
      <c r="E636" s="77" t="s">
        <v>1284</v>
      </c>
      <c r="F636" s="77" t="s">
        <v>60</v>
      </c>
      <c r="G636" s="77" t="s">
        <v>34</v>
      </c>
      <c r="H636" s="77">
        <f>STOCK[[#This Row],[Precio Final]]</f>
        <v>28</v>
      </c>
      <c r="I636" s="77">
        <f>STOCK[[#This Row],[Precio Venta Ideal (x1.5)]]</f>
        <v>35.37</v>
      </c>
      <c r="J636" s="92">
        <v>2</v>
      </c>
      <c r="K636" s="92">
        <f>SUMIFS(VENTAS[Cantidad],VENTAS[Código del producto Vendido],STOCK[[#This Row],[Code]])</f>
        <v>1</v>
      </c>
      <c r="L636" s="92">
        <f>STOCK[[#This Row],[Entradas]]-STOCK[[#This Row],[Salidas]]</f>
        <v>1</v>
      </c>
      <c r="M636" s="77">
        <f>STOCK[[#This Row],[Precio Final]]*10%</f>
        <v>2.8</v>
      </c>
      <c r="N636" s="77">
        <v>10.7</v>
      </c>
      <c r="O636" s="77">
        <v>19.3</v>
      </c>
      <c r="P636" s="77">
        <v>15.78</v>
      </c>
      <c r="Q636" s="92">
        <v>0</v>
      </c>
      <c r="R636" s="77">
        <v>0</v>
      </c>
      <c r="S636" s="77">
        <v>5</v>
      </c>
      <c r="T636" s="76">
        <f>STOCK[[#This Row],[Costo Unitario (USD)]]+STOCK[[#This Row],[Costo Envío (USD)]]+STOCK[[#This Row],[Comisión 10%]]</f>
        <v>23.58</v>
      </c>
      <c r="U636" s="77">
        <f>STOCK[[#This Row],[Costo total]]*1.5</f>
        <v>35.37</v>
      </c>
      <c r="V636" s="77">
        <v>28</v>
      </c>
      <c r="W636" s="77">
        <f>STOCK[[#This Row],[Precio Final]]-STOCK[[#This Row],[Costo total]]</f>
        <v>4.42</v>
      </c>
      <c r="X636" s="77">
        <f>STOCK[[#This Row],[Ganancia Unitaria]]*STOCK[[#This Row],[Salidas]]</f>
        <v>4.42</v>
      </c>
      <c r="Y636" s="77" t="s">
        <v>1157</v>
      </c>
      <c r="AA636" s="77">
        <f>STOCK[[#This Row],[Costo total]]*STOCK[[#This Row],[Entradas]]</f>
        <v>47.16</v>
      </c>
      <c r="AB636" s="77">
        <f>STOCK[[#This Row],[Stock Actual]]*STOCK[[#This Row],[Costo total]]</f>
        <v>23.58</v>
      </c>
    </row>
    <row r="637" s="76" customFormat="1" ht="50" hidden="1" customHeight="1" spans="1:28">
      <c r="A637" s="76" t="s">
        <v>1285</v>
      </c>
      <c r="B637" s="6"/>
      <c r="C637" s="76" t="s">
        <v>30</v>
      </c>
      <c r="D637" s="76" t="s">
        <v>151</v>
      </c>
      <c r="E637" s="76" t="s">
        <v>1284</v>
      </c>
      <c r="F637" s="76" t="s">
        <v>47</v>
      </c>
      <c r="G637" s="76" t="s">
        <v>34</v>
      </c>
      <c r="H637" s="76">
        <f>STOCK[[#This Row],[Precio Final]]</f>
        <v>28</v>
      </c>
      <c r="I637" s="76">
        <f>STOCK[[#This Row],[Precio Venta Ideal (x1.5)]]</f>
        <v>35.37</v>
      </c>
      <c r="J637" s="91">
        <v>1</v>
      </c>
      <c r="K637" s="91">
        <f>SUMIFS(VENTAS[Cantidad],VENTAS[Código del producto Vendido],STOCK[[#This Row],[Code]])</f>
        <v>1</v>
      </c>
      <c r="L637" s="91">
        <f>STOCK[[#This Row],[Entradas]]-STOCK[[#This Row],[Salidas]]</f>
        <v>0</v>
      </c>
      <c r="M637" s="76">
        <f>STOCK[[#This Row],[Precio Final]]*10%</f>
        <v>2.8</v>
      </c>
      <c r="N637" s="76">
        <v>0</v>
      </c>
      <c r="O637" s="76">
        <v>19.3</v>
      </c>
      <c r="P637" s="76">
        <v>15.78</v>
      </c>
      <c r="Q637" s="91">
        <v>0</v>
      </c>
      <c r="R637" s="76">
        <v>0</v>
      </c>
      <c r="S637" s="76">
        <v>5</v>
      </c>
      <c r="T637" s="76">
        <f>STOCK[[#This Row],[Costo Unitario (USD)]]+STOCK[[#This Row],[Costo Envío (USD)]]+STOCK[[#This Row],[Comisión 10%]]</f>
        <v>23.58</v>
      </c>
      <c r="U637" s="76">
        <f>STOCK[[#This Row],[Costo total]]*1.5</f>
        <v>35.37</v>
      </c>
      <c r="V637" s="76">
        <v>28</v>
      </c>
      <c r="W637" s="76">
        <f>STOCK[[#This Row],[Precio Final]]-STOCK[[#This Row],[Costo total]]</f>
        <v>4.42</v>
      </c>
      <c r="X637" s="76">
        <f>STOCK[[#This Row],[Ganancia Unitaria]]*STOCK[[#This Row],[Salidas]]</f>
        <v>4.42</v>
      </c>
      <c r="Y637" s="76" t="s">
        <v>1157</v>
      </c>
      <c r="AA637" s="76">
        <f>STOCK[[#This Row],[Costo total]]*STOCK[[#This Row],[Entradas]]</f>
        <v>23.58</v>
      </c>
      <c r="AB637" s="76">
        <f>STOCK[[#This Row],[Stock Actual]]*STOCK[[#This Row],[Costo total]]</f>
        <v>0</v>
      </c>
    </row>
    <row r="638" s="77" customFormat="1" ht="50" hidden="1" customHeight="1" spans="1:28">
      <c r="A638" s="77" t="s">
        <v>1286</v>
      </c>
      <c r="B638" s="6"/>
      <c r="C638" s="77" t="s">
        <v>30</v>
      </c>
      <c r="D638" s="77" t="s">
        <v>151</v>
      </c>
      <c r="E638" s="77" t="s">
        <v>1287</v>
      </c>
      <c r="F638" s="77" t="s">
        <v>38</v>
      </c>
      <c r="G638" s="77" t="s">
        <v>34</v>
      </c>
      <c r="H638" s="77">
        <f>STOCK[[#This Row],[Precio Final]]</f>
        <v>0</v>
      </c>
      <c r="I638" s="77">
        <f>STOCK[[#This Row],[Precio Venta Ideal (x1.5)]]</f>
        <v>31.17</v>
      </c>
      <c r="J638" s="92">
        <v>1</v>
      </c>
      <c r="K638" s="92">
        <f>SUMIFS(VENTAS[Cantidad],VENTAS[Código del producto Vendido],STOCK[[#This Row],[Code]])</f>
        <v>1</v>
      </c>
      <c r="L638" s="92">
        <f>STOCK[[#This Row],[Entradas]]-STOCK[[#This Row],[Salidas]]</f>
        <v>0</v>
      </c>
      <c r="M638" s="77">
        <f>STOCK[[#This Row],[Precio Final]]*10%</f>
        <v>0</v>
      </c>
      <c r="N638" s="77">
        <v>10.7</v>
      </c>
      <c r="O638" s="77">
        <v>0</v>
      </c>
      <c r="P638" s="77">
        <v>15.78</v>
      </c>
      <c r="Q638" s="92">
        <v>0</v>
      </c>
      <c r="R638" s="77">
        <v>0</v>
      </c>
      <c r="S638" s="77">
        <v>5</v>
      </c>
      <c r="T638" s="76">
        <f>STOCK[[#This Row],[Costo Unitario (USD)]]+STOCK[[#This Row],[Costo Envío (USD)]]+STOCK[[#This Row],[Comisión 10%]]</f>
        <v>20.78</v>
      </c>
      <c r="U638" s="77">
        <f>STOCK[[#This Row],[Costo total]]*1.5</f>
        <v>31.17</v>
      </c>
      <c r="W638" s="77">
        <f>STOCK[[#This Row],[Precio Final]]-STOCK[[#This Row],[Costo total]]</f>
        <v>-20.78</v>
      </c>
      <c r="X638" s="77">
        <f>STOCK[[#This Row],[Ganancia Unitaria]]*STOCK[[#This Row],[Salidas]]</f>
        <v>-20.78</v>
      </c>
      <c r="Y638" s="77" t="s">
        <v>1157</v>
      </c>
      <c r="AA638" s="77">
        <f>STOCK[[#This Row],[Costo total]]*STOCK[[#This Row],[Entradas]]</f>
        <v>20.78</v>
      </c>
      <c r="AB638" s="77">
        <f>STOCK[[#This Row],[Stock Actual]]*STOCK[[#This Row],[Costo total]]</f>
        <v>0</v>
      </c>
    </row>
    <row r="639" s="76" customFormat="1" ht="50" hidden="1" customHeight="1" spans="1:28">
      <c r="A639" s="76" t="s">
        <v>1288</v>
      </c>
      <c r="B639" s="6"/>
      <c r="C639" s="76" t="s">
        <v>30</v>
      </c>
      <c r="D639" s="76" t="s">
        <v>173</v>
      </c>
      <c r="E639" s="76" t="s">
        <v>1268</v>
      </c>
      <c r="F639" s="76" t="s">
        <v>992</v>
      </c>
      <c r="G639" s="76" t="s">
        <v>34</v>
      </c>
      <c r="H639" s="76">
        <f>STOCK[[#This Row],[Precio Final]]</f>
        <v>10</v>
      </c>
      <c r="I639" s="76">
        <f>STOCK[[#This Row],[Precio Venta Ideal (x1.5)]]</f>
        <v>11.595</v>
      </c>
      <c r="J639" s="91">
        <v>1</v>
      </c>
      <c r="K639" s="91">
        <f>SUMIFS(VENTAS[Cantidad],VENTAS[Código del producto Vendido],STOCK[[#This Row],[Code]])</f>
        <v>1</v>
      </c>
      <c r="L639" s="91">
        <f>STOCK[[#This Row],[Entradas]]-STOCK[[#This Row],[Salidas]]</f>
        <v>0</v>
      </c>
      <c r="M639" s="76">
        <f>STOCK[[#This Row],[Precio Final]]*10%</f>
        <v>1</v>
      </c>
      <c r="N639" s="76">
        <v>0</v>
      </c>
      <c r="O639" s="76">
        <v>4.52</v>
      </c>
      <c r="P639" s="76">
        <v>3.73</v>
      </c>
      <c r="Q639" s="91">
        <v>0</v>
      </c>
      <c r="R639" s="76">
        <v>0</v>
      </c>
      <c r="S639" s="76">
        <v>3</v>
      </c>
      <c r="T639" s="76">
        <f>STOCK[[#This Row],[Costo Unitario (USD)]]+STOCK[[#This Row],[Costo Envío (USD)]]+STOCK[[#This Row],[Comisión 10%]]</f>
        <v>7.73</v>
      </c>
      <c r="U639" s="76">
        <f>STOCK[[#This Row],[Costo total]]*1.5</f>
        <v>11.595</v>
      </c>
      <c r="V639" s="76">
        <v>10</v>
      </c>
      <c r="W639" s="76">
        <f>STOCK[[#This Row],[Precio Final]]-STOCK[[#This Row],[Costo total]]</f>
        <v>2.27</v>
      </c>
      <c r="X639" s="76">
        <f>STOCK[[#This Row],[Ganancia Unitaria]]*STOCK[[#This Row],[Salidas]]</f>
        <v>2.27</v>
      </c>
      <c r="Y639" s="76" t="s">
        <v>1157</v>
      </c>
      <c r="AA639" s="76">
        <f>STOCK[[#This Row],[Costo total]]*STOCK[[#This Row],[Entradas]]</f>
        <v>7.73</v>
      </c>
      <c r="AB639" s="76">
        <f>STOCK[[#This Row],[Stock Actual]]*STOCK[[#This Row],[Costo total]]</f>
        <v>0</v>
      </c>
    </row>
    <row r="640" s="77" customFormat="1" ht="50" hidden="1" customHeight="1" spans="1:28">
      <c r="A640" s="77" t="s">
        <v>1289</v>
      </c>
      <c r="B640" s="6"/>
      <c r="C640" s="77" t="s">
        <v>30</v>
      </c>
      <c r="D640" s="77" t="s">
        <v>173</v>
      </c>
      <c r="E640" s="77" t="s">
        <v>1290</v>
      </c>
      <c r="F640" s="77" t="s">
        <v>38</v>
      </c>
      <c r="G640" s="77" t="s">
        <v>34</v>
      </c>
      <c r="H640" s="77">
        <f>STOCK[[#This Row],[Precio Final]]</f>
        <v>10</v>
      </c>
      <c r="I640" s="77">
        <f>STOCK[[#This Row],[Precio Venta Ideal (x1.5)]]</f>
        <v>11.595</v>
      </c>
      <c r="J640" s="92">
        <v>2</v>
      </c>
      <c r="K640" s="92">
        <f>SUMIFS(VENTAS[Cantidad],VENTAS[Código del producto Vendido],STOCK[[#This Row],[Code]])</f>
        <v>0</v>
      </c>
      <c r="L640" s="92">
        <f>STOCK[[#This Row],[Entradas]]-STOCK[[#This Row],[Salidas]]</f>
        <v>2</v>
      </c>
      <c r="M640" s="77">
        <f>STOCK[[#This Row],[Precio Final]]*10%</f>
        <v>1</v>
      </c>
      <c r="N640" s="77">
        <v>0</v>
      </c>
      <c r="O640" s="77">
        <v>4.52</v>
      </c>
      <c r="P640" s="77">
        <v>3.73</v>
      </c>
      <c r="Q640" s="92">
        <v>0</v>
      </c>
      <c r="R640" s="77">
        <v>0</v>
      </c>
      <c r="S640" s="77">
        <v>3</v>
      </c>
      <c r="T640" s="76">
        <f>STOCK[[#This Row],[Costo Unitario (USD)]]+STOCK[[#This Row],[Costo Envío (USD)]]+STOCK[[#This Row],[Comisión 10%]]</f>
        <v>7.73</v>
      </c>
      <c r="U640" s="77">
        <f>STOCK[[#This Row],[Costo total]]*1.5</f>
        <v>11.595</v>
      </c>
      <c r="V640" s="77">
        <v>10</v>
      </c>
      <c r="W640" s="77">
        <f>STOCK[[#This Row],[Precio Final]]-STOCK[[#This Row],[Costo total]]</f>
        <v>2.27</v>
      </c>
      <c r="X640" s="77">
        <f>STOCK[[#This Row],[Ganancia Unitaria]]*STOCK[[#This Row],[Salidas]]</f>
        <v>0</v>
      </c>
      <c r="Y640" s="77" t="s">
        <v>1157</v>
      </c>
      <c r="AA640" s="77">
        <f>STOCK[[#This Row],[Costo total]]*STOCK[[#This Row],[Entradas]]</f>
        <v>15.46</v>
      </c>
      <c r="AB640" s="77">
        <f>STOCK[[#This Row],[Stock Actual]]*STOCK[[#This Row],[Costo total]]</f>
        <v>15.46</v>
      </c>
    </row>
    <row r="641" s="76" customFormat="1" ht="50" hidden="1" customHeight="1" spans="1:29">
      <c r="A641" s="76" t="s">
        <v>1291</v>
      </c>
      <c r="B641" s="6"/>
      <c r="C641" s="76" t="s">
        <v>30</v>
      </c>
      <c r="D641" s="76" t="s">
        <v>195</v>
      </c>
      <c r="E641" s="76" t="s">
        <v>1292</v>
      </c>
      <c r="F641" s="76" t="s">
        <v>1293</v>
      </c>
      <c r="G641" s="76" t="s">
        <v>1294</v>
      </c>
      <c r="H641" s="76">
        <f>STOCK[[#This Row],[Precio Final]]</f>
        <v>35</v>
      </c>
      <c r="I641" s="76">
        <f>STOCK[[#This Row],[Precio Venta Ideal (x1.5)]]</f>
        <v>36.435</v>
      </c>
      <c r="J641" s="91">
        <v>7</v>
      </c>
      <c r="K641" s="91">
        <f>SUMIFS(VENTAS[Cantidad],VENTAS[Código del producto Vendido],STOCK[[#This Row],[Code]])</f>
        <v>6</v>
      </c>
      <c r="L641" s="91">
        <f>STOCK[[#This Row],[Entradas]]-STOCK[[#This Row],[Salidas]]</f>
        <v>1</v>
      </c>
      <c r="M641" s="76">
        <f>STOCK[[#This Row],[Precio Final]]*10%</f>
        <v>3.5</v>
      </c>
      <c r="N641" s="76">
        <v>7.21</v>
      </c>
      <c r="O641" s="76">
        <v>113.95</v>
      </c>
      <c r="P641" s="76">
        <v>15.79</v>
      </c>
      <c r="Q641" s="91">
        <v>0</v>
      </c>
      <c r="R641" s="76">
        <v>0</v>
      </c>
      <c r="S641" s="76">
        <v>5</v>
      </c>
      <c r="T641" s="76">
        <f>STOCK[[#This Row],[Costo Unitario (USD)]]+STOCK[[#This Row],[Costo Envío (USD)]]+STOCK[[#This Row],[Comisión 10%]]</f>
        <v>24.29</v>
      </c>
      <c r="U641" s="76">
        <f>STOCK[[#This Row],[Costo total]]*1.5</f>
        <v>36.435</v>
      </c>
      <c r="V641" s="76">
        <v>35</v>
      </c>
      <c r="W641" s="76">
        <f>STOCK[[#This Row],[Precio Final]]-STOCK[[#This Row],[Costo total]]</f>
        <v>10.71</v>
      </c>
      <c r="X641" s="76">
        <f>STOCK[[#This Row],[Ganancia Unitaria]]*STOCK[[#This Row],[Salidas]]</f>
        <v>64.26</v>
      </c>
      <c r="AA641" s="76">
        <f>STOCK[[#This Row],[Costo total]]*STOCK[[#This Row],[Entradas]]</f>
        <v>170.03</v>
      </c>
      <c r="AB641" s="76">
        <f>STOCK[[#This Row],[Stock Actual]]*STOCK[[#This Row],[Costo total]]</f>
        <v>24.29</v>
      </c>
      <c r="AC641" s="76">
        <v>30</v>
      </c>
    </row>
    <row r="642" s="77" customFormat="1" ht="50" hidden="1" customHeight="1" spans="2:28">
      <c r="B642" s="6"/>
      <c r="H642" s="77">
        <f>STOCK[[#This Row],[Precio Final]]</f>
        <v>0</v>
      </c>
      <c r="I642" s="77">
        <f>STOCK[[#This Row],[Precio Venta Ideal (x1.5)]]</f>
        <v>0</v>
      </c>
      <c r="J642" s="92"/>
      <c r="K642" s="92">
        <f>SUMIFS(VENTAS[Cantidad],VENTAS[Código del producto Vendido],STOCK[[#This Row],[Code]])</f>
        <v>0</v>
      </c>
      <c r="L642" s="92">
        <f>STOCK[[#This Row],[Entradas]]-STOCK[[#This Row],[Salidas]]</f>
        <v>0</v>
      </c>
      <c r="M642" s="77">
        <f>STOCK[[#This Row],[Precio Final]]*10%</f>
        <v>0</v>
      </c>
      <c r="Q642" s="92">
        <v>0</v>
      </c>
      <c r="R642" s="77">
        <v>0</v>
      </c>
      <c r="T642" s="76">
        <f>STOCK[[#This Row],[Costo Unitario (USD)]]+STOCK[[#This Row],[Costo Envío (USD)]]+STOCK[[#This Row],[Comisión 10%]]</f>
        <v>0</v>
      </c>
      <c r="U642" s="77">
        <f>STOCK[[#This Row],[Costo total]]*1.5</f>
        <v>0</v>
      </c>
      <c r="W642" s="77">
        <f>STOCK[[#This Row],[Precio Final]]-STOCK[[#This Row],[Costo total]]</f>
        <v>0</v>
      </c>
      <c r="X642" s="77">
        <f>STOCK[[#This Row],[Ganancia Unitaria]]*STOCK[[#This Row],[Salidas]]</f>
        <v>0</v>
      </c>
      <c r="AA642" s="77">
        <f>STOCK[[#This Row],[Costo total]]*STOCK[[#This Row],[Entradas]]</f>
        <v>0</v>
      </c>
      <c r="AB642" s="77">
        <f>STOCK[[#This Row],[Stock Actual]]*STOCK[[#This Row],[Costo total]]</f>
        <v>0</v>
      </c>
    </row>
    <row r="643" s="76" customFormat="1" ht="50" hidden="1" customHeight="1" spans="1:29">
      <c r="A643" s="76" t="s">
        <v>1295</v>
      </c>
      <c r="B643" s="6"/>
      <c r="C643" s="76" t="s">
        <v>30</v>
      </c>
      <c r="D643" s="76" t="s">
        <v>195</v>
      </c>
      <c r="E643" s="76" t="s">
        <v>1296</v>
      </c>
      <c r="F643" s="76" t="s">
        <v>47</v>
      </c>
      <c r="G643" s="76" t="s">
        <v>1294</v>
      </c>
      <c r="H643" s="76">
        <f>STOCK[[#This Row],[Precio Final]]</f>
        <v>30</v>
      </c>
      <c r="I643" s="76">
        <f>STOCK[[#This Row],[Precio Venta Ideal (x1.5)]]</f>
        <v>31.5</v>
      </c>
      <c r="J643" s="91">
        <v>4</v>
      </c>
      <c r="K643" s="91">
        <f>SUMIFS(VENTAS[Cantidad],VENTAS[Código del producto Vendido],STOCK[[#This Row],[Code]])</f>
        <v>1</v>
      </c>
      <c r="L643" s="91">
        <f>STOCK[[#This Row],[Entradas]]-STOCK[[#This Row],[Salidas]]</f>
        <v>3</v>
      </c>
      <c r="M643" s="76">
        <f>STOCK[[#This Row],[Precio Final]]*10%</f>
        <v>3</v>
      </c>
      <c r="N643" s="76">
        <v>10.47</v>
      </c>
      <c r="O643" s="76">
        <v>17.53</v>
      </c>
      <c r="P643" s="76">
        <v>13</v>
      </c>
      <c r="Q643" s="91">
        <v>0</v>
      </c>
      <c r="R643" s="76">
        <v>0</v>
      </c>
      <c r="S643" s="76">
        <v>5</v>
      </c>
      <c r="T643" s="76">
        <f>STOCK[[#This Row],[Costo Unitario (USD)]]+STOCK[[#This Row],[Costo Envío (USD)]]+STOCK[[#This Row],[Comisión 10%]]</f>
        <v>21</v>
      </c>
      <c r="U643" s="76">
        <f>STOCK[[#This Row],[Costo total]]*1.5</f>
        <v>31.5</v>
      </c>
      <c r="V643" s="76">
        <v>30</v>
      </c>
      <c r="W643" s="76">
        <f>STOCK[[#This Row],[Precio Final]]-STOCK[[#This Row],[Costo total]]</f>
        <v>9</v>
      </c>
      <c r="X643" s="76">
        <f>STOCK[[#This Row],[Ganancia Unitaria]]*STOCK[[#This Row],[Salidas]]</f>
        <v>9</v>
      </c>
      <c r="AA643" s="76">
        <f>STOCK[[#This Row],[Costo total]]*STOCK[[#This Row],[Entradas]]</f>
        <v>84</v>
      </c>
      <c r="AB643" s="76">
        <f>STOCK[[#This Row],[Stock Actual]]*STOCK[[#This Row],[Costo total]]</f>
        <v>63</v>
      </c>
      <c r="AC643" s="76">
        <v>28</v>
      </c>
    </row>
    <row r="644" s="77" customFormat="1" ht="50" hidden="1" customHeight="1" spans="1:28">
      <c r="A644" s="77" t="s">
        <v>1297</v>
      </c>
      <c r="B644" s="6"/>
      <c r="C644" s="77" t="s">
        <v>30</v>
      </c>
      <c r="D644" s="77" t="s">
        <v>514</v>
      </c>
      <c r="E644" s="77" t="s">
        <v>1298</v>
      </c>
      <c r="F644" s="77" t="s">
        <v>762</v>
      </c>
      <c r="G644" s="77" t="s">
        <v>1294</v>
      </c>
      <c r="H644" s="77">
        <f>STOCK[[#This Row],[Precio Final]]</f>
        <v>30</v>
      </c>
      <c r="I644" s="77">
        <f>STOCK[[#This Row],[Precio Venta Ideal (x1.5)]]</f>
        <v>33.735</v>
      </c>
      <c r="J644" s="92">
        <v>2</v>
      </c>
      <c r="K644" s="92">
        <f>SUMIFS(VENTAS[Cantidad],VENTAS[Código del producto Vendido],STOCK[[#This Row],[Code]])</f>
        <v>2</v>
      </c>
      <c r="L644" s="92">
        <f>STOCK[[#This Row],[Entradas]]-STOCK[[#This Row],[Salidas]]</f>
        <v>0</v>
      </c>
      <c r="M644" s="77">
        <f>STOCK[[#This Row],[Precio Final]]*10%</f>
        <v>3</v>
      </c>
      <c r="N644" s="77">
        <v>7.88</v>
      </c>
      <c r="O644" s="77">
        <v>0</v>
      </c>
      <c r="P644" s="77">
        <v>11.49</v>
      </c>
      <c r="Q644" s="92">
        <v>0</v>
      </c>
      <c r="R644" s="77">
        <v>0</v>
      </c>
      <c r="S644" s="77">
        <v>8</v>
      </c>
      <c r="T644" s="76">
        <f>STOCK[[#This Row],[Costo Unitario (USD)]]+STOCK[[#This Row],[Costo Envío (USD)]]+STOCK[[#This Row],[Comisión 10%]]</f>
        <v>22.49</v>
      </c>
      <c r="U644" s="77">
        <f>STOCK[[#This Row],[Costo total]]*1.5</f>
        <v>33.735</v>
      </c>
      <c r="V644" s="77">
        <v>30</v>
      </c>
      <c r="W644" s="77">
        <f>STOCK[[#This Row],[Precio Final]]-STOCK[[#This Row],[Costo total]]</f>
        <v>7.51</v>
      </c>
      <c r="X644" s="77">
        <f>STOCK[[#This Row],[Ganancia Unitaria]]*STOCK[[#This Row],[Salidas]]</f>
        <v>15.02</v>
      </c>
      <c r="AA644" s="77">
        <f>STOCK[[#This Row],[Costo total]]*STOCK[[#This Row],[Entradas]]</f>
        <v>44.98</v>
      </c>
      <c r="AB644" s="77">
        <f>STOCK[[#This Row],[Stock Actual]]*STOCK[[#This Row],[Costo total]]</f>
        <v>0</v>
      </c>
    </row>
    <row r="645" s="76" customFormat="1" ht="50" hidden="1" customHeight="1" spans="1:28">
      <c r="A645" s="76" t="s">
        <v>1299</v>
      </c>
      <c r="B645" s="6"/>
      <c r="C645" s="76" t="s">
        <v>30</v>
      </c>
      <c r="D645" s="76" t="s">
        <v>514</v>
      </c>
      <c r="E645" s="76" t="s">
        <v>1300</v>
      </c>
      <c r="F645" s="76" t="s">
        <v>47</v>
      </c>
      <c r="G645" s="76" t="s">
        <v>1294</v>
      </c>
      <c r="H645" s="76">
        <f>STOCK[[#This Row],[Precio Final]]</f>
        <v>18</v>
      </c>
      <c r="I645" s="76">
        <f>STOCK[[#This Row],[Precio Venta Ideal (x1.5)]]</f>
        <v>20.7</v>
      </c>
      <c r="J645" s="91">
        <v>1</v>
      </c>
      <c r="K645" s="91">
        <f>SUMIFS(VENTAS[Cantidad],VENTAS[Código del producto Vendido],STOCK[[#This Row],[Code]])</f>
        <v>1</v>
      </c>
      <c r="L645" s="91">
        <f>STOCK[[#This Row],[Entradas]]-STOCK[[#This Row],[Salidas]]</f>
        <v>0</v>
      </c>
      <c r="M645" s="76">
        <f>STOCK[[#This Row],[Precio Final]]*10%</f>
        <v>1.8</v>
      </c>
      <c r="N645" s="76">
        <v>7.88</v>
      </c>
      <c r="O645" s="76">
        <v>0</v>
      </c>
      <c r="P645" s="76">
        <v>7</v>
      </c>
      <c r="Q645" s="91">
        <v>0</v>
      </c>
      <c r="R645" s="76">
        <v>0</v>
      </c>
      <c r="S645" s="76">
        <v>5</v>
      </c>
      <c r="T645" s="76">
        <f>STOCK[[#This Row],[Costo Unitario (USD)]]+STOCK[[#This Row],[Costo Envío (USD)]]+STOCK[[#This Row],[Comisión 10%]]</f>
        <v>13.8</v>
      </c>
      <c r="U645" s="76">
        <f>STOCK[[#This Row],[Costo total]]*1.5</f>
        <v>20.7</v>
      </c>
      <c r="V645" s="76">
        <v>18</v>
      </c>
      <c r="W645" s="76">
        <f>STOCK[[#This Row],[Precio Final]]-STOCK[[#This Row],[Costo total]]</f>
        <v>4.2</v>
      </c>
      <c r="X645" s="76">
        <f>STOCK[[#This Row],[Ganancia Unitaria]]*STOCK[[#This Row],[Salidas]]</f>
        <v>4.2</v>
      </c>
      <c r="AA645" s="76">
        <f>STOCK[[#This Row],[Costo total]]*STOCK[[#This Row],[Entradas]]</f>
        <v>13.8</v>
      </c>
      <c r="AB645" s="76">
        <f>STOCK[[#This Row],[Stock Actual]]*STOCK[[#This Row],[Costo total]]</f>
        <v>0</v>
      </c>
    </row>
    <row r="646" s="77" customFormat="1" ht="50" hidden="1" customHeight="1" spans="1:28">
      <c r="A646" s="77" t="s">
        <v>1301</v>
      </c>
      <c r="B646" s="6"/>
      <c r="C646" s="77" t="s">
        <v>30</v>
      </c>
      <c r="D646" s="77" t="s">
        <v>151</v>
      </c>
      <c r="E646" s="77" t="s">
        <v>1302</v>
      </c>
      <c r="F646" s="77" t="s">
        <v>1303</v>
      </c>
      <c r="G646" s="77" t="s">
        <v>1294</v>
      </c>
      <c r="H646" s="77">
        <f>STOCK[[#This Row],[Precio Final]]</f>
        <v>32</v>
      </c>
      <c r="I646" s="77">
        <f>STOCK[[#This Row],[Precio Venta Ideal (x1.5)]]</f>
        <v>40.485</v>
      </c>
      <c r="J646" s="92">
        <v>8</v>
      </c>
      <c r="K646" s="92">
        <f>SUMIFS(VENTAS[Cantidad],VENTAS[Código del producto Vendido],STOCK[[#This Row],[Code]])</f>
        <v>8</v>
      </c>
      <c r="L646" s="92">
        <f>STOCK[[#This Row],[Entradas]]-STOCK[[#This Row],[Salidas]]</f>
        <v>0</v>
      </c>
      <c r="M646" s="77">
        <f>STOCK[[#This Row],[Precio Final]]*10%</f>
        <v>3.2</v>
      </c>
      <c r="N646" s="77">
        <v>0</v>
      </c>
      <c r="O646" s="77">
        <v>25.79</v>
      </c>
      <c r="P646" s="77">
        <v>15.79</v>
      </c>
      <c r="Q646" s="92">
        <v>0</v>
      </c>
      <c r="R646" s="77">
        <v>0</v>
      </c>
      <c r="S646" s="77">
        <v>8</v>
      </c>
      <c r="T646" s="76">
        <f>STOCK[[#This Row],[Costo Unitario (USD)]]+STOCK[[#This Row],[Costo Envío (USD)]]+STOCK[[#This Row],[Comisión 10%]]</f>
        <v>26.99</v>
      </c>
      <c r="U646" s="77">
        <f>STOCK[[#This Row],[Costo total]]*1.5</f>
        <v>40.485</v>
      </c>
      <c r="V646" s="77">
        <v>32</v>
      </c>
      <c r="W646" s="77">
        <f>STOCK[[#This Row],[Precio Final]]-STOCK[[#This Row],[Costo total]]</f>
        <v>5.01</v>
      </c>
      <c r="X646" s="77">
        <f>STOCK[[#This Row],[Ganancia Unitaria]]*STOCK[[#This Row],[Salidas]]</f>
        <v>40.08</v>
      </c>
      <c r="AA646" s="77">
        <f>STOCK[[#This Row],[Costo total]]*STOCK[[#This Row],[Entradas]]</f>
        <v>215.92</v>
      </c>
      <c r="AB646" s="77">
        <f>STOCK[[#This Row],[Stock Actual]]*STOCK[[#This Row],[Costo total]]</f>
        <v>0</v>
      </c>
    </row>
    <row r="647" s="76" customFormat="1" ht="50" hidden="1" customHeight="1" spans="1:28">
      <c r="A647" s="76" t="s">
        <v>1304</v>
      </c>
      <c r="B647" s="6"/>
      <c r="C647" s="76" t="s">
        <v>30</v>
      </c>
      <c r="D647" s="76" t="s">
        <v>151</v>
      </c>
      <c r="E647" s="76" t="s">
        <v>1305</v>
      </c>
      <c r="F647" s="76" t="s">
        <v>47</v>
      </c>
      <c r="G647" s="76" t="s">
        <v>1294</v>
      </c>
      <c r="H647" s="76">
        <f>STOCK[[#This Row],[Precio Final]]</f>
        <v>32</v>
      </c>
      <c r="I647" s="76">
        <f>STOCK[[#This Row],[Precio Venta Ideal (x1.5)]]</f>
        <v>40.485</v>
      </c>
      <c r="J647" s="91">
        <v>2</v>
      </c>
      <c r="K647" s="91">
        <f>SUMIFS(VENTAS[Cantidad],VENTAS[Código del producto Vendido],STOCK[[#This Row],[Code]])</f>
        <v>2</v>
      </c>
      <c r="L647" s="91">
        <f>STOCK[[#This Row],[Entradas]]-STOCK[[#This Row],[Salidas]]</f>
        <v>0</v>
      </c>
      <c r="M647" s="76">
        <f>STOCK[[#This Row],[Precio Final]]*10%</f>
        <v>3.2</v>
      </c>
      <c r="N647" s="76">
        <v>-21.21</v>
      </c>
      <c r="O647" s="76">
        <v>0</v>
      </c>
      <c r="P647" s="76">
        <v>15.79</v>
      </c>
      <c r="Q647" s="91">
        <v>0</v>
      </c>
      <c r="R647" s="76">
        <v>0</v>
      </c>
      <c r="S647" s="76">
        <v>8</v>
      </c>
      <c r="T647" s="76">
        <f>STOCK[[#This Row],[Costo Unitario (USD)]]+STOCK[[#This Row],[Costo Envío (USD)]]+STOCK[[#This Row],[Comisión 10%]]</f>
        <v>26.99</v>
      </c>
      <c r="U647" s="76">
        <f>STOCK[[#This Row],[Costo total]]*1.5</f>
        <v>40.485</v>
      </c>
      <c r="V647" s="76">
        <v>32</v>
      </c>
      <c r="W647" s="76">
        <f>STOCK[[#This Row],[Precio Final]]-STOCK[[#This Row],[Costo total]]</f>
        <v>5.01</v>
      </c>
      <c r="X647" s="76">
        <f>STOCK[[#This Row],[Ganancia Unitaria]]*STOCK[[#This Row],[Salidas]]</f>
        <v>10.02</v>
      </c>
      <c r="AA647" s="76">
        <f>STOCK[[#This Row],[Costo total]]*STOCK[[#This Row],[Entradas]]</f>
        <v>53.98</v>
      </c>
      <c r="AB647" s="76">
        <f>STOCK[[#This Row],[Stock Actual]]*STOCK[[#This Row],[Costo total]]</f>
        <v>0</v>
      </c>
    </row>
    <row r="648" s="77" customFormat="1" ht="50" hidden="1" customHeight="1" spans="1:28">
      <c r="A648" s="77" t="s">
        <v>1306</v>
      </c>
      <c r="B648" s="6"/>
      <c r="C648" s="77" t="s">
        <v>30</v>
      </c>
      <c r="D648" s="77" t="s">
        <v>514</v>
      </c>
      <c r="E648" s="77" t="s">
        <v>1298</v>
      </c>
      <c r="F648" s="77" t="s">
        <v>764</v>
      </c>
      <c r="G648" s="77" t="s">
        <v>1294</v>
      </c>
      <c r="H648" s="77">
        <f>STOCK[[#This Row],[Precio Final]]</f>
        <v>35</v>
      </c>
      <c r="I648" s="77">
        <f>STOCK[[#This Row],[Precio Venta Ideal (x1.5)]]</f>
        <v>34.485</v>
      </c>
      <c r="J648" s="92">
        <v>1</v>
      </c>
      <c r="K648" s="92">
        <f>SUMIFS(VENTAS[Cantidad],VENTAS[Código del producto Vendido],STOCK[[#This Row],[Code]])</f>
        <v>1</v>
      </c>
      <c r="L648" s="92">
        <f>STOCK[[#This Row],[Entradas]]-STOCK[[#This Row],[Salidas]]</f>
        <v>0</v>
      </c>
      <c r="M648" s="77">
        <f>STOCK[[#This Row],[Precio Final]]*10%</f>
        <v>3.5</v>
      </c>
      <c r="N648" s="77">
        <v>-6.67</v>
      </c>
      <c r="O648" s="77">
        <v>0</v>
      </c>
      <c r="P648" s="77">
        <v>11.49</v>
      </c>
      <c r="Q648" s="92">
        <v>0</v>
      </c>
      <c r="R648" s="77">
        <v>0</v>
      </c>
      <c r="S648" s="77">
        <v>8</v>
      </c>
      <c r="T648" s="76">
        <f>STOCK[[#This Row],[Costo Unitario (USD)]]+STOCK[[#This Row],[Costo Envío (USD)]]+STOCK[[#This Row],[Comisión 10%]]</f>
        <v>22.99</v>
      </c>
      <c r="U648" s="77">
        <f>STOCK[[#This Row],[Costo total]]*1.5</f>
        <v>34.485</v>
      </c>
      <c r="V648" s="77">
        <v>35</v>
      </c>
      <c r="W648" s="77">
        <f>STOCK[[#This Row],[Precio Final]]-STOCK[[#This Row],[Costo total]]</f>
        <v>12.01</v>
      </c>
      <c r="X648" s="77">
        <f>STOCK[[#This Row],[Ganancia Unitaria]]*STOCK[[#This Row],[Salidas]]</f>
        <v>12.01</v>
      </c>
      <c r="AA648" s="77">
        <f>STOCK[[#This Row],[Costo total]]*STOCK[[#This Row],[Entradas]]</f>
        <v>22.99</v>
      </c>
      <c r="AB648" s="77">
        <f>STOCK[[#This Row],[Stock Actual]]*STOCK[[#This Row],[Costo total]]</f>
        <v>0</v>
      </c>
    </row>
    <row r="649" s="76" customFormat="1" ht="50" hidden="1" customHeight="1" spans="1:28">
      <c r="A649" s="76" t="s">
        <v>1307</v>
      </c>
      <c r="B649" s="6"/>
      <c r="C649" s="76" t="s">
        <v>30</v>
      </c>
      <c r="D649" s="76" t="s">
        <v>514</v>
      </c>
      <c r="E649" s="76" t="s">
        <v>1308</v>
      </c>
      <c r="F649" s="76" t="s">
        <v>47</v>
      </c>
      <c r="G649" s="76" t="s">
        <v>1294</v>
      </c>
      <c r="H649" s="76">
        <f>STOCK[[#This Row],[Precio Final]]</f>
        <v>18</v>
      </c>
      <c r="I649" s="76">
        <f>STOCK[[#This Row],[Precio Venta Ideal (x1.5)]]</f>
        <v>21.435</v>
      </c>
      <c r="J649" s="91">
        <v>1</v>
      </c>
      <c r="K649" s="91">
        <f>SUMIFS(VENTAS[Cantidad],VENTAS[Código del producto Vendido],STOCK[[#This Row],[Code]])</f>
        <v>1</v>
      </c>
      <c r="L649" s="91">
        <f>STOCK[[#This Row],[Entradas]]-STOCK[[#This Row],[Salidas]]</f>
        <v>0</v>
      </c>
      <c r="M649" s="76">
        <f>STOCK[[#This Row],[Precio Final]]*10%</f>
        <v>1.8</v>
      </c>
      <c r="N649" s="76">
        <v>7.12</v>
      </c>
      <c r="O649" s="76">
        <v>0</v>
      </c>
      <c r="P649" s="76">
        <v>7.49</v>
      </c>
      <c r="Q649" s="91">
        <v>0</v>
      </c>
      <c r="R649" s="76">
        <v>0</v>
      </c>
      <c r="S649" s="76">
        <v>5</v>
      </c>
      <c r="T649" s="76">
        <f>STOCK[[#This Row],[Costo Unitario (USD)]]+STOCK[[#This Row],[Costo Envío (USD)]]+STOCK[[#This Row],[Comisión 10%]]</f>
        <v>14.29</v>
      </c>
      <c r="U649" s="76">
        <f>STOCK[[#This Row],[Costo total]]*1.5</f>
        <v>21.435</v>
      </c>
      <c r="V649" s="76">
        <v>18</v>
      </c>
      <c r="W649" s="76">
        <f>STOCK[[#This Row],[Precio Final]]-STOCK[[#This Row],[Costo total]]</f>
        <v>3.71</v>
      </c>
      <c r="X649" s="76">
        <f>STOCK[[#This Row],[Ganancia Unitaria]]*STOCK[[#This Row],[Salidas]]</f>
        <v>3.71</v>
      </c>
      <c r="AA649" s="76">
        <f>STOCK[[#This Row],[Costo total]]*STOCK[[#This Row],[Entradas]]</f>
        <v>14.29</v>
      </c>
      <c r="AB649" s="76">
        <f>STOCK[[#This Row],[Stock Actual]]*STOCK[[#This Row],[Costo total]]</f>
        <v>0</v>
      </c>
    </row>
    <row r="650" s="77" customFormat="1" ht="50" hidden="1" customHeight="1" spans="1:28">
      <c r="A650" s="77" t="s">
        <v>1309</v>
      </c>
      <c r="B650" s="6"/>
      <c r="C650" s="77" t="s">
        <v>30</v>
      </c>
      <c r="D650" s="77" t="s">
        <v>151</v>
      </c>
      <c r="E650" s="77" t="s">
        <v>1310</v>
      </c>
      <c r="F650" s="77" t="s">
        <v>60</v>
      </c>
      <c r="G650" s="77" t="s">
        <v>1294</v>
      </c>
      <c r="H650" s="77">
        <f>STOCK[[#This Row],[Precio Final]]</f>
        <v>20</v>
      </c>
      <c r="I650" s="77">
        <f>STOCK[[#This Row],[Precio Venta Ideal (x1.5)]]</f>
        <v>19.5</v>
      </c>
      <c r="J650" s="92">
        <v>2</v>
      </c>
      <c r="K650" s="92">
        <f>SUMIFS(VENTAS[Cantidad],VENTAS[Código del producto Vendido],STOCK[[#This Row],[Code]])</f>
        <v>2</v>
      </c>
      <c r="L650" s="92">
        <f>STOCK[[#This Row],[Entradas]]-STOCK[[#This Row],[Salidas]]</f>
        <v>0</v>
      </c>
      <c r="M650" s="77">
        <f>STOCK[[#This Row],[Precio Final]]*10%</f>
        <v>2</v>
      </c>
      <c r="N650" s="77">
        <v>10</v>
      </c>
      <c r="O650" s="77">
        <v>0</v>
      </c>
      <c r="P650" s="77">
        <v>7</v>
      </c>
      <c r="Q650" s="92">
        <v>0</v>
      </c>
      <c r="R650" s="77">
        <v>0</v>
      </c>
      <c r="S650" s="77">
        <v>4</v>
      </c>
      <c r="T650" s="76">
        <f>STOCK[[#This Row],[Costo Unitario (USD)]]+STOCK[[#This Row],[Costo Envío (USD)]]+STOCK[[#This Row],[Comisión 10%]]</f>
        <v>13</v>
      </c>
      <c r="U650" s="77">
        <f>STOCK[[#This Row],[Costo total]]*1.5</f>
        <v>19.5</v>
      </c>
      <c r="V650" s="77">
        <v>20</v>
      </c>
      <c r="W650" s="77">
        <f>STOCK[[#This Row],[Precio Final]]-STOCK[[#This Row],[Costo total]]</f>
        <v>7</v>
      </c>
      <c r="X650" s="77">
        <f>STOCK[[#This Row],[Ganancia Unitaria]]*STOCK[[#This Row],[Salidas]]</f>
        <v>14</v>
      </c>
      <c r="AA650" s="77">
        <f>STOCK[[#This Row],[Costo total]]*STOCK[[#This Row],[Entradas]]</f>
        <v>26</v>
      </c>
      <c r="AB650" s="77">
        <f>STOCK[[#This Row],[Stock Actual]]*STOCK[[#This Row],[Costo total]]</f>
        <v>0</v>
      </c>
    </row>
    <row r="651" s="76" customFormat="1" ht="50" hidden="1" customHeight="1" spans="2:28">
      <c r="B651" s="6"/>
      <c r="H651" s="76">
        <f>STOCK[[#This Row],[Precio Final]]</f>
        <v>0</v>
      </c>
      <c r="I651" s="76">
        <f>STOCK[[#This Row],[Precio Venta Ideal (x1.5)]]</f>
        <v>0</v>
      </c>
      <c r="J651" s="91"/>
      <c r="K651" s="91">
        <f>SUMIFS(VENTAS[Cantidad],VENTAS[Código del producto Vendido],STOCK[[#This Row],[Code]])</f>
        <v>0</v>
      </c>
      <c r="L651" s="91">
        <f>STOCK[[#This Row],[Entradas]]-STOCK[[#This Row],[Salidas]]</f>
        <v>0</v>
      </c>
      <c r="M651" s="76">
        <f>STOCK[[#This Row],[Precio Final]]*10%</f>
        <v>0</v>
      </c>
      <c r="Q651" s="91">
        <v>0</v>
      </c>
      <c r="R651" s="76">
        <v>0</v>
      </c>
      <c r="T651" s="76">
        <f>STOCK[[#This Row],[Costo Unitario (USD)]]+STOCK[[#This Row],[Costo Envío (USD)]]+STOCK[[#This Row],[Comisión 10%]]</f>
        <v>0</v>
      </c>
      <c r="U651" s="76">
        <f>STOCK[[#This Row],[Costo total]]*1.5</f>
        <v>0</v>
      </c>
      <c r="W651" s="76">
        <f>STOCK[[#This Row],[Precio Final]]-STOCK[[#This Row],[Costo total]]</f>
        <v>0</v>
      </c>
      <c r="X651" s="76">
        <f>STOCK[[#This Row],[Ganancia Unitaria]]*STOCK[[#This Row],[Salidas]]</f>
        <v>0</v>
      </c>
      <c r="AA651" s="76">
        <f>STOCK[[#This Row],[Costo total]]*STOCK[[#This Row],[Entradas]]</f>
        <v>0</v>
      </c>
      <c r="AB651" s="76">
        <f>STOCK[[#This Row],[Stock Actual]]*STOCK[[#This Row],[Costo total]]</f>
        <v>0</v>
      </c>
    </row>
    <row r="652" s="77" customFormat="1" ht="50" hidden="1" customHeight="1" spans="1:28">
      <c r="A652" s="77" t="s">
        <v>1311</v>
      </c>
      <c r="B652" s="6"/>
      <c r="C652" s="77" t="s">
        <v>30</v>
      </c>
      <c r="D652" s="77" t="s">
        <v>778</v>
      </c>
      <c r="E652" s="77" t="s">
        <v>1312</v>
      </c>
      <c r="F652" s="77" t="s">
        <v>60</v>
      </c>
      <c r="G652" s="77" t="s">
        <v>702</v>
      </c>
      <c r="H652" s="77">
        <f>STOCK[[#This Row],[Precio Final]]</f>
        <v>20</v>
      </c>
      <c r="I652" s="77">
        <f>STOCK[[#This Row],[Precio Venta Ideal (x1.5)]]</f>
        <v>15</v>
      </c>
      <c r="J652" s="92">
        <v>1</v>
      </c>
      <c r="K652" s="92">
        <f>SUMIFS(VENTAS[Cantidad],VENTAS[Código del producto Vendido],STOCK[[#This Row],[Code]])</f>
        <v>0</v>
      </c>
      <c r="L652" s="92">
        <f>STOCK[[#This Row],[Entradas]]-STOCK[[#This Row],[Salidas]]</f>
        <v>1</v>
      </c>
      <c r="M652" s="77">
        <f>STOCK[[#This Row],[Precio Final]]*10%</f>
        <v>2</v>
      </c>
      <c r="N652" s="77">
        <v>0</v>
      </c>
      <c r="O652" s="77">
        <v>13.94</v>
      </c>
      <c r="P652" s="77">
        <v>6</v>
      </c>
      <c r="Q652" s="92">
        <v>0</v>
      </c>
      <c r="R652" s="77">
        <v>0</v>
      </c>
      <c r="S652" s="77">
        <v>2</v>
      </c>
      <c r="T652" s="76">
        <f>STOCK[[#This Row],[Costo Unitario (USD)]]+STOCK[[#This Row],[Costo Envío (USD)]]+STOCK[[#This Row],[Comisión 10%]]</f>
        <v>10</v>
      </c>
      <c r="U652" s="77">
        <f>STOCK[[#This Row],[Costo total]]*1.5</f>
        <v>15</v>
      </c>
      <c r="V652" s="77">
        <v>20</v>
      </c>
      <c r="W652" s="77">
        <f>STOCK[[#This Row],[Precio Final]]-STOCK[[#This Row],[Costo total]]</f>
        <v>10</v>
      </c>
      <c r="X652" s="77">
        <f>STOCK[[#This Row],[Ganancia Unitaria]]*STOCK[[#This Row],[Salidas]]</f>
        <v>0</v>
      </c>
      <c r="AA652" s="77">
        <f>STOCK[[#This Row],[Costo total]]*STOCK[[#This Row],[Entradas]]</f>
        <v>10</v>
      </c>
      <c r="AB652" s="77">
        <f>STOCK[[#This Row],[Stock Actual]]*STOCK[[#This Row],[Costo total]]</f>
        <v>10</v>
      </c>
    </row>
    <row r="653" s="76" customFormat="1" ht="50" hidden="1" customHeight="1" spans="1:28">
      <c r="A653" s="76" t="s">
        <v>1313</v>
      </c>
      <c r="B653" s="6"/>
      <c r="C653" s="76" t="s">
        <v>30</v>
      </c>
      <c r="D653" s="76" t="s">
        <v>173</v>
      </c>
      <c r="E653" s="76" t="s">
        <v>1314</v>
      </c>
      <c r="F653" s="76" t="s">
        <v>60</v>
      </c>
      <c r="G653" s="76" t="s">
        <v>702</v>
      </c>
      <c r="H653" s="76">
        <f>STOCK[[#This Row],[Precio Final]]</f>
        <v>40</v>
      </c>
      <c r="I653" s="76">
        <f>STOCK[[#This Row],[Precio Venta Ideal (x1.5)]]</f>
        <v>51</v>
      </c>
      <c r="J653" s="91">
        <v>2</v>
      </c>
      <c r="K653" s="91">
        <f>SUMIFS(VENTAS[Cantidad],VENTAS[Código del producto Vendido],STOCK[[#This Row],[Code]])</f>
        <v>2</v>
      </c>
      <c r="L653" s="91">
        <f>STOCK[[#This Row],[Entradas]]-STOCK[[#This Row],[Salidas]]</f>
        <v>0</v>
      </c>
      <c r="M653" s="76">
        <f>STOCK[[#This Row],[Precio Final]]*10%</f>
        <v>4</v>
      </c>
      <c r="N653" s="76">
        <v>0</v>
      </c>
      <c r="O653" s="76">
        <v>58.06</v>
      </c>
      <c r="P653" s="76">
        <v>24</v>
      </c>
      <c r="Q653" s="91">
        <v>0</v>
      </c>
      <c r="R653" s="76">
        <v>0</v>
      </c>
      <c r="S653" s="76">
        <v>6</v>
      </c>
      <c r="T653" s="76">
        <f>STOCK[[#This Row],[Costo Unitario (USD)]]+STOCK[[#This Row],[Costo Envío (USD)]]+STOCK[[#This Row],[Comisión 10%]]</f>
        <v>34</v>
      </c>
      <c r="U653" s="76">
        <f>STOCK[[#This Row],[Costo total]]*1.5</f>
        <v>51</v>
      </c>
      <c r="V653" s="76">
        <v>40</v>
      </c>
      <c r="W653" s="76">
        <f>STOCK[[#This Row],[Precio Final]]-STOCK[[#This Row],[Costo total]]</f>
        <v>6</v>
      </c>
      <c r="X653" s="76">
        <f>STOCK[[#This Row],[Ganancia Unitaria]]*STOCK[[#This Row],[Salidas]]</f>
        <v>12</v>
      </c>
      <c r="AA653" s="76">
        <f>STOCK[[#This Row],[Costo total]]*STOCK[[#This Row],[Entradas]]</f>
        <v>68</v>
      </c>
      <c r="AB653" s="76">
        <f>STOCK[[#This Row],[Stock Actual]]*STOCK[[#This Row],[Costo total]]</f>
        <v>0</v>
      </c>
    </row>
    <row r="654" s="77" customFormat="1" ht="50" hidden="1" customHeight="1" spans="1:28">
      <c r="A654" s="77" t="s">
        <v>1315</v>
      </c>
      <c r="B654" s="6"/>
      <c r="C654" s="77" t="s">
        <v>30</v>
      </c>
      <c r="D654" s="77" t="s">
        <v>173</v>
      </c>
      <c r="E654" s="77" t="s">
        <v>1316</v>
      </c>
      <c r="F654" s="77" t="s">
        <v>1317</v>
      </c>
      <c r="G654" s="77" t="s">
        <v>702</v>
      </c>
      <c r="H654" s="77">
        <f>STOCK[[#This Row],[Precio Final]]</f>
        <v>40</v>
      </c>
      <c r="I654" s="77">
        <f>STOCK[[#This Row],[Precio Venta Ideal (x1.5)]]</f>
        <v>51</v>
      </c>
      <c r="J654" s="92">
        <v>0</v>
      </c>
      <c r="K654" s="92">
        <f>SUMIFS(VENTAS[Cantidad],VENTAS[Código del producto Vendido],STOCK[[#This Row],[Code]])</f>
        <v>0</v>
      </c>
      <c r="L654" s="92">
        <f>STOCK[[#This Row],[Entradas]]-STOCK[[#This Row],[Salidas]]</f>
        <v>0</v>
      </c>
      <c r="M654" s="77">
        <f>STOCK[[#This Row],[Precio Final]]*10%</f>
        <v>4</v>
      </c>
      <c r="N654" s="77">
        <v>0</v>
      </c>
      <c r="O654" s="77">
        <v>23.03</v>
      </c>
      <c r="P654" s="77">
        <v>24</v>
      </c>
      <c r="Q654" s="92">
        <v>0</v>
      </c>
      <c r="R654" s="77">
        <v>0</v>
      </c>
      <c r="S654" s="77">
        <v>6</v>
      </c>
      <c r="T654" s="76">
        <f>STOCK[[#This Row],[Costo Unitario (USD)]]+STOCK[[#This Row],[Costo Envío (USD)]]+STOCK[[#This Row],[Comisión 10%]]</f>
        <v>34</v>
      </c>
      <c r="U654" s="77">
        <f>STOCK[[#This Row],[Costo total]]*1.5</f>
        <v>51</v>
      </c>
      <c r="V654" s="77">
        <v>40</v>
      </c>
      <c r="W654" s="77">
        <f>STOCK[[#This Row],[Precio Final]]-STOCK[[#This Row],[Costo total]]</f>
        <v>6</v>
      </c>
      <c r="X654" s="77">
        <f>STOCK[[#This Row],[Ganancia Unitaria]]*STOCK[[#This Row],[Salidas]]</f>
        <v>0</v>
      </c>
      <c r="AA654" s="77">
        <f>STOCK[[#This Row],[Costo total]]*STOCK[[#This Row],[Entradas]]</f>
        <v>0</v>
      </c>
      <c r="AB654" s="77">
        <f>STOCK[[#This Row],[Stock Actual]]*STOCK[[#This Row],[Costo total]]</f>
        <v>0</v>
      </c>
    </row>
    <row r="655" s="76" customFormat="1" ht="50" hidden="1" customHeight="1" spans="1:28">
      <c r="A655" s="76" t="s">
        <v>1318</v>
      </c>
      <c r="B655" s="6"/>
      <c r="C655" s="76" t="s">
        <v>30</v>
      </c>
      <c r="D655" s="76" t="s">
        <v>173</v>
      </c>
      <c r="E655" s="76" t="s">
        <v>1319</v>
      </c>
      <c r="F655" s="76" t="s">
        <v>776</v>
      </c>
      <c r="G655" s="76" t="s">
        <v>702</v>
      </c>
      <c r="H655" s="76">
        <f>STOCK[[#This Row],[Precio Final]]</f>
        <v>40</v>
      </c>
      <c r="I655" s="76">
        <f>STOCK[[#This Row],[Precio Venta Ideal (x1.5)]]</f>
        <v>43.125</v>
      </c>
      <c r="J655" s="91">
        <v>1</v>
      </c>
      <c r="K655" s="91">
        <f>SUMIFS(VENTAS[Cantidad],VENTAS[Código del producto Vendido],STOCK[[#This Row],[Code]])</f>
        <v>1</v>
      </c>
      <c r="L655" s="91">
        <f>STOCK[[#This Row],[Entradas]]-STOCK[[#This Row],[Salidas]]</f>
        <v>0</v>
      </c>
      <c r="M655" s="76">
        <f>STOCK[[#This Row],[Precio Final]]*10%</f>
        <v>4</v>
      </c>
      <c r="N655" s="76">
        <v>0</v>
      </c>
      <c r="O655" s="76">
        <v>23.03</v>
      </c>
      <c r="P655" s="76">
        <v>18.75</v>
      </c>
      <c r="Q655" s="91">
        <v>0</v>
      </c>
      <c r="R655" s="76">
        <v>0</v>
      </c>
      <c r="S655" s="76">
        <v>6</v>
      </c>
      <c r="T655" s="76">
        <f>STOCK[[#This Row],[Costo Unitario (USD)]]+STOCK[[#This Row],[Costo Envío (USD)]]+STOCK[[#This Row],[Comisión 10%]]</f>
        <v>28.75</v>
      </c>
      <c r="U655" s="76">
        <f>STOCK[[#This Row],[Costo total]]*1.5</f>
        <v>43.125</v>
      </c>
      <c r="V655" s="76">
        <v>40</v>
      </c>
      <c r="W655" s="76">
        <f>STOCK[[#This Row],[Precio Final]]-STOCK[[#This Row],[Costo total]]</f>
        <v>11.25</v>
      </c>
      <c r="X655" s="76">
        <f>STOCK[[#This Row],[Ganancia Unitaria]]*STOCK[[#This Row],[Salidas]]</f>
        <v>11.25</v>
      </c>
      <c r="AA655" s="76">
        <f>STOCK[[#This Row],[Costo total]]*STOCK[[#This Row],[Entradas]]</f>
        <v>28.75</v>
      </c>
      <c r="AB655" s="76">
        <f>STOCK[[#This Row],[Stock Actual]]*STOCK[[#This Row],[Costo total]]</f>
        <v>0</v>
      </c>
    </row>
    <row r="656" s="77" customFormat="1" ht="50" hidden="1" customHeight="1" spans="1:28">
      <c r="A656" s="77" t="s">
        <v>1320</v>
      </c>
      <c r="B656" s="6"/>
      <c r="C656" s="77" t="s">
        <v>30</v>
      </c>
      <c r="D656" s="77" t="s">
        <v>778</v>
      </c>
      <c r="E656" s="77" t="s">
        <v>1321</v>
      </c>
      <c r="F656" s="77" t="s">
        <v>40</v>
      </c>
      <c r="G656" s="77" t="s">
        <v>702</v>
      </c>
      <c r="H656" s="77">
        <f>STOCK[[#This Row],[Precio Final]]</f>
        <v>25</v>
      </c>
      <c r="I656" s="77">
        <f>STOCK[[#This Row],[Precio Venta Ideal (x1.5)]]</f>
        <v>32.25</v>
      </c>
      <c r="J656" s="92">
        <v>1</v>
      </c>
      <c r="K656" s="92">
        <f>SUMIFS(VENTAS[Cantidad],VENTAS[Código del producto Vendido],STOCK[[#This Row],[Code]])</f>
        <v>0</v>
      </c>
      <c r="L656" s="92">
        <f>STOCK[[#This Row],[Entradas]]-STOCK[[#This Row],[Salidas]]</f>
        <v>1</v>
      </c>
      <c r="M656" s="77">
        <f>STOCK[[#This Row],[Precio Final]]*10%</f>
        <v>2.5</v>
      </c>
      <c r="N656" s="77">
        <v>0</v>
      </c>
      <c r="O656" s="77">
        <v>15.15</v>
      </c>
      <c r="P656" s="77">
        <v>16</v>
      </c>
      <c r="Q656" s="92">
        <v>0</v>
      </c>
      <c r="R656" s="77">
        <v>0</v>
      </c>
      <c r="S656" s="77">
        <v>3</v>
      </c>
      <c r="T656" s="76">
        <f>STOCK[[#This Row],[Costo Unitario (USD)]]+STOCK[[#This Row],[Costo Envío (USD)]]+STOCK[[#This Row],[Comisión 10%]]</f>
        <v>21.5</v>
      </c>
      <c r="U656" s="77">
        <f>STOCK[[#This Row],[Costo total]]*1.5</f>
        <v>32.25</v>
      </c>
      <c r="V656" s="77">
        <v>25</v>
      </c>
      <c r="W656" s="77">
        <f>STOCK[[#This Row],[Precio Final]]-STOCK[[#This Row],[Costo total]]</f>
        <v>3.5</v>
      </c>
      <c r="X656" s="77">
        <f>STOCK[[#This Row],[Ganancia Unitaria]]*STOCK[[#This Row],[Salidas]]</f>
        <v>0</v>
      </c>
      <c r="AA656" s="77">
        <f>STOCK[[#This Row],[Costo total]]*STOCK[[#This Row],[Entradas]]</f>
        <v>21.5</v>
      </c>
      <c r="AB656" s="77">
        <f>STOCK[[#This Row],[Stock Actual]]*STOCK[[#This Row],[Costo total]]</f>
        <v>21.5</v>
      </c>
    </row>
    <row r="657" s="76" customFormat="1" ht="50" hidden="1" customHeight="1" spans="1:28">
      <c r="A657" s="76" t="s">
        <v>1322</v>
      </c>
      <c r="B657" s="6"/>
      <c r="C657" s="76" t="s">
        <v>30</v>
      </c>
      <c r="D657" s="77" t="s">
        <v>778</v>
      </c>
      <c r="E657" s="76" t="s">
        <v>1323</v>
      </c>
      <c r="F657" s="76" t="s">
        <v>40</v>
      </c>
      <c r="G657" s="76" t="s">
        <v>702</v>
      </c>
      <c r="H657" s="76">
        <f>STOCK[[#This Row],[Precio Final]]</f>
        <v>25</v>
      </c>
      <c r="I657" s="76">
        <f>STOCK[[#This Row],[Precio Venta Ideal (x1.5)]]</f>
        <v>21</v>
      </c>
      <c r="J657" s="91">
        <v>1</v>
      </c>
      <c r="K657" s="91">
        <f>SUMIFS(VENTAS[Cantidad],VENTAS[Código del producto Vendido],STOCK[[#This Row],[Code]])</f>
        <v>0</v>
      </c>
      <c r="L657" s="91">
        <f>STOCK[[#This Row],[Entradas]]-STOCK[[#This Row],[Salidas]]</f>
        <v>1</v>
      </c>
      <c r="M657" s="76">
        <f>STOCK[[#This Row],[Precio Final]]*10%</f>
        <v>2.5</v>
      </c>
      <c r="N657" s="76">
        <v>0</v>
      </c>
      <c r="O657" s="76">
        <v>15.15</v>
      </c>
      <c r="P657" s="76">
        <v>8.5</v>
      </c>
      <c r="Q657" s="91">
        <v>0</v>
      </c>
      <c r="R657" s="76">
        <v>0</v>
      </c>
      <c r="S657" s="76">
        <v>3</v>
      </c>
      <c r="T657" s="76">
        <f>STOCK[[#This Row],[Costo Unitario (USD)]]+STOCK[[#This Row],[Costo Envío (USD)]]+STOCK[[#This Row],[Comisión 10%]]</f>
        <v>14</v>
      </c>
      <c r="U657" s="76">
        <f>STOCK[[#This Row],[Costo total]]*1.5</f>
        <v>21</v>
      </c>
      <c r="V657" s="76">
        <v>25</v>
      </c>
      <c r="W657" s="76">
        <f>STOCK[[#This Row],[Precio Final]]-STOCK[[#This Row],[Costo total]]</f>
        <v>11</v>
      </c>
      <c r="X657" s="76">
        <f>STOCK[[#This Row],[Ganancia Unitaria]]*STOCK[[#This Row],[Salidas]]</f>
        <v>0</v>
      </c>
      <c r="AA657" s="76">
        <f>STOCK[[#This Row],[Costo total]]*STOCK[[#This Row],[Entradas]]</f>
        <v>14</v>
      </c>
      <c r="AB657" s="76">
        <f>STOCK[[#This Row],[Stock Actual]]*STOCK[[#This Row],[Costo total]]</f>
        <v>14</v>
      </c>
    </row>
    <row r="658" s="77" customFormat="1" ht="50" hidden="1" customHeight="1" spans="1:28">
      <c r="A658" s="77" t="s">
        <v>1324</v>
      </c>
      <c r="B658" s="6"/>
      <c r="C658" s="77" t="s">
        <v>30</v>
      </c>
      <c r="D658" s="77" t="s">
        <v>778</v>
      </c>
      <c r="E658" s="77" t="s">
        <v>1325</v>
      </c>
      <c r="F658" s="77" t="s">
        <v>60</v>
      </c>
      <c r="G658" s="77" t="s">
        <v>702</v>
      </c>
      <c r="H658" s="77">
        <f>STOCK[[#This Row],[Precio Final]]</f>
        <v>25</v>
      </c>
      <c r="I658" s="77">
        <f>STOCK[[#This Row],[Precio Venta Ideal (x1.5)]]</f>
        <v>32.25</v>
      </c>
      <c r="J658" s="92">
        <v>2</v>
      </c>
      <c r="K658" s="92">
        <f>SUMIFS(VENTAS[Cantidad],VENTAS[Código del producto Vendido],STOCK[[#This Row],[Code]])</f>
        <v>2</v>
      </c>
      <c r="L658" s="92">
        <f>STOCK[[#This Row],[Entradas]]-STOCK[[#This Row],[Salidas]]</f>
        <v>0</v>
      </c>
      <c r="M658" s="77">
        <f>STOCK[[#This Row],[Precio Final]]*10%</f>
        <v>2.5</v>
      </c>
      <c r="N658" s="77">
        <v>0</v>
      </c>
      <c r="O658" s="77">
        <v>30.3</v>
      </c>
      <c r="P658" s="77">
        <v>16</v>
      </c>
      <c r="Q658" s="92">
        <v>0</v>
      </c>
      <c r="R658" s="77">
        <v>0</v>
      </c>
      <c r="S658" s="77">
        <v>3</v>
      </c>
      <c r="T658" s="76">
        <f>STOCK[[#This Row],[Costo Unitario (USD)]]+STOCK[[#This Row],[Costo Envío (USD)]]+STOCK[[#This Row],[Comisión 10%]]</f>
        <v>21.5</v>
      </c>
      <c r="U658" s="77">
        <f>STOCK[[#This Row],[Costo total]]*1.5</f>
        <v>32.25</v>
      </c>
      <c r="V658" s="77">
        <v>25</v>
      </c>
      <c r="W658" s="77">
        <f>STOCK[[#This Row],[Precio Final]]-STOCK[[#This Row],[Costo total]]</f>
        <v>3.5</v>
      </c>
      <c r="X658" s="77">
        <f>STOCK[[#This Row],[Ganancia Unitaria]]*STOCK[[#This Row],[Salidas]]</f>
        <v>7</v>
      </c>
      <c r="AA658" s="77">
        <f>STOCK[[#This Row],[Costo total]]*STOCK[[#This Row],[Entradas]]</f>
        <v>43</v>
      </c>
      <c r="AB658" s="77">
        <f>STOCK[[#This Row],[Stock Actual]]*STOCK[[#This Row],[Costo total]]</f>
        <v>0</v>
      </c>
    </row>
    <row r="659" s="76" customFormat="1" ht="50" hidden="1" customHeight="1" spans="1:28">
      <c r="A659" s="76" t="s">
        <v>1326</v>
      </c>
      <c r="B659" s="6"/>
      <c r="C659" s="76" t="s">
        <v>30</v>
      </c>
      <c r="D659" s="76" t="s">
        <v>173</v>
      </c>
      <c r="E659" s="76" t="s">
        <v>1327</v>
      </c>
      <c r="F659" s="76" t="s">
        <v>1328</v>
      </c>
      <c r="G659" s="76" t="s">
        <v>34</v>
      </c>
      <c r="H659" s="76">
        <f>STOCK[[#This Row],[Precio Final]]</f>
        <v>20</v>
      </c>
      <c r="I659" s="76">
        <f>STOCK[[#This Row],[Precio Venta Ideal (x1.5)]]</f>
        <v>22.86</v>
      </c>
      <c r="J659" s="91">
        <v>1</v>
      </c>
      <c r="K659" s="91">
        <f>SUMIFS(VENTAS[Cantidad],VENTAS[Código del producto Vendido],STOCK[[#This Row],[Code]])</f>
        <v>1</v>
      </c>
      <c r="L659" s="91">
        <f>STOCK[[#This Row],[Entradas]]-STOCK[[#This Row],[Salidas]]</f>
        <v>0</v>
      </c>
      <c r="M659" s="76">
        <f>STOCK[[#This Row],[Precio Final]]*10%</f>
        <v>2</v>
      </c>
      <c r="N659" s="76">
        <v>0</v>
      </c>
      <c r="O659" s="76">
        <v>14.25</v>
      </c>
      <c r="P659" s="76">
        <v>11.53</v>
      </c>
      <c r="Q659" s="91">
        <v>0</v>
      </c>
      <c r="R659" s="76">
        <v>0</v>
      </c>
      <c r="S659" s="76">
        <v>1.71</v>
      </c>
      <c r="T659" s="76">
        <f>STOCK[[#This Row],[Costo Unitario (USD)]]+STOCK[[#This Row],[Costo Envío (USD)]]+STOCK[[#This Row],[Comisión 10%]]</f>
        <v>15.24</v>
      </c>
      <c r="U659" s="76">
        <f>STOCK[[#This Row],[Costo total]]*1.5</f>
        <v>22.86</v>
      </c>
      <c r="V659" s="76">
        <v>20</v>
      </c>
      <c r="W659" s="76">
        <f>STOCK[[#This Row],[Precio Final]]-STOCK[[#This Row],[Costo total]]</f>
        <v>4.76</v>
      </c>
      <c r="X659" s="76">
        <f>STOCK[[#This Row],[Ganancia Unitaria]]*STOCK[[#This Row],[Salidas]]</f>
        <v>4.76</v>
      </c>
      <c r="AA659" s="76">
        <f>STOCK[[#This Row],[Costo total]]*STOCK[[#This Row],[Entradas]]</f>
        <v>15.24</v>
      </c>
      <c r="AB659" s="76">
        <f>STOCK[[#This Row],[Stock Actual]]*STOCK[[#This Row],[Costo total]]</f>
        <v>0</v>
      </c>
    </row>
    <row r="660" s="77" customFormat="1" ht="50" hidden="1" customHeight="1" spans="1:28">
      <c r="A660" s="77" t="s">
        <v>1329</v>
      </c>
      <c r="B660" s="6"/>
      <c r="C660" s="77" t="s">
        <v>30</v>
      </c>
      <c r="D660" s="77" t="s">
        <v>173</v>
      </c>
      <c r="E660" s="77" t="s">
        <v>1330</v>
      </c>
      <c r="F660" s="77" t="s">
        <v>38</v>
      </c>
      <c r="G660" s="77" t="s">
        <v>34</v>
      </c>
      <c r="H660" s="77">
        <f>STOCK[[#This Row],[Precio Final]]</f>
        <v>20</v>
      </c>
      <c r="I660" s="77">
        <f>STOCK[[#This Row],[Precio Venta Ideal (x1.5)]]</f>
        <v>22.86</v>
      </c>
      <c r="J660" s="92">
        <v>1</v>
      </c>
      <c r="K660" s="92">
        <f>SUMIFS(VENTAS[Cantidad],VENTAS[Código del producto Vendido],STOCK[[#This Row],[Code]])</f>
        <v>1</v>
      </c>
      <c r="L660" s="92">
        <f>STOCK[[#This Row],[Entradas]]-STOCK[[#This Row],[Salidas]]</f>
        <v>0</v>
      </c>
      <c r="M660" s="77">
        <f>STOCK[[#This Row],[Precio Final]]*10%</f>
        <v>2</v>
      </c>
      <c r="N660" s="77">
        <v>0</v>
      </c>
      <c r="O660" s="77">
        <v>14.25</v>
      </c>
      <c r="P660" s="77">
        <v>11.53</v>
      </c>
      <c r="Q660" s="92">
        <v>0</v>
      </c>
      <c r="R660" s="77">
        <v>0</v>
      </c>
      <c r="S660" s="77">
        <v>1.71</v>
      </c>
      <c r="T660" s="76">
        <f>STOCK[[#This Row],[Costo Unitario (USD)]]+STOCK[[#This Row],[Costo Envío (USD)]]+STOCK[[#This Row],[Comisión 10%]]</f>
        <v>15.24</v>
      </c>
      <c r="U660" s="77">
        <f>STOCK[[#This Row],[Costo total]]*1.5</f>
        <v>22.86</v>
      </c>
      <c r="V660" s="77">
        <v>20</v>
      </c>
      <c r="W660" s="77">
        <f>STOCK[[#This Row],[Precio Final]]-STOCK[[#This Row],[Costo total]]</f>
        <v>4.76</v>
      </c>
      <c r="X660" s="77">
        <f>STOCK[[#This Row],[Ganancia Unitaria]]*STOCK[[#This Row],[Salidas]]</f>
        <v>4.76</v>
      </c>
      <c r="AA660" s="77">
        <f>STOCK[[#This Row],[Costo total]]*STOCK[[#This Row],[Entradas]]</f>
        <v>15.24</v>
      </c>
      <c r="AB660" s="77">
        <f>STOCK[[#This Row],[Stock Actual]]*STOCK[[#This Row],[Costo total]]</f>
        <v>0</v>
      </c>
    </row>
    <row r="661" s="76" customFormat="1" ht="50" hidden="1" customHeight="1" spans="1:28">
      <c r="A661" s="76" t="s">
        <v>1331</v>
      </c>
      <c r="B661" s="6"/>
      <c r="C661" s="76" t="s">
        <v>30</v>
      </c>
      <c r="D661" s="76" t="s">
        <v>173</v>
      </c>
      <c r="E661" s="76" t="s">
        <v>1332</v>
      </c>
      <c r="F661" s="76" t="s">
        <v>47</v>
      </c>
      <c r="G661" s="76" t="s">
        <v>34</v>
      </c>
      <c r="H661" s="76">
        <f>STOCK[[#This Row],[Precio Final]]</f>
        <v>20</v>
      </c>
      <c r="I661" s="76">
        <f>STOCK[[#This Row],[Precio Venta Ideal (x1.5)]]</f>
        <v>24.36</v>
      </c>
      <c r="J661" s="91">
        <v>1</v>
      </c>
      <c r="K661" s="91">
        <f>SUMIFS(VENTAS[Cantidad],VENTAS[Código del producto Vendido],STOCK[[#This Row],[Code]])</f>
        <v>1</v>
      </c>
      <c r="L661" s="91">
        <f>STOCK[[#This Row],[Entradas]]-STOCK[[#This Row],[Salidas]]</f>
        <v>0</v>
      </c>
      <c r="M661" s="76">
        <f>STOCK[[#This Row],[Precio Final]]*10%</f>
        <v>2</v>
      </c>
      <c r="N661" s="76">
        <v>0</v>
      </c>
      <c r="O661" s="76">
        <v>14.25</v>
      </c>
      <c r="P661" s="76">
        <v>12.53</v>
      </c>
      <c r="Q661" s="91">
        <v>0</v>
      </c>
      <c r="R661" s="76">
        <v>0</v>
      </c>
      <c r="S661" s="76">
        <v>1.71</v>
      </c>
      <c r="T661" s="76">
        <f>STOCK[[#This Row],[Costo Unitario (USD)]]+STOCK[[#This Row],[Costo Envío (USD)]]+STOCK[[#This Row],[Comisión 10%]]</f>
        <v>16.24</v>
      </c>
      <c r="U661" s="76">
        <f>STOCK[[#This Row],[Costo total]]*1.5</f>
        <v>24.36</v>
      </c>
      <c r="V661" s="76">
        <v>20</v>
      </c>
      <c r="W661" s="76">
        <f>STOCK[[#This Row],[Precio Final]]-STOCK[[#This Row],[Costo total]]</f>
        <v>3.76</v>
      </c>
      <c r="X661" s="76">
        <f>STOCK[[#This Row],[Ganancia Unitaria]]*STOCK[[#This Row],[Salidas]]</f>
        <v>3.76</v>
      </c>
      <c r="AA661" s="76">
        <f>STOCK[[#This Row],[Costo total]]*STOCK[[#This Row],[Entradas]]</f>
        <v>16.24</v>
      </c>
      <c r="AB661" s="76">
        <f>STOCK[[#This Row],[Stock Actual]]*STOCK[[#This Row],[Costo total]]</f>
        <v>0</v>
      </c>
    </row>
    <row r="662" s="77" customFormat="1" ht="50" hidden="1" customHeight="1" spans="1:28">
      <c r="A662" s="77" t="s">
        <v>1333</v>
      </c>
      <c r="B662" s="6"/>
      <c r="C662" s="77" t="s">
        <v>30</v>
      </c>
      <c r="D662" s="77" t="s">
        <v>173</v>
      </c>
      <c r="E662" s="77" t="s">
        <v>1334</v>
      </c>
      <c r="F662" s="77" t="s">
        <v>60</v>
      </c>
      <c r="G662" s="77" t="s">
        <v>34</v>
      </c>
      <c r="H662" s="77">
        <f>STOCK[[#This Row],[Precio Final]]</f>
        <v>20</v>
      </c>
      <c r="I662" s="77">
        <f>STOCK[[#This Row],[Precio Venta Ideal (x1.5)]]</f>
        <v>24.36</v>
      </c>
      <c r="J662" s="92">
        <v>1</v>
      </c>
      <c r="K662" s="92">
        <f>SUMIFS(VENTAS[Cantidad],VENTAS[Código del producto Vendido],STOCK[[#This Row],[Code]])</f>
        <v>1</v>
      </c>
      <c r="L662" s="92">
        <f>STOCK[[#This Row],[Entradas]]-STOCK[[#This Row],[Salidas]]</f>
        <v>0</v>
      </c>
      <c r="M662" s="77">
        <f>STOCK[[#This Row],[Precio Final]]*10%</f>
        <v>2</v>
      </c>
      <c r="N662" s="77">
        <v>0</v>
      </c>
      <c r="O662" s="77">
        <v>14.25</v>
      </c>
      <c r="P662" s="77">
        <v>12.53</v>
      </c>
      <c r="Q662" s="92">
        <v>0</v>
      </c>
      <c r="R662" s="77">
        <v>0</v>
      </c>
      <c r="S662" s="77">
        <v>1.71</v>
      </c>
      <c r="T662" s="76">
        <f>STOCK[[#This Row],[Costo Unitario (USD)]]+STOCK[[#This Row],[Costo Envío (USD)]]+STOCK[[#This Row],[Comisión 10%]]</f>
        <v>16.24</v>
      </c>
      <c r="U662" s="77">
        <f>STOCK[[#This Row],[Costo total]]*1.5</f>
        <v>24.36</v>
      </c>
      <c r="V662" s="77">
        <v>20</v>
      </c>
      <c r="W662" s="77">
        <f>STOCK[[#This Row],[Precio Final]]-STOCK[[#This Row],[Costo total]]</f>
        <v>3.76</v>
      </c>
      <c r="X662" s="77">
        <f>STOCK[[#This Row],[Ganancia Unitaria]]*STOCK[[#This Row],[Salidas]]</f>
        <v>3.76</v>
      </c>
      <c r="AA662" s="77">
        <f>STOCK[[#This Row],[Costo total]]*STOCK[[#This Row],[Entradas]]</f>
        <v>16.24</v>
      </c>
      <c r="AB662" s="77">
        <f>STOCK[[#This Row],[Stock Actual]]*STOCK[[#This Row],[Costo total]]</f>
        <v>0</v>
      </c>
    </row>
    <row r="663" s="76" customFormat="1" ht="50" hidden="1" customHeight="1" spans="1:28">
      <c r="A663" s="76" t="s">
        <v>1335</v>
      </c>
      <c r="B663" s="6"/>
      <c r="C663" s="76" t="s">
        <v>30</v>
      </c>
      <c r="D663" s="76" t="s">
        <v>173</v>
      </c>
      <c r="E663" s="76" t="s">
        <v>1336</v>
      </c>
      <c r="F663" s="76" t="s">
        <v>44</v>
      </c>
      <c r="G663" s="76" t="s">
        <v>34</v>
      </c>
      <c r="H663" s="76">
        <f>STOCK[[#This Row],[Precio Final]]</f>
        <v>25</v>
      </c>
      <c r="I663" s="76">
        <f>STOCK[[#This Row],[Precio Venta Ideal (x1.5)]]</f>
        <v>28.305</v>
      </c>
      <c r="J663" s="91">
        <v>2</v>
      </c>
      <c r="K663" s="91">
        <f>SUMIFS(VENTAS[Cantidad],VENTAS[Código del producto Vendido],STOCK[[#This Row],[Code]])</f>
        <v>2</v>
      </c>
      <c r="L663" s="91">
        <f>STOCK[[#This Row],[Entradas]]-STOCK[[#This Row],[Salidas]]</f>
        <v>0</v>
      </c>
      <c r="M663" s="76">
        <f>STOCK[[#This Row],[Precio Final]]*10%</f>
        <v>2.5</v>
      </c>
      <c r="N663" s="76">
        <v>0</v>
      </c>
      <c r="O663" s="76">
        <v>3.78</v>
      </c>
      <c r="P663" s="76">
        <v>14.66</v>
      </c>
      <c r="Q663" s="91">
        <v>0</v>
      </c>
      <c r="R663" s="76">
        <v>0</v>
      </c>
      <c r="S663" s="76">
        <v>1.71</v>
      </c>
      <c r="T663" s="76">
        <f>STOCK[[#This Row],[Costo Unitario (USD)]]+STOCK[[#This Row],[Costo Envío (USD)]]+STOCK[[#This Row],[Comisión 10%]]</f>
        <v>18.87</v>
      </c>
      <c r="U663" s="76">
        <f>STOCK[[#This Row],[Costo total]]*1.5</f>
        <v>28.305</v>
      </c>
      <c r="V663" s="76">
        <v>25</v>
      </c>
      <c r="W663" s="76">
        <f>STOCK[[#This Row],[Precio Final]]-STOCK[[#This Row],[Costo total]]</f>
        <v>6.13</v>
      </c>
      <c r="X663" s="76">
        <f>STOCK[[#This Row],[Ganancia Unitaria]]*STOCK[[#This Row],[Salidas]]</f>
        <v>12.26</v>
      </c>
      <c r="AA663" s="76">
        <f>STOCK[[#This Row],[Costo total]]*STOCK[[#This Row],[Entradas]]</f>
        <v>37.74</v>
      </c>
      <c r="AB663" s="76">
        <f>STOCK[[#This Row],[Stock Actual]]*STOCK[[#This Row],[Costo total]]</f>
        <v>0</v>
      </c>
    </row>
    <row r="664" s="77" customFormat="1" ht="50" hidden="1" customHeight="1" spans="1:28">
      <c r="A664" s="77" t="s">
        <v>1337</v>
      </c>
      <c r="B664" s="6"/>
      <c r="C664" s="77" t="s">
        <v>30</v>
      </c>
      <c r="D664" s="77" t="s">
        <v>173</v>
      </c>
      <c r="E664" s="77" t="s">
        <v>1338</v>
      </c>
      <c r="F664" s="77" t="s">
        <v>44</v>
      </c>
      <c r="G664" s="77" t="s">
        <v>34</v>
      </c>
      <c r="H664" s="77">
        <f>STOCK[[#This Row],[Precio Final]]</f>
        <v>25</v>
      </c>
      <c r="I664" s="77">
        <f>STOCK[[#This Row],[Precio Venta Ideal (x1.5)]]</f>
        <v>28.305</v>
      </c>
      <c r="J664" s="92">
        <v>2</v>
      </c>
      <c r="K664" s="92">
        <f>SUMIFS(VENTAS[Cantidad],VENTAS[Código del producto Vendido],STOCK[[#This Row],[Code]])</f>
        <v>1</v>
      </c>
      <c r="L664" s="92">
        <f>STOCK[[#This Row],[Entradas]]-STOCK[[#This Row],[Salidas]]</f>
        <v>1</v>
      </c>
      <c r="M664" s="77">
        <f>STOCK[[#This Row],[Precio Final]]*10%</f>
        <v>2.5</v>
      </c>
      <c r="N664" s="77">
        <v>0</v>
      </c>
      <c r="O664" s="77">
        <v>0</v>
      </c>
      <c r="P664" s="77">
        <v>14.66</v>
      </c>
      <c r="Q664" s="92">
        <v>0</v>
      </c>
      <c r="R664" s="77">
        <v>0</v>
      </c>
      <c r="S664" s="77">
        <v>1.71</v>
      </c>
      <c r="T664" s="76">
        <f>STOCK[[#This Row],[Costo Unitario (USD)]]+STOCK[[#This Row],[Costo Envío (USD)]]+STOCK[[#This Row],[Comisión 10%]]</f>
        <v>18.87</v>
      </c>
      <c r="U664" s="77">
        <f>STOCK[[#This Row],[Costo total]]*1.5</f>
        <v>28.305</v>
      </c>
      <c r="V664" s="77">
        <v>25</v>
      </c>
      <c r="W664" s="77">
        <f>STOCK[[#This Row],[Precio Final]]-STOCK[[#This Row],[Costo total]]</f>
        <v>6.13</v>
      </c>
      <c r="X664" s="77">
        <f>STOCK[[#This Row],[Ganancia Unitaria]]*STOCK[[#This Row],[Salidas]]</f>
        <v>6.13</v>
      </c>
      <c r="AA664" s="77">
        <f>STOCK[[#This Row],[Costo total]]*STOCK[[#This Row],[Entradas]]</f>
        <v>37.74</v>
      </c>
      <c r="AB664" s="77">
        <f>STOCK[[#This Row],[Stock Actual]]*STOCK[[#This Row],[Costo total]]</f>
        <v>18.87</v>
      </c>
    </row>
    <row r="665" s="76" customFormat="1" ht="50" hidden="1" customHeight="1" spans="1:28">
      <c r="A665" s="76" t="s">
        <v>1339</v>
      </c>
      <c r="B665" s="6"/>
      <c r="C665" s="76" t="s">
        <v>30</v>
      </c>
      <c r="D665" s="76" t="s">
        <v>173</v>
      </c>
      <c r="E665" s="76" t="s">
        <v>1340</v>
      </c>
      <c r="F665" s="76" t="s">
        <v>47</v>
      </c>
      <c r="G665" s="76" t="s">
        <v>34</v>
      </c>
      <c r="H665" s="76">
        <f>STOCK[[#This Row],[Precio Final]]</f>
        <v>25</v>
      </c>
      <c r="I665" s="76">
        <f>STOCK[[#This Row],[Precio Venta Ideal (x1.5)]]</f>
        <v>27.225</v>
      </c>
      <c r="J665" s="91">
        <v>2</v>
      </c>
      <c r="K665" s="91">
        <f>SUMIFS(VENTAS[Cantidad],VENTAS[Código del producto Vendido],STOCK[[#This Row],[Code]])</f>
        <v>2</v>
      </c>
      <c r="L665" s="91">
        <f>STOCK[[#This Row],[Entradas]]-STOCK[[#This Row],[Salidas]]</f>
        <v>0</v>
      </c>
      <c r="M665" s="76">
        <f>STOCK[[#This Row],[Precio Final]]*10%</f>
        <v>2.5</v>
      </c>
      <c r="N665" s="76">
        <v>0</v>
      </c>
      <c r="O665" s="76">
        <v>0</v>
      </c>
      <c r="P665" s="76">
        <v>13.94</v>
      </c>
      <c r="Q665" s="91">
        <v>0</v>
      </c>
      <c r="R665" s="76">
        <v>0</v>
      </c>
      <c r="S665" s="76">
        <v>1.71</v>
      </c>
      <c r="T665" s="76">
        <f>STOCK[[#This Row],[Costo Unitario (USD)]]+STOCK[[#This Row],[Costo Envío (USD)]]+STOCK[[#This Row],[Comisión 10%]]</f>
        <v>18.15</v>
      </c>
      <c r="U665" s="76">
        <f>STOCK[[#This Row],[Costo total]]*1.5</f>
        <v>27.225</v>
      </c>
      <c r="V665" s="76">
        <v>25</v>
      </c>
      <c r="W665" s="76">
        <f>STOCK[[#This Row],[Precio Final]]-STOCK[[#This Row],[Costo total]]</f>
        <v>6.85</v>
      </c>
      <c r="X665" s="76">
        <f>STOCK[[#This Row],[Ganancia Unitaria]]*STOCK[[#This Row],[Salidas]]</f>
        <v>13.7</v>
      </c>
      <c r="AA665" s="76">
        <f>STOCK[[#This Row],[Costo total]]*STOCK[[#This Row],[Entradas]]</f>
        <v>36.3</v>
      </c>
      <c r="AB665" s="76">
        <f>STOCK[[#This Row],[Stock Actual]]*STOCK[[#This Row],[Costo total]]</f>
        <v>0</v>
      </c>
    </row>
    <row r="666" s="77" customFormat="1" ht="50" hidden="1" customHeight="1" spans="1:28">
      <c r="A666" s="77" t="s">
        <v>1341</v>
      </c>
      <c r="B666" s="6"/>
      <c r="C666" s="77" t="s">
        <v>30</v>
      </c>
      <c r="D666" s="77" t="s">
        <v>173</v>
      </c>
      <c r="E666" s="77" t="s">
        <v>1340</v>
      </c>
      <c r="F666" s="77" t="s">
        <v>38</v>
      </c>
      <c r="G666" s="77" t="s">
        <v>34</v>
      </c>
      <c r="H666" s="77">
        <f>STOCK[[#This Row],[Precio Final]]</f>
        <v>25</v>
      </c>
      <c r="I666" s="77">
        <f>STOCK[[#This Row],[Precio Venta Ideal (x1.5)]]</f>
        <v>27.225</v>
      </c>
      <c r="J666" s="92">
        <v>2</v>
      </c>
      <c r="K666" s="92">
        <f>SUMIFS(VENTAS[Cantidad],VENTAS[Código del producto Vendido],STOCK[[#This Row],[Code]])</f>
        <v>2</v>
      </c>
      <c r="L666" s="92">
        <f>STOCK[[#This Row],[Entradas]]-STOCK[[#This Row],[Salidas]]</f>
        <v>0</v>
      </c>
      <c r="M666" s="77">
        <f>STOCK[[#This Row],[Precio Final]]*10%</f>
        <v>2.5</v>
      </c>
      <c r="N666" s="77">
        <v>0</v>
      </c>
      <c r="O666" s="77">
        <v>0</v>
      </c>
      <c r="P666" s="77">
        <v>13.94</v>
      </c>
      <c r="Q666" s="92">
        <v>0</v>
      </c>
      <c r="R666" s="77">
        <v>0</v>
      </c>
      <c r="S666" s="77">
        <v>1.71</v>
      </c>
      <c r="T666" s="76">
        <f>STOCK[[#This Row],[Costo Unitario (USD)]]+STOCK[[#This Row],[Costo Envío (USD)]]+STOCK[[#This Row],[Comisión 10%]]</f>
        <v>18.15</v>
      </c>
      <c r="U666" s="77">
        <f>STOCK[[#This Row],[Costo total]]*1.5</f>
        <v>27.225</v>
      </c>
      <c r="V666" s="77">
        <v>25</v>
      </c>
      <c r="W666" s="77">
        <f>STOCK[[#This Row],[Precio Final]]-STOCK[[#This Row],[Costo total]]</f>
        <v>6.85</v>
      </c>
      <c r="X666" s="77">
        <f>STOCK[[#This Row],[Ganancia Unitaria]]*STOCK[[#This Row],[Salidas]]</f>
        <v>13.7</v>
      </c>
      <c r="AA666" s="77">
        <f>STOCK[[#This Row],[Costo total]]*STOCK[[#This Row],[Entradas]]</f>
        <v>36.3</v>
      </c>
      <c r="AB666" s="77">
        <f>STOCK[[#This Row],[Stock Actual]]*STOCK[[#This Row],[Costo total]]</f>
        <v>0</v>
      </c>
    </row>
    <row r="667" s="76" customFormat="1" ht="50" hidden="1" customHeight="1" spans="1:28">
      <c r="A667" s="76" t="s">
        <v>1342</v>
      </c>
      <c r="B667" s="6" t="s">
        <v>1343</v>
      </c>
      <c r="C667" s="76" t="s">
        <v>30</v>
      </c>
      <c r="D667" s="76" t="s">
        <v>173</v>
      </c>
      <c r="E667" s="76" t="s">
        <v>1344</v>
      </c>
      <c r="F667" s="76" t="s">
        <v>1345</v>
      </c>
      <c r="G667" s="76" t="s">
        <v>34</v>
      </c>
      <c r="H667" s="76">
        <f>STOCK[[#This Row],[Precio Final]]</f>
        <v>18</v>
      </c>
      <c r="I667" s="76">
        <f>STOCK[[#This Row],[Precio Venta Ideal (x1.5)]]</f>
        <v>19.2</v>
      </c>
      <c r="J667" s="91">
        <v>0</v>
      </c>
      <c r="K667" s="91">
        <f>SUMIFS(VENTAS[Cantidad],VENTAS[Código del producto Vendido],STOCK[[#This Row],[Code]])</f>
        <v>0</v>
      </c>
      <c r="L667" s="91">
        <f>STOCK[[#This Row],[Entradas]]-STOCK[[#This Row],[Salidas]]</f>
        <v>0</v>
      </c>
      <c r="M667" s="76">
        <f>STOCK[[#This Row],[Precio Final]]*10%</f>
        <v>1.8</v>
      </c>
      <c r="N667" s="76">
        <v>0</v>
      </c>
      <c r="O667" s="76">
        <v>28.5</v>
      </c>
      <c r="P667" s="76">
        <v>8</v>
      </c>
      <c r="Q667" s="91">
        <v>0</v>
      </c>
      <c r="R667" s="76">
        <v>0</v>
      </c>
      <c r="S667" s="76">
        <v>3</v>
      </c>
      <c r="T667" s="76">
        <f>STOCK[[#This Row],[Costo Unitario (USD)]]+STOCK[[#This Row],[Costo Envío (USD)]]+STOCK[[#This Row],[Comisión 10%]]</f>
        <v>12.8</v>
      </c>
      <c r="U667" s="76">
        <f>STOCK[[#This Row],[Costo total]]*1.5</f>
        <v>19.2</v>
      </c>
      <c r="V667" s="76">
        <v>18</v>
      </c>
      <c r="W667" s="76">
        <f>STOCK[[#This Row],[Precio Final]]-STOCK[[#This Row],[Costo total]]</f>
        <v>5.2</v>
      </c>
      <c r="X667" s="76">
        <f>STOCK[[#This Row],[Ganancia Unitaria]]*STOCK[[#This Row],[Salidas]]</f>
        <v>0</v>
      </c>
      <c r="AA667" s="76">
        <f>STOCK[[#This Row],[Costo total]]*STOCK[[#This Row],[Entradas]]</f>
        <v>0</v>
      </c>
      <c r="AB667" s="76">
        <f>STOCK[[#This Row],[Stock Actual]]*STOCK[[#This Row],[Costo total]]</f>
        <v>0</v>
      </c>
    </row>
    <row r="668" s="77" customFormat="1" ht="50" hidden="1" customHeight="1" spans="1:28">
      <c r="A668" s="77" t="s">
        <v>1346</v>
      </c>
      <c r="B668" s="6"/>
      <c r="C668" s="77" t="s">
        <v>30</v>
      </c>
      <c r="D668" s="77" t="s">
        <v>173</v>
      </c>
      <c r="E668" s="77" t="s">
        <v>1347</v>
      </c>
      <c r="F668" s="77" t="s">
        <v>60</v>
      </c>
      <c r="G668" s="77" t="s">
        <v>34</v>
      </c>
      <c r="H668" s="77">
        <f>STOCK[[#This Row],[Precio Final]]</f>
        <v>22</v>
      </c>
      <c r="I668" s="77">
        <f>STOCK[[#This Row],[Precio Venta Ideal (x1.5)]]</f>
        <v>25.8</v>
      </c>
      <c r="J668" s="92">
        <v>1</v>
      </c>
      <c r="K668" s="92">
        <f>SUMIFS(VENTAS[Cantidad],VENTAS[Código del producto Vendido],STOCK[[#This Row],[Code]])</f>
        <v>1</v>
      </c>
      <c r="L668" s="92">
        <f>STOCK[[#This Row],[Entradas]]-STOCK[[#This Row],[Salidas]]</f>
        <v>0</v>
      </c>
      <c r="M668" s="77">
        <f>STOCK[[#This Row],[Precio Final]]*10%</f>
        <v>2.2</v>
      </c>
      <c r="N668" s="77">
        <v>0</v>
      </c>
      <c r="O668" s="77">
        <v>19.38</v>
      </c>
      <c r="P668" s="77">
        <v>12</v>
      </c>
      <c r="Q668" s="92">
        <v>0</v>
      </c>
      <c r="R668" s="77">
        <v>0</v>
      </c>
      <c r="S668" s="77">
        <v>3</v>
      </c>
      <c r="T668" s="76">
        <f>STOCK[[#This Row],[Costo Unitario (USD)]]+STOCK[[#This Row],[Costo Envío (USD)]]+STOCK[[#This Row],[Comisión 10%]]</f>
        <v>17.2</v>
      </c>
      <c r="U668" s="77">
        <f>STOCK[[#This Row],[Costo total]]*1.5</f>
        <v>25.8</v>
      </c>
      <c r="V668" s="77">
        <v>22</v>
      </c>
      <c r="W668" s="77">
        <f>STOCK[[#This Row],[Precio Final]]-STOCK[[#This Row],[Costo total]]</f>
        <v>4.8</v>
      </c>
      <c r="X668" s="77">
        <f>STOCK[[#This Row],[Ganancia Unitaria]]*STOCK[[#This Row],[Salidas]]</f>
        <v>4.8</v>
      </c>
      <c r="AA668" s="77">
        <f>STOCK[[#This Row],[Costo total]]*STOCK[[#This Row],[Entradas]]</f>
        <v>17.2</v>
      </c>
      <c r="AB668" s="77">
        <f>STOCK[[#This Row],[Stock Actual]]*STOCK[[#This Row],[Costo total]]</f>
        <v>0</v>
      </c>
    </row>
    <row r="669" s="76" customFormat="1" ht="50" hidden="1" customHeight="1" spans="1:28">
      <c r="A669" s="76" t="s">
        <v>1348</v>
      </c>
      <c r="B669" s="6"/>
      <c r="C669" s="76" t="s">
        <v>30</v>
      </c>
      <c r="D669" s="76" t="s">
        <v>173</v>
      </c>
      <c r="E669" s="76" t="s">
        <v>1347</v>
      </c>
      <c r="F669" s="76" t="s">
        <v>38</v>
      </c>
      <c r="G669" s="76" t="s">
        <v>702</v>
      </c>
      <c r="H669" s="76">
        <f>STOCK[[#This Row],[Precio Final]]</f>
        <v>22</v>
      </c>
      <c r="I669" s="76">
        <f>STOCK[[#This Row],[Precio Venta Ideal (x1.5)]]</f>
        <v>25.8</v>
      </c>
      <c r="J669" s="91">
        <v>1</v>
      </c>
      <c r="K669" s="91">
        <f>SUMIFS(VENTAS[Cantidad],VENTAS[Código del producto Vendido],STOCK[[#This Row],[Code]])</f>
        <v>1</v>
      </c>
      <c r="L669" s="91">
        <f>STOCK[[#This Row],[Entradas]]-STOCK[[#This Row],[Salidas]]</f>
        <v>0</v>
      </c>
      <c r="M669" s="76">
        <f>STOCK[[#This Row],[Precio Final]]*10%</f>
        <v>2.2</v>
      </c>
      <c r="N669" s="76">
        <v>0</v>
      </c>
      <c r="O669" s="76">
        <v>19.38</v>
      </c>
      <c r="P669" s="76">
        <v>12</v>
      </c>
      <c r="Q669" s="91">
        <v>0</v>
      </c>
      <c r="R669" s="76">
        <v>0</v>
      </c>
      <c r="S669" s="76">
        <v>3</v>
      </c>
      <c r="T669" s="76">
        <f>STOCK[[#This Row],[Costo Unitario (USD)]]+STOCK[[#This Row],[Costo Envío (USD)]]+STOCK[[#This Row],[Comisión 10%]]</f>
        <v>17.2</v>
      </c>
      <c r="U669" s="76">
        <f>STOCK[[#This Row],[Costo total]]*1.5</f>
        <v>25.8</v>
      </c>
      <c r="V669" s="76">
        <v>22</v>
      </c>
      <c r="W669" s="76">
        <f>STOCK[[#This Row],[Precio Final]]-STOCK[[#This Row],[Costo total]]</f>
        <v>4.8</v>
      </c>
      <c r="X669" s="76">
        <f>STOCK[[#This Row],[Ganancia Unitaria]]*STOCK[[#This Row],[Salidas]]</f>
        <v>4.8</v>
      </c>
      <c r="AA669" s="76">
        <f>STOCK[[#This Row],[Costo total]]*STOCK[[#This Row],[Entradas]]</f>
        <v>17.2</v>
      </c>
      <c r="AB669" s="76">
        <f>STOCK[[#This Row],[Stock Actual]]*STOCK[[#This Row],[Costo total]]</f>
        <v>0</v>
      </c>
    </row>
    <row r="670" s="77" customFormat="1" ht="50" hidden="1" customHeight="1" spans="1:28">
      <c r="A670" s="77" t="s">
        <v>1349</v>
      </c>
      <c r="B670" s="6"/>
      <c r="C670" s="77" t="s">
        <v>30</v>
      </c>
      <c r="D670" s="77" t="s">
        <v>173</v>
      </c>
      <c r="E670" s="77" t="s">
        <v>1350</v>
      </c>
      <c r="F670" s="77" t="s">
        <v>38</v>
      </c>
      <c r="G670" s="77" t="s">
        <v>702</v>
      </c>
      <c r="H670" s="77">
        <f>STOCK[[#This Row],[Precio Final]]</f>
        <v>18</v>
      </c>
      <c r="I670" s="77">
        <f>STOCK[[#This Row],[Precio Venta Ideal (x1.5)]]</f>
        <v>17.7</v>
      </c>
      <c r="J670" s="92">
        <v>0</v>
      </c>
      <c r="K670" s="92">
        <f>SUMIFS(VENTAS[Cantidad],VENTAS[Código del producto Vendido],STOCK[[#This Row],[Code]])</f>
        <v>0</v>
      </c>
      <c r="L670" s="92">
        <f>STOCK[[#This Row],[Entradas]]-STOCK[[#This Row],[Salidas]]</f>
        <v>0</v>
      </c>
      <c r="M670" s="77">
        <f>STOCK[[#This Row],[Precio Final]]*10%</f>
        <v>1.8</v>
      </c>
      <c r="N670" s="77">
        <v>0</v>
      </c>
      <c r="O670" s="77">
        <v>9.38</v>
      </c>
      <c r="P670" s="77">
        <v>8</v>
      </c>
      <c r="Q670" s="92">
        <v>0</v>
      </c>
      <c r="R670" s="77">
        <v>0</v>
      </c>
      <c r="S670" s="77">
        <v>2</v>
      </c>
      <c r="T670" s="76">
        <f>STOCK[[#This Row],[Costo Unitario (USD)]]+STOCK[[#This Row],[Costo Envío (USD)]]+STOCK[[#This Row],[Comisión 10%]]</f>
        <v>11.8</v>
      </c>
      <c r="U670" s="77">
        <f>STOCK[[#This Row],[Costo total]]*1.5</f>
        <v>17.7</v>
      </c>
      <c r="V670" s="77">
        <v>18</v>
      </c>
      <c r="W670" s="77">
        <f>STOCK[[#This Row],[Precio Final]]-STOCK[[#This Row],[Costo total]]</f>
        <v>6.2</v>
      </c>
      <c r="X670" s="77">
        <f>STOCK[[#This Row],[Ganancia Unitaria]]*STOCK[[#This Row],[Salidas]]</f>
        <v>0</v>
      </c>
      <c r="AA670" s="77">
        <f>STOCK[[#This Row],[Costo total]]*STOCK[[#This Row],[Entradas]]</f>
        <v>0</v>
      </c>
      <c r="AB670" s="77">
        <f>STOCK[[#This Row],[Stock Actual]]*STOCK[[#This Row],[Costo total]]</f>
        <v>0</v>
      </c>
    </row>
    <row r="671" s="76" customFormat="1" ht="50" hidden="1" customHeight="1" spans="1:28">
      <c r="A671" s="76" t="s">
        <v>1351</v>
      </c>
      <c r="B671" s="6"/>
      <c r="C671" s="76" t="s">
        <v>30</v>
      </c>
      <c r="D671" s="76" t="s">
        <v>173</v>
      </c>
      <c r="E671" s="76" t="s">
        <v>1352</v>
      </c>
      <c r="F671" s="76" t="s">
        <v>60</v>
      </c>
      <c r="G671" s="76" t="s">
        <v>702</v>
      </c>
      <c r="H671" s="76">
        <f>STOCK[[#This Row],[Precio Final]]</f>
        <v>22</v>
      </c>
      <c r="I671" s="76">
        <f>STOCK[[#This Row],[Precio Venta Ideal (x1.5)]]</f>
        <v>33.3</v>
      </c>
      <c r="J671" s="91">
        <v>2</v>
      </c>
      <c r="K671" s="91">
        <f>SUMIFS(VENTAS[Cantidad],VENTAS[Código del producto Vendido],STOCK[[#This Row],[Code]])</f>
        <v>2</v>
      </c>
      <c r="L671" s="91">
        <f>STOCK[[#This Row],[Entradas]]-STOCK[[#This Row],[Salidas]]</f>
        <v>0</v>
      </c>
      <c r="M671" s="76">
        <f>STOCK[[#This Row],[Precio Final]]*10%</f>
        <v>2.2</v>
      </c>
      <c r="N671" s="76">
        <v>0</v>
      </c>
      <c r="O671" s="76">
        <v>17.5</v>
      </c>
      <c r="P671" s="76">
        <v>16</v>
      </c>
      <c r="Q671" s="91">
        <v>0</v>
      </c>
      <c r="R671" s="76">
        <v>0</v>
      </c>
      <c r="S671" s="76">
        <v>4</v>
      </c>
      <c r="T671" s="76">
        <f>STOCK[[#This Row],[Costo Unitario (USD)]]+STOCK[[#This Row],[Costo Envío (USD)]]+STOCK[[#This Row],[Comisión 10%]]</f>
        <v>22.2</v>
      </c>
      <c r="U671" s="76">
        <f>STOCK[[#This Row],[Costo total]]*1.5</f>
        <v>33.3</v>
      </c>
      <c r="V671" s="76">
        <v>22</v>
      </c>
      <c r="W671" s="76">
        <f>STOCK[[#This Row],[Precio Final]]-STOCK[[#This Row],[Costo total]]</f>
        <v>-0.199999999999999</v>
      </c>
      <c r="X671" s="76">
        <f>STOCK[[#This Row],[Ganancia Unitaria]]*STOCK[[#This Row],[Salidas]]</f>
        <v>-0.399999999999999</v>
      </c>
      <c r="AA671" s="76">
        <f>STOCK[[#This Row],[Costo total]]*STOCK[[#This Row],[Entradas]]</f>
        <v>44.4</v>
      </c>
      <c r="AB671" s="76">
        <f>STOCK[[#This Row],[Stock Actual]]*STOCK[[#This Row],[Costo total]]</f>
        <v>0</v>
      </c>
    </row>
    <row r="672" s="77" customFormat="1" ht="50" hidden="1" customHeight="1" spans="1:28">
      <c r="A672" s="77" t="s">
        <v>1353</v>
      </c>
      <c r="B672" s="6"/>
      <c r="C672" s="77" t="s">
        <v>30</v>
      </c>
      <c r="D672" s="77" t="s">
        <v>173</v>
      </c>
      <c r="E672" s="77" t="s">
        <v>1354</v>
      </c>
      <c r="F672" s="77" t="s">
        <v>38</v>
      </c>
      <c r="G672" s="77" t="s">
        <v>702</v>
      </c>
      <c r="H672" s="77">
        <f>STOCK[[#This Row],[Precio Final]]</f>
        <v>45</v>
      </c>
      <c r="I672" s="77">
        <f>STOCK[[#This Row],[Precio Venta Ideal (x1.5)]]</f>
        <v>50.25</v>
      </c>
      <c r="J672" s="92">
        <v>0</v>
      </c>
      <c r="K672" s="92">
        <f>SUMIFS(VENTAS[Cantidad],VENTAS[Código del producto Vendido],STOCK[[#This Row],[Code]])</f>
        <v>0</v>
      </c>
      <c r="L672" s="92">
        <f>STOCK[[#This Row],[Entradas]]-STOCK[[#This Row],[Salidas]]</f>
        <v>0</v>
      </c>
      <c r="M672" s="77">
        <f>STOCK[[#This Row],[Precio Final]]*10%</f>
        <v>4.5</v>
      </c>
      <c r="N672" s="77">
        <v>0</v>
      </c>
      <c r="O672" s="77">
        <v>28.13</v>
      </c>
      <c r="P672" s="77">
        <v>25</v>
      </c>
      <c r="Q672" s="92">
        <v>0</v>
      </c>
      <c r="R672" s="77">
        <v>0</v>
      </c>
      <c r="S672" s="77">
        <v>4</v>
      </c>
      <c r="T672" s="76">
        <f>STOCK[[#This Row],[Costo Unitario (USD)]]+STOCK[[#This Row],[Costo Envío (USD)]]+STOCK[[#This Row],[Comisión 10%]]</f>
        <v>33.5</v>
      </c>
      <c r="U672" s="77">
        <f>STOCK[[#This Row],[Costo total]]*1.5</f>
        <v>50.25</v>
      </c>
      <c r="V672" s="77">
        <v>45</v>
      </c>
      <c r="W672" s="77">
        <f>STOCK[[#This Row],[Precio Final]]-STOCK[[#This Row],[Costo total]]</f>
        <v>11.5</v>
      </c>
      <c r="X672" s="77">
        <f>STOCK[[#This Row],[Ganancia Unitaria]]*STOCK[[#This Row],[Salidas]]</f>
        <v>0</v>
      </c>
      <c r="AA672" s="77">
        <f>STOCK[[#This Row],[Costo total]]*STOCK[[#This Row],[Entradas]]</f>
        <v>0</v>
      </c>
      <c r="AB672" s="77">
        <f>STOCK[[#This Row],[Stock Actual]]*STOCK[[#This Row],[Costo total]]</f>
        <v>0</v>
      </c>
    </row>
    <row r="673" s="76" customFormat="1" ht="50" hidden="1" customHeight="1" spans="1:28">
      <c r="A673" s="76" t="s">
        <v>1355</v>
      </c>
      <c r="B673" s="6"/>
      <c r="C673" s="76" t="s">
        <v>30</v>
      </c>
      <c r="D673" s="76" t="s">
        <v>778</v>
      </c>
      <c r="E673" s="76" t="s">
        <v>1356</v>
      </c>
      <c r="F673" s="76" t="s">
        <v>1045</v>
      </c>
      <c r="G673" s="76" t="s">
        <v>702</v>
      </c>
      <c r="H673" s="76">
        <f>STOCK[[#This Row],[Precio Final]]</f>
        <v>30</v>
      </c>
      <c r="I673" s="76">
        <f>STOCK[[#This Row],[Precio Venta Ideal (x1.5)]]</f>
        <v>39</v>
      </c>
      <c r="J673" s="91">
        <v>1</v>
      </c>
      <c r="K673" s="91">
        <f>SUMIFS(VENTAS[Cantidad],VENTAS[Código del producto Vendido],STOCK[[#This Row],[Code]])</f>
        <v>0</v>
      </c>
      <c r="L673" s="91">
        <f>STOCK[[#This Row],[Entradas]]-STOCK[[#This Row],[Salidas]]</f>
        <v>1</v>
      </c>
      <c r="M673" s="76">
        <f>STOCK[[#This Row],[Precio Final]]*10%</f>
        <v>3</v>
      </c>
      <c r="N673" s="76">
        <v>0</v>
      </c>
      <c r="O673" s="76">
        <v>0</v>
      </c>
      <c r="P673" s="76">
        <v>19</v>
      </c>
      <c r="Q673" s="91">
        <v>0</v>
      </c>
      <c r="R673" s="76">
        <v>0</v>
      </c>
      <c r="S673" s="76">
        <v>4</v>
      </c>
      <c r="T673" s="76">
        <f>STOCK[[#This Row],[Costo Unitario (USD)]]+STOCK[[#This Row],[Costo Envío (USD)]]+STOCK[[#This Row],[Comisión 10%]]</f>
        <v>26</v>
      </c>
      <c r="U673" s="76">
        <f>STOCK[[#This Row],[Costo total]]*1.5</f>
        <v>39</v>
      </c>
      <c r="V673" s="76">
        <v>30</v>
      </c>
      <c r="W673" s="76">
        <f>STOCK[[#This Row],[Precio Final]]-STOCK[[#This Row],[Costo total]]</f>
        <v>4</v>
      </c>
      <c r="X673" s="76">
        <f>STOCK[[#This Row],[Ganancia Unitaria]]*STOCK[[#This Row],[Salidas]]</f>
        <v>0</v>
      </c>
      <c r="AA673" s="76">
        <f>STOCK[[#This Row],[Costo total]]*STOCK[[#This Row],[Entradas]]</f>
        <v>26</v>
      </c>
      <c r="AB673" s="76">
        <f>STOCK[[#This Row],[Stock Actual]]*STOCK[[#This Row],[Costo total]]</f>
        <v>26</v>
      </c>
    </row>
    <row r="674" s="77" customFormat="1" ht="50" hidden="1" customHeight="1" spans="1:28">
      <c r="A674" s="77" t="s">
        <v>1357</v>
      </c>
      <c r="B674" s="6"/>
      <c r="C674" s="77" t="s">
        <v>30</v>
      </c>
      <c r="D674" s="77" t="s">
        <v>173</v>
      </c>
      <c r="E674" s="77" t="s">
        <v>1358</v>
      </c>
      <c r="F674" s="77" t="s">
        <v>1045</v>
      </c>
      <c r="G674" s="77" t="s">
        <v>702</v>
      </c>
      <c r="H674" s="77">
        <f>STOCK[[#This Row],[Precio Final]]</f>
        <v>25</v>
      </c>
      <c r="I674" s="77">
        <f>STOCK[[#This Row],[Precio Venta Ideal (x1.5)]]</f>
        <v>26.925</v>
      </c>
      <c r="J674" s="92">
        <v>1</v>
      </c>
      <c r="K674" s="92">
        <f>SUMIFS(VENTAS[Cantidad],VENTAS[Código del producto Vendido],STOCK[[#This Row],[Code]])</f>
        <v>1</v>
      </c>
      <c r="L674" s="92">
        <f>STOCK[[#This Row],[Entradas]]-STOCK[[#This Row],[Salidas]]</f>
        <v>0</v>
      </c>
      <c r="M674" s="77">
        <f>STOCK[[#This Row],[Precio Final]]*10%</f>
        <v>2.5</v>
      </c>
      <c r="N674" s="77">
        <v>0</v>
      </c>
      <c r="O674" s="77">
        <v>12.44</v>
      </c>
      <c r="P674" s="77">
        <v>12.45</v>
      </c>
      <c r="Q674" s="92">
        <v>0</v>
      </c>
      <c r="R674" s="77">
        <v>0</v>
      </c>
      <c r="S674" s="77">
        <v>3</v>
      </c>
      <c r="T674" s="76">
        <f>STOCK[[#This Row],[Costo Unitario (USD)]]+STOCK[[#This Row],[Costo Envío (USD)]]+STOCK[[#This Row],[Comisión 10%]]</f>
        <v>17.95</v>
      </c>
      <c r="U674" s="77">
        <f>STOCK[[#This Row],[Costo total]]*1.5</f>
        <v>26.925</v>
      </c>
      <c r="V674" s="77">
        <v>25</v>
      </c>
      <c r="W674" s="77">
        <f>STOCK[[#This Row],[Precio Final]]-STOCK[[#This Row],[Costo total]]</f>
        <v>7.05</v>
      </c>
      <c r="X674" s="77">
        <f>STOCK[[#This Row],[Ganancia Unitaria]]*STOCK[[#This Row],[Salidas]]</f>
        <v>7.05</v>
      </c>
      <c r="AA674" s="77">
        <f>STOCK[[#This Row],[Costo total]]*STOCK[[#This Row],[Entradas]]</f>
        <v>17.95</v>
      </c>
      <c r="AB674" s="77">
        <f>STOCK[[#This Row],[Stock Actual]]*STOCK[[#This Row],[Costo total]]</f>
        <v>0</v>
      </c>
    </row>
    <row r="675" s="76" customFormat="1" ht="50" hidden="1" customHeight="1" spans="1:28">
      <c r="A675" s="76" t="s">
        <v>1359</v>
      </c>
      <c r="B675" s="6"/>
      <c r="C675" s="76" t="s">
        <v>30</v>
      </c>
      <c r="D675" s="76" t="s">
        <v>1360</v>
      </c>
      <c r="E675" s="76" t="s">
        <v>1361</v>
      </c>
      <c r="F675" s="76" t="s">
        <v>44</v>
      </c>
      <c r="G675" s="76" t="s">
        <v>702</v>
      </c>
      <c r="H675" s="76">
        <f>STOCK[[#This Row],[Precio Final]]</f>
        <v>25</v>
      </c>
      <c r="I675" s="76">
        <f>STOCK[[#This Row],[Precio Venta Ideal (x1.5)]]</f>
        <v>26.925</v>
      </c>
      <c r="J675" s="91">
        <v>1</v>
      </c>
      <c r="K675" s="91">
        <f>SUMIFS(VENTAS[Cantidad],VENTAS[Código del producto Vendido],STOCK[[#This Row],[Code]])</f>
        <v>0</v>
      </c>
      <c r="L675" s="91">
        <f>STOCK[[#This Row],[Entradas]]-STOCK[[#This Row],[Salidas]]</f>
        <v>1</v>
      </c>
      <c r="M675" s="76">
        <f>STOCK[[#This Row],[Precio Final]]*10%</f>
        <v>2.5</v>
      </c>
      <c r="N675" s="76">
        <v>0</v>
      </c>
      <c r="O675" s="76">
        <v>12.44</v>
      </c>
      <c r="P675" s="76">
        <v>12.45</v>
      </c>
      <c r="Q675" s="91">
        <v>0</v>
      </c>
      <c r="R675" s="76">
        <v>0</v>
      </c>
      <c r="S675" s="76">
        <v>3</v>
      </c>
      <c r="T675" s="76">
        <f>STOCK[[#This Row],[Costo Unitario (USD)]]+STOCK[[#This Row],[Costo Envío (USD)]]+STOCK[[#This Row],[Comisión 10%]]</f>
        <v>17.95</v>
      </c>
      <c r="U675" s="76">
        <f>STOCK[[#This Row],[Costo total]]*1.5</f>
        <v>26.925</v>
      </c>
      <c r="V675" s="76">
        <v>25</v>
      </c>
      <c r="W675" s="76">
        <f>STOCK[[#This Row],[Precio Final]]-STOCK[[#This Row],[Costo total]]</f>
        <v>7.05</v>
      </c>
      <c r="X675" s="76">
        <f>STOCK[[#This Row],[Ganancia Unitaria]]*STOCK[[#This Row],[Salidas]]</f>
        <v>0</v>
      </c>
      <c r="AA675" s="76">
        <f>STOCK[[#This Row],[Costo total]]*STOCK[[#This Row],[Entradas]]</f>
        <v>17.95</v>
      </c>
      <c r="AB675" s="76">
        <f>STOCK[[#This Row],[Stock Actual]]*STOCK[[#This Row],[Costo total]]</f>
        <v>17.95</v>
      </c>
    </row>
    <row r="676" s="77" customFormat="1" ht="50" hidden="1" customHeight="1" spans="1:28">
      <c r="A676" s="77" t="s">
        <v>1362</v>
      </c>
      <c r="B676" s="6"/>
      <c r="C676" s="77" t="s">
        <v>30</v>
      </c>
      <c r="D676" s="77" t="s">
        <v>778</v>
      </c>
      <c r="E676" s="76" t="s">
        <v>1361</v>
      </c>
      <c r="F676" s="77" t="s">
        <v>47</v>
      </c>
      <c r="G676" s="77" t="s">
        <v>702</v>
      </c>
      <c r="H676" s="77">
        <f>STOCK[[#This Row],[Precio Final]]</f>
        <v>25</v>
      </c>
      <c r="I676" s="77">
        <f>STOCK[[#This Row],[Precio Venta Ideal (x1.5)]]</f>
        <v>26.925</v>
      </c>
      <c r="J676" s="92">
        <v>1</v>
      </c>
      <c r="K676" s="92">
        <f>SUMIFS(VENTAS[Cantidad],VENTAS[Código del producto Vendido],STOCK[[#This Row],[Code]])</f>
        <v>0</v>
      </c>
      <c r="L676" s="92">
        <f>STOCK[[#This Row],[Entradas]]-STOCK[[#This Row],[Salidas]]</f>
        <v>1</v>
      </c>
      <c r="M676" s="77">
        <f>STOCK[[#This Row],[Precio Final]]*10%</f>
        <v>2.5</v>
      </c>
      <c r="N676" s="77">
        <v>0</v>
      </c>
      <c r="O676" s="77">
        <v>12.44</v>
      </c>
      <c r="P676" s="77">
        <v>12.45</v>
      </c>
      <c r="Q676" s="92">
        <v>0</v>
      </c>
      <c r="R676" s="77">
        <v>0</v>
      </c>
      <c r="S676" s="77">
        <v>3</v>
      </c>
      <c r="T676" s="76">
        <f>STOCK[[#This Row],[Costo Unitario (USD)]]+STOCK[[#This Row],[Costo Envío (USD)]]+STOCK[[#This Row],[Comisión 10%]]</f>
        <v>17.95</v>
      </c>
      <c r="U676" s="77">
        <f>STOCK[[#This Row],[Costo total]]*1.5</f>
        <v>26.925</v>
      </c>
      <c r="V676" s="77">
        <v>25</v>
      </c>
      <c r="W676" s="77">
        <f>STOCK[[#This Row],[Precio Final]]-STOCK[[#This Row],[Costo total]]</f>
        <v>7.05</v>
      </c>
      <c r="X676" s="77">
        <f>STOCK[[#This Row],[Ganancia Unitaria]]*STOCK[[#This Row],[Salidas]]</f>
        <v>0</v>
      </c>
      <c r="AA676" s="77">
        <f>STOCK[[#This Row],[Costo total]]*STOCK[[#This Row],[Entradas]]</f>
        <v>17.95</v>
      </c>
      <c r="AB676" s="77">
        <f>STOCK[[#This Row],[Stock Actual]]*STOCK[[#This Row],[Costo total]]</f>
        <v>17.95</v>
      </c>
    </row>
    <row r="677" s="76" customFormat="1" ht="50" hidden="1" customHeight="1" spans="1:28">
      <c r="A677" s="76" t="s">
        <v>1363</v>
      </c>
      <c r="B677" s="6"/>
      <c r="C677" s="76" t="s">
        <v>30</v>
      </c>
      <c r="D677" s="76" t="s">
        <v>42</v>
      </c>
      <c r="E677" s="76" t="s">
        <v>1364</v>
      </c>
      <c r="F677" s="76" t="s">
        <v>47</v>
      </c>
      <c r="G677" s="76" t="s">
        <v>34</v>
      </c>
      <c r="H677" s="76">
        <f>STOCK[[#This Row],[Precio Final]]</f>
        <v>25</v>
      </c>
      <c r="I677" s="76">
        <f>STOCK[[#This Row],[Precio Venta Ideal (x1.5)]]</f>
        <v>31.995</v>
      </c>
      <c r="J677" s="91">
        <v>2</v>
      </c>
      <c r="K677" s="91">
        <f>SUMIFS(VENTAS[Cantidad],VENTAS[Código del producto Vendido],STOCK[[#This Row],[Code]])</f>
        <v>1</v>
      </c>
      <c r="L677" s="91">
        <f>STOCK[[#This Row],[Entradas]]-STOCK[[#This Row],[Salidas]]</f>
        <v>1</v>
      </c>
      <c r="M677" s="76">
        <f>STOCK[[#This Row],[Precio Final]]*10%</f>
        <v>2.5</v>
      </c>
      <c r="N677" s="76">
        <v>0</v>
      </c>
      <c r="O677" s="76">
        <v>31.43</v>
      </c>
      <c r="P677" s="76">
        <v>13.83</v>
      </c>
      <c r="Q677" s="91">
        <v>0</v>
      </c>
      <c r="R677" s="76">
        <v>0</v>
      </c>
      <c r="S677" s="76">
        <v>5</v>
      </c>
      <c r="T677" s="76">
        <f>STOCK[[#This Row],[Costo Unitario (USD)]]+STOCK[[#This Row],[Costo Envío (USD)]]+STOCK[[#This Row],[Comisión 10%]]</f>
        <v>21.33</v>
      </c>
      <c r="U677" s="76">
        <f>STOCK[[#This Row],[Costo total]]*1.5</f>
        <v>31.995</v>
      </c>
      <c r="V677" s="76">
        <v>25</v>
      </c>
      <c r="W677" s="76">
        <f>STOCK[[#This Row],[Precio Final]]-STOCK[[#This Row],[Costo total]]</f>
        <v>3.67</v>
      </c>
      <c r="X677" s="76">
        <f>STOCK[[#This Row],[Ganancia Unitaria]]*STOCK[[#This Row],[Salidas]]</f>
        <v>3.67</v>
      </c>
      <c r="AA677" s="76">
        <f>STOCK[[#This Row],[Costo total]]*STOCK[[#This Row],[Entradas]]</f>
        <v>42.66</v>
      </c>
      <c r="AB677" s="76">
        <f>STOCK[[#This Row],[Stock Actual]]*STOCK[[#This Row],[Costo total]]</f>
        <v>21.33</v>
      </c>
    </row>
    <row r="678" s="77" customFormat="1" ht="50" hidden="1" customHeight="1" spans="1:29">
      <c r="A678" s="77" t="s">
        <v>1365</v>
      </c>
      <c r="B678" s="6"/>
      <c r="C678" s="77" t="s">
        <v>30</v>
      </c>
      <c r="D678" s="77" t="s">
        <v>42</v>
      </c>
      <c r="E678" s="77" t="s">
        <v>1364</v>
      </c>
      <c r="F678" s="77" t="s">
        <v>1045</v>
      </c>
      <c r="G678" s="77" t="s">
        <v>34</v>
      </c>
      <c r="H678" s="77">
        <f>STOCK[[#This Row],[Precio Final]]</f>
        <v>25</v>
      </c>
      <c r="I678" s="77">
        <f>STOCK[[#This Row],[Precio Venta Ideal (x1.5)]]</f>
        <v>31.995</v>
      </c>
      <c r="J678" s="92">
        <v>2</v>
      </c>
      <c r="K678" s="92">
        <f>SUMIFS(VENTAS[Cantidad],VENTAS[Código del producto Vendido],STOCK[[#This Row],[Code]])</f>
        <v>0</v>
      </c>
      <c r="L678" s="92">
        <f>STOCK[[#This Row],[Entradas]]-STOCK[[#This Row],[Salidas]]</f>
        <v>2</v>
      </c>
      <c r="M678" s="77">
        <f>STOCK[[#This Row],[Precio Final]]*10%</f>
        <v>2.5</v>
      </c>
      <c r="N678" s="77">
        <v>0</v>
      </c>
      <c r="O678" s="77">
        <v>31.43</v>
      </c>
      <c r="P678" s="77">
        <v>13.83</v>
      </c>
      <c r="Q678" s="92">
        <v>0</v>
      </c>
      <c r="R678" s="77">
        <v>0</v>
      </c>
      <c r="S678" s="77">
        <v>5</v>
      </c>
      <c r="T678" s="76">
        <f>STOCK[[#This Row],[Costo Unitario (USD)]]+STOCK[[#This Row],[Costo Envío (USD)]]+STOCK[[#This Row],[Comisión 10%]]</f>
        <v>21.33</v>
      </c>
      <c r="U678" s="77">
        <f>STOCK[[#This Row],[Costo total]]*1.5</f>
        <v>31.995</v>
      </c>
      <c r="V678" s="77">
        <v>25</v>
      </c>
      <c r="W678" s="77">
        <f>STOCK[[#This Row],[Precio Final]]-STOCK[[#This Row],[Costo total]]</f>
        <v>3.67</v>
      </c>
      <c r="X678" s="77">
        <f>STOCK[[#This Row],[Ganancia Unitaria]]*STOCK[[#This Row],[Salidas]]</f>
        <v>0</v>
      </c>
      <c r="AA678" s="77">
        <f>STOCK[[#This Row],[Costo total]]*STOCK[[#This Row],[Entradas]]</f>
        <v>42.66</v>
      </c>
      <c r="AB678" s="77">
        <f>STOCK[[#This Row],[Stock Actual]]*STOCK[[#This Row],[Costo total]]</f>
        <v>42.66</v>
      </c>
      <c r="AC678" s="77">
        <v>22</v>
      </c>
    </row>
    <row r="679" s="76" customFormat="1" ht="50" hidden="1" customHeight="1" spans="1:28">
      <c r="A679" s="76" t="s">
        <v>1366</v>
      </c>
      <c r="B679" s="6"/>
      <c r="C679" s="76" t="s">
        <v>30</v>
      </c>
      <c r="D679" s="76" t="s">
        <v>151</v>
      </c>
      <c r="E679" s="76" t="s">
        <v>1367</v>
      </c>
      <c r="F679" s="76" t="s">
        <v>86</v>
      </c>
      <c r="G679" s="76" t="s">
        <v>34</v>
      </c>
      <c r="H679" s="76">
        <f>STOCK[[#This Row],[Precio Final]]</f>
        <v>20</v>
      </c>
      <c r="I679" s="76">
        <f>STOCK[[#This Row],[Precio Venta Ideal (x1.5)]]</f>
        <v>22.11</v>
      </c>
      <c r="J679" s="91">
        <v>2</v>
      </c>
      <c r="K679" s="91">
        <f>SUMIFS(VENTAS[Cantidad],VENTAS[Código del producto Vendido],STOCK[[#This Row],[Code]])</f>
        <v>2</v>
      </c>
      <c r="L679" s="91">
        <f>STOCK[[#This Row],[Entradas]]-STOCK[[#This Row],[Salidas]]</f>
        <v>0</v>
      </c>
      <c r="M679" s="76">
        <f>STOCK[[#This Row],[Precio Final]]*10%</f>
        <v>2</v>
      </c>
      <c r="N679" s="76">
        <v>0</v>
      </c>
      <c r="O679" s="76">
        <v>12.64</v>
      </c>
      <c r="P679" s="76">
        <v>10.74</v>
      </c>
      <c r="Q679" s="91">
        <v>0</v>
      </c>
      <c r="R679" s="76">
        <v>0</v>
      </c>
      <c r="S679" s="76">
        <v>2</v>
      </c>
      <c r="T679" s="76">
        <f>STOCK[[#This Row],[Costo Unitario (USD)]]+STOCK[[#This Row],[Costo Envío (USD)]]+STOCK[[#This Row],[Comisión 10%]]</f>
        <v>14.74</v>
      </c>
      <c r="U679" s="76">
        <f>STOCK[[#This Row],[Costo total]]*1.5</f>
        <v>22.11</v>
      </c>
      <c r="V679" s="76">
        <v>20</v>
      </c>
      <c r="W679" s="76">
        <f>STOCK[[#This Row],[Precio Final]]-STOCK[[#This Row],[Costo total]]</f>
        <v>5.26</v>
      </c>
      <c r="X679" s="76">
        <f>STOCK[[#This Row],[Ganancia Unitaria]]*STOCK[[#This Row],[Salidas]]</f>
        <v>10.52</v>
      </c>
      <c r="AA679" s="76">
        <f>STOCK[[#This Row],[Costo total]]*STOCK[[#This Row],[Entradas]]</f>
        <v>29.48</v>
      </c>
      <c r="AB679" s="76">
        <f>STOCK[[#This Row],[Stock Actual]]*STOCK[[#This Row],[Costo total]]</f>
        <v>0</v>
      </c>
    </row>
    <row r="680" s="77" customFormat="1" ht="50" hidden="1" customHeight="1" spans="1:28">
      <c r="A680" s="77" t="s">
        <v>1368</v>
      </c>
      <c r="B680" s="6"/>
      <c r="C680" s="77" t="s">
        <v>30</v>
      </c>
      <c r="D680" s="77" t="s">
        <v>933</v>
      </c>
      <c r="E680" s="77" t="s">
        <v>1367</v>
      </c>
      <c r="F680" s="77" t="s">
        <v>210</v>
      </c>
      <c r="G680" s="77" t="s">
        <v>34</v>
      </c>
      <c r="H680" s="77">
        <f>STOCK[[#This Row],[Precio Final]]</f>
        <v>20</v>
      </c>
      <c r="I680" s="77">
        <f>STOCK[[#This Row],[Precio Venta Ideal (x1.5)]]</f>
        <v>22.11</v>
      </c>
      <c r="J680" s="92">
        <v>1</v>
      </c>
      <c r="K680" s="92">
        <f>SUMIFS(VENTAS[Cantidad],VENTAS[Código del producto Vendido],STOCK[[#This Row],[Code]])</f>
        <v>1</v>
      </c>
      <c r="L680" s="92">
        <f>STOCK[[#This Row],[Entradas]]-STOCK[[#This Row],[Salidas]]</f>
        <v>0</v>
      </c>
      <c r="M680" s="77">
        <f>STOCK[[#This Row],[Precio Final]]*10%</f>
        <v>2</v>
      </c>
      <c r="N680" s="77">
        <v>0</v>
      </c>
      <c r="O680" s="77">
        <v>25.28</v>
      </c>
      <c r="P680" s="77">
        <v>10.74</v>
      </c>
      <c r="Q680" s="92">
        <v>0</v>
      </c>
      <c r="R680" s="77">
        <v>0</v>
      </c>
      <c r="S680" s="77">
        <v>2</v>
      </c>
      <c r="T680" s="76">
        <f>STOCK[[#This Row],[Costo Unitario (USD)]]+STOCK[[#This Row],[Costo Envío (USD)]]+STOCK[[#This Row],[Comisión 10%]]</f>
        <v>14.74</v>
      </c>
      <c r="U680" s="77">
        <f>STOCK[[#This Row],[Costo total]]*1.5</f>
        <v>22.11</v>
      </c>
      <c r="V680" s="77">
        <v>20</v>
      </c>
      <c r="W680" s="77">
        <f>STOCK[[#This Row],[Precio Final]]-STOCK[[#This Row],[Costo total]]</f>
        <v>5.26</v>
      </c>
      <c r="X680" s="77">
        <f>STOCK[[#This Row],[Ganancia Unitaria]]*STOCK[[#This Row],[Salidas]]</f>
        <v>5.26</v>
      </c>
      <c r="AA680" s="77">
        <f>STOCK[[#This Row],[Costo total]]*STOCK[[#This Row],[Entradas]]</f>
        <v>14.74</v>
      </c>
      <c r="AB680" s="77">
        <f>STOCK[[#This Row],[Stock Actual]]*STOCK[[#This Row],[Costo total]]</f>
        <v>0</v>
      </c>
    </row>
    <row r="681" s="76" customFormat="1" ht="50" hidden="1" customHeight="1" spans="1:28">
      <c r="A681" s="76" t="s">
        <v>1369</v>
      </c>
      <c r="B681" s="6"/>
      <c r="C681" s="76" t="s">
        <v>30</v>
      </c>
      <c r="D681" s="76" t="s">
        <v>350</v>
      </c>
      <c r="E681" s="76" t="s">
        <v>1370</v>
      </c>
      <c r="F681" s="76" t="s">
        <v>524</v>
      </c>
      <c r="G681" s="76" t="s">
        <v>34</v>
      </c>
      <c r="H681" s="76">
        <f>STOCK[[#This Row],[Precio Final]]</f>
        <v>8</v>
      </c>
      <c r="I681" s="76">
        <f>STOCK[[#This Row],[Precio Venta Ideal (x1.5)]]</f>
        <v>8.43</v>
      </c>
      <c r="J681" s="91">
        <v>3</v>
      </c>
      <c r="K681" s="91">
        <f>SUMIFS(VENTAS[Cantidad],VENTAS[Código del producto Vendido],STOCK[[#This Row],[Code]])</f>
        <v>0</v>
      </c>
      <c r="L681" s="91">
        <f>STOCK[[#This Row],[Entradas]]-STOCK[[#This Row],[Salidas]]</f>
        <v>3</v>
      </c>
      <c r="M681" s="76">
        <f>STOCK[[#This Row],[Precio Final]]*10%</f>
        <v>0.8</v>
      </c>
      <c r="N681" s="76">
        <v>0</v>
      </c>
      <c r="O681" s="76">
        <v>4.77</v>
      </c>
      <c r="P681" s="76">
        <v>2.82</v>
      </c>
      <c r="Q681" s="91">
        <v>0</v>
      </c>
      <c r="R681" s="76">
        <v>0</v>
      </c>
      <c r="S681" s="76">
        <v>2</v>
      </c>
      <c r="T681" s="76">
        <f>STOCK[[#This Row],[Costo Unitario (USD)]]+STOCK[[#This Row],[Costo Envío (USD)]]+STOCK[[#This Row],[Comisión 10%]]</f>
        <v>5.62</v>
      </c>
      <c r="U681" s="76">
        <f>STOCK[[#This Row],[Costo total]]*1.5</f>
        <v>8.43</v>
      </c>
      <c r="V681" s="76">
        <v>8</v>
      </c>
      <c r="W681" s="76">
        <f>STOCK[[#This Row],[Precio Final]]-STOCK[[#This Row],[Costo total]]</f>
        <v>2.38</v>
      </c>
      <c r="X681" s="76">
        <f>STOCK[[#This Row],[Ganancia Unitaria]]*STOCK[[#This Row],[Salidas]]</f>
        <v>0</v>
      </c>
      <c r="AA681" s="76">
        <f>STOCK[[#This Row],[Costo total]]*STOCK[[#This Row],[Entradas]]</f>
        <v>16.86</v>
      </c>
      <c r="AB681" s="76">
        <f>STOCK[[#This Row],[Stock Actual]]*STOCK[[#This Row],[Costo total]]</f>
        <v>16.86</v>
      </c>
    </row>
    <row r="682" s="77" customFormat="1" ht="50" hidden="1" customHeight="1" spans="1:28">
      <c r="A682" s="77" t="s">
        <v>1371</v>
      </c>
      <c r="B682" s="6"/>
      <c r="C682" s="77" t="s">
        <v>30</v>
      </c>
      <c r="D682" s="77" t="s">
        <v>350</v>
      </c>
      <c r="E682" s="77" t="s">
        <v>1372</v>
      </c>
      <c r="F682" s="77" t="s">
        <v>524</v>
      </c>
      <c r="G682" s="77" t="s">
        <v>34</v>
      </c>
      <c r="H682" s="77">
        <f>STOCK[[#This Row],[Precio Final]]</f>
        <v>7</v>
      </c>
      <c r="I682" s="77">
        <f>STOCK[[#This Row],[Precio Venta Ideal (x1.5)]]</f>
        <v>8.505</v>
      </c>
      <c r="J682" s="92">
        <v>3</v>
      </c>
      <c r="K682" s="92">
        <f>SUMIFS(VENTAS[Cantidad],VENTAS[Código del producto Vendido],STOCK[[#This Row],[Code]])</f>
        <v>0</v>
      </c>
      <c r="L682" s="92">
        <f>STOCK[[#This Row],[Entradas]]-STOCK[[#This Row],[Salidas]]</f>
        <v>3</v>
      </c>
      <c r="M682" s="77">
        <f>STOCK[[#This Row],[Precio Final]]*10%</f>
        <v>0.7</v>
      </c>
      <c r="N682" s="77">
        <v>0</v>
      </c>
      <c r="O682" s="77">
        <v>14.13</v>
      </c>
      <c r="P682" s="77">
        <v>2.97</v>
      </c>
      <c r="Q682" s="92">
        <v>0</v>
      </c>
      <c r="R682" s="77">
        <v>0</v>
      </c>
      <c r="S682" s="77">
        <v>2</v>
      </c>
      <c r="T682" s="76">
        <f>STOCK[[#This Row],[Costo Unitario (USD)]]+STOCK[[#This Row],[Costo Envío (USD)]]+STOCK[[#This Row],[Comisión 10%]]</f>
        <v>5.67</v>
      </c>
      <c r="U682" s="77">
        <f>STOCK[[#This Row],[Costo total]]*1.5</f>
        <v>8.505</v>
      </c>
      <c r="V682" s="77">
        <v>7</v>
      </c>
      <c r="W682" s="77">
        <f>STOCK[[#This Row],[Precio Final]]-STOCK[[#This Row],[Costo total]]</f>
        <v>1.33</v>
      </c>
      <c r="X682" s="77">
        <f>STOCK[[#This Row],[Ganancia Unitaria]]*STOCK[[#This Row],[Salidas]]</f>
        <v>0</v>
      </c>
      <c r="AA682" s="77">
        <f>STOCK[[#This Row],[Costo total]]*STOCK[[#This Row],[Entradas]]</f>
        <v>17.01</v>
      </c>
      <c r="AB682" s="77">
        <f>STOCK[[#This Row],[Stock Actual]]*STOCK[[#This Row],[Costo total]]</f>
        <v>17.01</v>
      </c>
    </row>
    <row r="683" s="76" customFormat="1" ht="50" hidden="1" customHeight="1" spans="1:28">
      <c r="A683" s="76" t="s">
        <v>1373</v>
      </c>
      <c r="B683" s="6"/>
      <c r="C683" s="76" t="s">
        <v>30</v>
      </c>
      <c r="D683" s="76" t="s">
        <v>173</v>
      </c>
      <c r="E683" s="76" t="s">
        <v>1374</v>
      </c>
      <c r="F683" s="76" t="s">
        <v>60</v>
      </c>
      <c r="G683" s="76" t="s">
        <v>34</v>
      </c>
      <c r="H683" s="76">
        <f>STOCK[[#This Row],[Precio Final]]</f>
        <v>25</v>
      </c>
      <c r="I683" s="76">
        <f>STOCK[[#This Row],[Precio Venta Ideal (x1.5)]]</f>
        <v>20.25</v>
      </c>
      <c r="J683" s="91">
        <v>1</v>
      </c>
      <c r="K683" s="91">
        <f>SUMIFS(VENTAS[Cantidad],VENTAS[Código del producto Vendido],STOCK[[#This Row],[Code]])</f>
        <v>0</v>
      </c>
      <c r="L683" s="91">
        <f>STOCK[[#This Row],[Entradas]]-STOCK[[#This Row],[Salidas]]</f>
        <v>1</v>
      </c>
      <c r="M683" s="76">
        <f>STOCK[[#This Row],[Precio Final]]*10%</f>
        <v>2.5</v>
      </c>
      <c r="N683" s="76">
        <v>0</v>
      </c>
      <c r="O683" s="76">
        <v>15.5</v>
      </c>
      <c r="P683" s="76">
        <v>9</v>
      </c>
      <c r="Q683" s="91">
        <v>0</v>
      </c>
      <c r="R683" s="76">
        <v>0</v>
      </c>
      <c r="S683" s="76">
        <v>2</v>
      </c>
      <c r="T683" s="76">
        <f>STOCK[[#This Row],[Costo Unitario (USD)]]+STOCK[[#This Row],[Costo Envío (USD)]]+STOCK[[#This Row],[Comisión 10%]]</f>
        <v>13.5</v>
      </c>
      <c r="U683" s="76">
        <f>STOCK[[#This Row],[Costo total]]*1.5</f>
        <v>20.25</v>
      </c>
      <c r="V683" s="76">
        <v>25</v>
      </c>
      <c r="W683" s="76">
        <f>STOCK[[#This Row],[Precio Final]]-STOCK[[#This Row],[Costo total]]</f>
        <v>11.5</v>
      </c>
      <c r="X683" s="76">
        <f>STOCK[[#This Row],[Ganancia Unitaria]]*STOCK[[#This Row],[Salidas]]</f>
        <v>0</v>
      </c>
      <c r="AA683" s="76">
        <f>STOCK[[#This Row],[Costo total]]*STOCK[[#This Row],[Entradas]]</f>
        <v>13.5</v>
      </c>
      <c r="AB683" s="76">
        <f>STOCK[[#This Row],[Stock Actual]]*STOCK[[#This Row],[Costo total]]</f>
        <v>13.5</v>
      </c>
    </row>
    <row r="684" s="77" customFormat="1" ht="50" hidden="1" customHeight="1" spans="1:28">
      <c r="A684" s="77" t="s">
        <v>1375</v>
      </c>
      <c r="B684" s="6"/>
      <c r="C684" s="77" t="s">
        <v>30</v>
      </c>
      <c r="D684" s="77" t="s">
        <v>545</v>
      </c>
      <c r="E684" s="77" t="s">
        <v>1376</v>
      </c>
      <c r="F684" s="77" t="s">
        <v>1377</v>
      </c>
      <c r="G684" s="77" t="s">
        <v>702</v>
      </c>
      <c r="H684" s="77">
        <f>STOCK[[#This Row],[Precio Final]]</f>
        <v>12</v>
      </c>
      <c r="I684" s="77">
        <f>STOCK[[#This Row],[Precio Venta Ideal (x1.5)]]</f>
        <v>12.3</v>
      </c>
      <c r="J684" s="92">
        <v>0</v>
      </c>
      <c r="K684" s="92">
        <f>SUMIFS(VENTAS[Cantidad],VENTAS[Código del producto Vendido],STOCK[[#This Row],[Code]])</f>
        <v>0</v>
      </c>
      <c r="L684" s="92">
        <f>STOCK[[#This Row],[Entradas]]-STOCK[[#This Row],[Salidas]]</f>
        <v>0</v>
      </c>
      <c r="M684" s="77">
        <f>STOCK[[#This Row],[Precio Final]]*10%</f>
        <v>1.2</v>
      </c>
      <c r="N684" s="77">
        <v>0</v>
      </c>
      <c r="O684" s="77">
        <v>0</v>
      </c>
      <c r="P684" s="77">
        <v>5</v>
      </c>
      <c r="Q684" s="92">
        <v>0</v>
      </c>
      <c r="R684" s="77">
        <v>0</v>
      </c>
      <c r="S684" s="77">
        <v>2</v>
      </c>
      <c r="T684" s="76">
        <f>STOCK[[#This Row],[Costo Unitario (USD)]]+STOCK[[#This Row],[Costo Envío (USD)]]+STOCK[[#This Row],[Comisión 10%]]</f>
        <v>8.2</v>
      </c>
      <c r="U684" s="77">
        <f>STOCK[[#This Row],[Costo total]]*1.5</f>
        <v>12.3</v>
      </c>
      <c r="V684" s="77">
        <v>12</v>
      </c>
      <c r="W684" s="77">
        <f>STOCK[[#This Row],[Precio Final]]-STOCK[[#This Row],[Costo total]]</f>
        <v>3.8</v>
      </c>
      <c r="X684" s="77">
        <f>STOCK[[#This Row],[Ganancia Unitaria]]*STOCK[[#This Row],[Salidas]]</f>
        <v>0</v>
      </c>
      <c r="AA684" s="77">
        <f>STOCK[[#This Row],[Costo total]]*STOCK[[#This Row],[Entradas]]</f>
        <v>0</v>
      </c>
      <c r="AB684" s="77">
        <f>STOCK[[#This Row],[Stock Actual]]*STOCK[[#This Row],[Costo total]]</f>
        <v>0</v>
      </c>
    </row>
    <row r="685" s="76" customFormat="1" ht="50" hidden="1" customHeight="1" spans="1:28">
      <c r="A685" s="76" t="s">
        <v>1378</v>
      </c>
      <c r="B685" s="6"/>
      <c r="C685" s="76" t="s">
        <v>30</v>
      </c>
      <c r="D685" s="76" t="s">
        <v>287</v>
      </c>
      <c r="E685" s="76" t="s">
        <v>1379</v>
      </c>
      <c r="F685" s="76" t="s">
        <v>60</v>
      </c>
      <c r="G685" s="76" t="s">
        <v>1294</v>
      </c>
      <c r="H685" s="76">
        <f>STOCK[[#This Row],[Precio Final]]</f>
        <v>25</v>
      </c>
      <c r="I685" s="76">
        <f>STOCK[[#This Row],[Precio Venta Ideal (x1.5)]]</f>
        <v>26.25</v>
      </c>
      <c r="J685" s="91">
        <v>3</v>
      </c>
      <c r="K685" s="91">
        <f>SUMIFS(VENTAS[Cantidad],VENTAS[Código del producto Vendido],STOCK[[#This Row],[Code]])</f>
        <v>1</v>
      </c>
      <c r="L685" s="91">
        <f>STOCK[[#This Row],[Entradas]]-STOCK[[#This Row],[Salidas]]</f>
        <v>2</v>
      </c>
      <c r="M685" s="76">
        <f>STOCK[[#This Row],[Precio Final]]*10%</f>
        <v>2.5</v>
      </c>
      <c r="N685" s="76">
        <v>0</v>
      </c>
      <c r="O685" s="76">
        <v>0</v>
      </c>
      <c r="P685" s="76">
        <v>10</v>
      </c>
      <c r="Q685" s="91">
        <v>0</v>
      </c>
      <c r="R685" s="76">
        <v>0</v>
      </c>
      <c r="S685" s="76">
        <v>5</v>
      </c>
      <c r="T685" s="76">
        <f>STOCK[[#This Row],[Costo Unitario (USD)]]+STOCK[[#This Row],[Costo Envío (USD)]]+STOCK[[#This Row],[Comisión 10%]]</f>
        <v>17.5</v>
      </c>
      <c r="U685" s="76">
        <f>STOCK[[#This Row],[Costo total]]*1.5</f>
        <v>26.25</v>
      </c>
      <c r="V685" s="76">
        <v>25</v>
      </c>
      <c r="W685" s="76">
        <f>STOCK[[#This Row],[Precio Final]]-STOCK[[#This Row],[Costo total]]</f>
        <v>7.5</v>
      </c>
      <c r="X685" s="76">
        <f>STOCK[[#This Row],[Ganancia Unitaria]]*STOCK[[#This Row],[Salidas]]</f>
        <v>7.5</v>
      </c>
      <c r="AA685" s="76">
        <f>STOCK[[#This Row],[Costo total]]*STOCK[[#This Row],[Entradas]]</f>
        <v>52.5</v>
      </c>
      <c r="AB685" s="76">
        <f>STOCK[[#This Row],[Stock Actual]]*STOCK[[#This Row],[Costo total]]</f>
        <v>35</v>
      </c>
    </row>
    <row r="686" s="77" customFormat="1" ht="50" hidden="1" customHeight="1" spans="1:28">
      <c r="A686" s="77" t="s">
        <v>1380</v>
      </c>
      <c r="B686" s="6"/>
      <c r="C686" s="77" t="s">
        <v>30</v>
      </c>
      <c r="D686" s="77" t="s">
        <v>545</v>
      </c>
      <c r="E686" s="77" t="s">
        <v>1381</v>
      </c>
      <c r="F686" s="77" t="s">
        <v>1382</v>
      </c>
      <c r="G686" s="77" t="s">
        <v>702</v>
      </c>
      <c r="H686" s="77">
        <f>STOCK[[#This Row],[Precio Final]]</f>
        <v>12</v>
      </c>
      <c r="I686" s="77">
        <f>STOCK[[#This Row],[Precio Venta Ideal (x1.5)]]</f>
        <v>12.3</v>
      </c>
      <c r="J686" s="92">
        <v>0</v>
      </c>
      <c r="K686" s="92">
        <f>SUMIFS(VENTAS[Cantidad],VENTAS[Código del producto Vendido],STOCK[[#This Row],[Code]])</f>
        <v>0</v>
      </c>
      <c r="L686" s="92">
        <f>STOCK[[#This Row],[Entradas]]-STOCK[[#This Row],[Salidas]]</f>
        <v>0</v>
      </c>
      <c r="M686" s="77">
        <f>STOCK[[#This Row],[Precio Final]]*10%</f>
        <v>1.2</v>
      </c>
      <c r="N686" s="77">
        <v>0</v>
      </c>
      <c r="O686" s="77">
        <v>0</v>
      </c>
      <c r="P686" s="77">
        <v>5</v>
      </c>
      <c r="Q686" s="92">
        <v>0</v>
      </c>
      <c r="R686" s="77">
        <v>0</v>
      </c>
      <c r="S686" s="77">
        <v>2</v>
      </c>
      <c r="T686" s="76">
        <f>STOCK[[#This Row],[Costo Unitario (USD)]]+STOCK[[#This Row],[Costo Envío (USD)]]+STOCK[[#This Row],[Comisión 10%]]</f>
        <v>8.2</v>
      </c>
      <c r="U686" s="77">
        <f>STOCK[[#This Row],[Costo total]]*1.5</f>
        <v>12.3</v>
      </c>
      <c r="V686" s="77">
        <v>12</v>
      </c>
      <c r="W686" s="77">
        <f>STOCK[[#This Row],[Precio Final]]-STOCK[[#This Row],[Costo total]]</f>
        <v>3.8</v>
      </c>
      <c r="X686" s="77">
        <f>STOCK[[#This Row],[Ganancia Unitaria]]*STOCK[[#This Row],[Salidas]]</f>
        <v>0</v>
      </c>
      <c r="AA686" s="77">
        <f>STOCK[[#This Row],[Costo total]]*STOCK[[#This Row],[Entradas]]</f>
        <v>0</v>
      </c>
      <c r="AB686" s="77">
        <f>STOCK[[#This Row],[Stock Actual]]*STOCK[[#This Row],[Costo total]]</f>
        <v>0</v>
      </c>
    </row>
    <row r="687" s="76" customFormat="1" ht="50" hidden="1" customHeight="1" spans="1:28">
      <c r="A687" s="76" t="s">
        <v>1383</v>
      </c>
      <c r="B687" s="6"/>
      <c r="C687" s="76" t="s">
        <v>30</v>
      </c>
      <c r="D687" s="76" t="s">
        <v>545</v>
      </c>
      <c r="E687" s="76" t="s">
        <v>1384</v>
      </c>
      <c r="F687" s="76" t="s">
        <v>60</v>
      </c>
      <c r="G687" s="76" t="s">
        <v>34</v>
      </c>
      <c r="H687" s="76">
        <f>STOCK[[#This Row],[Precio Final]]</f>
        <v>3</v>
      </c>
      <c r="I687" s="76">
        <f>STOCK[[#This Row],[Precio Venta Ideal (x1.5)]]</f>
        <v>3.15</v>
      </c>
      <c r="J687" s="91">
        <v>2</v>
      </c>
      <c r="K687" s="91">
        <f>SUMIFS(VENTAS[Cantidad],VENTAS[Código del producto Vendido],STOCK[[#This Row],[Code]])</f>
        <v>0</v>
      </c>
      <c r="L687" s="91">
        <f>STOCK[[#This Row],[Entradas]]-STOCK[[#This Row],[Salidas]]</f>
        <v>2</v>
      </c>
      <c r="M687" s="76">
        <f>STOCK[[#This Row],[Precio Final]]*10%</f>
        <v>0.3</v>
      </c>
      <c r="N687" s="76">
        <v>0</v>
      </c>
      <c r="O687" s="76">
        <v>0</v>
      </c>
      <c r="P687" s="76">
        <v>1.3</v>
      </c>
      <c r="Q687" s="91">
        <v>0</v>
      </c>
      <c r="R687" s="76">
        <v>0</v>
      </c>
      <c r="S687" s="76">
        <v>0.5</v>
      </c>
      <c r="T687" s="76">
        <f>STOCK[[#This Row],[Costo Unitario (USD)]]+STOCK[[#This Row],[Costo Envío (USD)]]+STOCK[[#This Row],[Comisión 10%]]</f>
        <v>2.1</v>
      </c>
      <c r="U687" s="76">
        <f>STOCK[[#This Row],[Costo total]]*1.5</f>
        <v>3.15</v>
      </c>
      <c r="V687" s="76">
        <v>3</v>
      </c>
      <c r="W687" s="76">
        <f>STOCK[[#This Row],[Precio Final]]-STOCK[[#This Row],[Costo total]]</f>
        <v>0.9</v>
      </c>
      <c r="X687" s="76">
        <f>STOCK[[#This Row],[Ganancia Unitaria]]*STOCK[[#This Row],[Salidas]]</f>
        <v>0</v>
      </c>
      <c r="AA687" s="76">
        <f>STOCK[[#This Row],[Costo total]]*STOCK[[#This Row],[Entradas]]</f>
        <v>4.2</v>
      </c>
      <c r="AB687" s="76">
        <f>STOCK[[#This Row],[Stock Actual]]*STOCK[[#This Row],[Costo total]]</f>
        <v>4.2</v>
      </c>
    </row>
    <row r="688" s="77" customFormat="1" ht="50" hidden="1" customHeight="1" spans="1:28">
      <c r="A688" s="77" t="s">
        <v>1385</v>
      </c>
      <c r="B688" s="6"/>
      <c r="C688" s="77" t="s">
        <v>30</v>
      </c>
      <c r="D688" s="77" t="s">
        <v>1386</v>
      </c>
      <c r="E688" s="77" t="s">
        <v>1387</v>
      </c>
      <c r="F688" s="77" t="s">
        <v>60</v>
      </c>
      <c r="G688" s="77" t="s">
        <v>702</v>
      </c>
      <c r="H688" s="77">
        <f>STOCK[[#This Row],[Precio Final]]</f>
        <v>19</v>
      </c>
      <c r="I688" s="77">
        <f>STOCK[[#This Row],[Precio Venta Ideal (x1.5)]]</f>
        <v>19.35</v>
      </c>
      <c r="J688" s="92">
        <v>1</v>
      </c>
      <c r="K688" s="92">
        <f>SUMIFS(VENTAS[Cantidad],VENTAS[Código del producto Vendido],STOCK[[#This Row],[Code]])</f>
        <v>0</v>
      </c>
      <c r="L688" s="92">
        <f>STOCK[[#This Row],[Entradas]]-STOCK[[#This Row],[Salidas]]</f>
        <v>1</v>
      </c>
      <c r="M688" s="77">
        <f>STOCK[[#This Row],[Precio Final]]*10%</f>
        <v>1.9</v>
      </c>
      <c r="N688" s="77">
        <v>0</v>
      </c>
      <c r="O688" s="77">
        <v>0</v>
      </c>
      <c r="P688" s="77">
        <v>9</v>
      </c>
      <c r="Q688" s="92">
        <v>0</v>
      </c>
      <c r="R688" s="77">
        <v>0</v>
      </c>
      <c r="S688" s="77">
        <v>2</v>
      </c>
      <c r="T688" s="76">
        <f>STOCK[[#This Row],[Costo Unitario (USD)]]+STOCK[[#This Row],[Costo Envío (USD)]]+STOCK[[#This Row],[Comisión 10%]]</f>
        <v>12.9</v>
      </c>
      <c r="U688" s="77">
        <f>STOCK[[#This Row],[Costo total]]*1.5</f>
        <v>19.35</v>
      </c>
      <c r="V688" s="77">
        <v>19</v>
      </c>
      <c r="W688" s="77">
        <f>STOCK[[#This Row],[Precio Final]]-STOCK[[#This Row],[Costo total]]</f>
        <v>6.1</v>
      </c>
      <c r="X688" s="77">
        <f>STOCK[[#This Row],[Ganancia Unitaria]]*STOCK[[#This Row],[Salidas]]</f>
        <v>0</v>
      </c>
      <c r="AA688" s="77">
        <f>STOCK[[#This Row],[Costo total]]*STOCK[[#This Row],[Entradas]]</f>
        <v>12.9</v>
      </c>
      <c r="AB688" s="77">
        <f>STOCK[[#This Row],[Stock Actual]]*STOCK[[#This Row],[Costo total]]</f>
        <v>12.9</v>
      </c>
    </row>
    <row r="689" s="76" customFormat="1" ht="50" hidden="1" customHeight="1" spans="1:28">
      <c r="A689" s="76" t="s">
        <v>1388</v>
      </c>
      <c r="B689" s="6"/>
      <c r="C689" s="76" t="s">
        <v>30</v>
      </c>
      <c r="D689" s="76" t="s">
        <v>151</v>
      </c>
      <c r="E689" s="76" t="s">
        <v>1389</v>
      </c>
      <c r="F689" s="76" t="s">
        <v>60</v>
      </c>
      <c r="G689" s="76" t="s">
        <v>1294</v>
      </c>
      <c r="H689" s="76">
        <f>STOCK[[#This Row],[Precio Final]]</f>
        <v>18</v>
      </c>
      <c r="I689" s="76">
        <f>STOCK[[#This Row],[Precio Venta Ideal (x1.5)]]</f>
        <v>19.68</v>
      </c>
      <c r="J689" s="91">
        <v>1</v>
      </c>
      <c r="K689" s="91">
        <f>SUMIFS(VENTAS[Cantidad],VENTAS[Código del producto Vendido],STOCK[[#This Row],[Code]])</f>
        <v>1</v>
      </c>
      <c r="L689" s="91">
        <f>STOCK[[#This Row],[Entradas]]-STOCK[[#This Row],[Salidas]]</f>
        <v>0</v>
      </c>
      <c r="M689" s="76">
        <f>STOCK[[#This Row],[Precio Final]]*10%</f>
        <v>1.8</v>
      </c>
      <c r="N689" s="76">
        <v>0</v>
      </c>
      <c r="O689" s="76">
        <v>0</v>
      </c>
      <c r="P689" s="76">
        <v>9.32</v>
      </c>
      <c r="Q689" s="91">
        <v>0</v>
      </c>
      <c r="R689" s="76">
        <v>0</v>
      </c>
      <c r="S689" s="76">
        <v>2</v>
      </c>
      <c r="T689" s="76">
        <f>STOCK[[#This Row],[Costo Unitario (USD)]]+STOCK[[#This Row],[Costo Envío (USD)]]+STOCK[[#This Row],[Comisión 10%]]</f>
        <v>13.12</v>
      </c>
      <c r="U689" s="76">
        <f>STOCK[[#This Row],[Costo total]]*1.5</f>
        <v>19.68</v>
      </c>
      <c r="V689" s="76">
        <v>18</v>
      </c>
      <c r="W689" s="76">
        <f>STOCK[[#This Row],[Precio Final]]-STOCK[[#This Row],[Costo total]]</f>
        <v>4.88</v>
      </c>
      <c r="X689" s="76">
        <f>STOCK[[#This Row],[Ganancia Unitaria]]*STOCK[[#This Row],[Salidas]]</f>
        <v>4.88</v>
      </c>
      <c r="AA689" s="76">
        <f>STOCK[[#This Row],[Costo total]]*STOCK[[#This Row],[Entradas]]</f>
        <v>13.12</v>
      </c>
      <c r="AB689" s="76">
        <f>STOCK[[#This Row],[Stock Actual]]*STOCK[[#This Row],[Costo total]]</f>
        <v>0</v>
      </c>
    </row>
    <row r="690" s="77" customFormat="1" ht="50" hidden="1" customHeight="1" spans="1:28">
      <c r="A690" s="77" t="s">
        <v>1390</v>
      </c>
      <c r="B690" s="6"/>
      <c r="C690" s="77" t="s">
        <v>30</v>
      </c>
      <c r="D690" s="77" t="s">
        <v>151</v>
      </c>
      <c r="E690" s="77" t="s">
        <v>1391</v>
      </c>
      <c r="F690" s="77" t="s">
        <v>47</v>
      </c>
      <c r="G690" s="77" t="s">
        <v>1294</v>
      </c>
      <c r="H690" s="77">
        <f>STOCK[[#This Row],[Precio Final]]</f>
        <v>20</v>
      </c>
      <c r="I690" s="77">
        <f>STOCK[[#This Row],[Precio Venta Ideal (x1.5)]]</f>
        <v>24</v>
      </c>
      <c r="J690" s="92">
        <v>0</v>
      </c>
      <c r="K690" s="92">
        <f>SUMIFS(VENTAS[Cantidad],VENTAS[Código del producto Vendido],STOCK[[#This Row],[Code]])</f>
        <v>0</v>
      </c>
      <c r="L690" s="92">
        <f>STOCK[[#This Row],[Entradas]]-STOCK[[#This Row],[Salidas]]</f>
        <v>0</v>
      </c>
      <c r="M690" s="77">
        <f>STOCK[[#This Row],[Precio Final]]*10%</f>
        <v>2</v>
      </c>
      <c r="N690" s="77">
        <v>0</v>
      </c>
      <c r="O690" s="77">
        <v>0</v>
      </c>
      <c r="P690" s="77">
        <v>12</v>
      </c>
      <c r="Q690" s="92">
        <v>0</v>
      </c>
      <c r="R690" s="77">
        <v>0</v>
      </c>
      <c r="S690" s="77">
        <v>2</v>
      </c>
      <c r="T690" s="76">
        <f>STOCK[[#This Row],[Costo Unitario (USD)]]+STOCK[[#This Row],[Costo Envío (USD)]]+STOCK[[#This Row],[Comisión 10%]]</f>
        <v>16</v>
      </c>
      <c r="U690" s="77">
        <f>STOCK[[#This Row],[Costo total]]*1.5</f>
        <v>24</v>
      </c>
      <c r="V690" s="77">
        <v>20</v>
      </c>
      <c r="W690" s="77">
        <f>STOCK[[#This Row],[Precio Final]]-STOCK[[#This Row],[Costo total]]</f>
        <v>4</v>
      </c>
      <c r="X690" s="77">
        <f>STOCK[[#This Row],[Ganancia Unitaria]]*STOCK[[#This Row],[Salidas]]</f>
        <v>0</v>
      </c>
      <c r="AA690" s="77">
        <f>STOCK[[#This Row],[Costo total]]*STOCK[[#This Row],[Entradas]]</f>
        <v>0</v>
      </c>
      <c r="AB690" s="77">
        <f>STOCK[[#This Row],[Stock Actual]]*STOCK[[#This Row],[Costo total]]</f>
        <v>0</v>
      </c>
    </row>
    <row r="691" s="76" customFormat="1" ht="50" hidden="1" customHeight="1" spans="1:28">
      <c r="A691" s="76" t="s">
        <v>1392</v>
      </c>
      <c r="B691" s="6"/>
      <c r="C691" s="76" t="s">
        <v>30</v>
      </c>
      <c r="D691" s="76" t="s">
        <v>151</v>
      </c>
      <c r="E691" s="76" t="s">
        <v>1389</v>
      </c>
      <c r="F691" s="76" t="s">
        <v>38</v>
      </c>
      <c r="G691" s="76" t="s">
        <v>1294</v>
      </c>
      <c r="H691" s="76">
        <f>STOCK[[#This Row],[Precio Final]]</f>
        <v>18</v>
      </c>
      <c r="I691" s="76">
        <f>STOCK[[#This Row],[Precio Venta Ideal (x1.5)]]</f>
        <v>19.68</v>
      </c>
      <c r="J691" s="91">
        <v>1</v>
      </c>
      <c r="K691" s="91">
        <f>SUMIFS(VENTAS[Cantidad],VENTAS[Código del producto Vendido],STOCK[[#This Row],[Code]])</f>
        <v>1</v>
      </c>
      <c r="L691" s="91">
        <f>STOCK[[#This Row],[Entradas]]-STOCK[[#This Row],[Salidas]]</f>
        <v>0</v>
      </c>
      <c r="M691" s="76">
        <f>STOCK[[#This Row],[Precio Final]]*10%</f>
        <v>1.8</v>
      </c>
      <c r="N691" s="76">
        <v>0</v>
      </c>
      <c r="O691" s="76">
        <v>0</v>
      </c>
      <c r="P691" s="76">
        <v>9.32</v>
      </c>
      <c r="Q691" s="91">
        <v>0</v>
      </c>
      <c r="R691" s="76">
        <v>0</v>
      </c>
      <c r="S691" s="76">
        <v>2</v>
      </c>
      <c r="T691" s="76">
        <f>STOCK[[#This Row],[Costo Unitario (USD)]]+STOCK[[#This Row],[Costo Envío (USD)]]+STOCK[[#This Row],[Comisión 10%]]</f>
        <v>13.12</v>
      </c>
      <c r="U691" s="76">
        <f>STOCK[[#This Row],[Costo total]]*1.5</f>
        <v>19.68</v>
      </c>
      <c r="V691" s="76">
        <v>18</v>
      </c>
      <c r="W691" s="76">
        <f>STOCK[[#This Row],[Precio Final]]-STOCK[[#This Row],[Costo total]]</f>
        <v>4.88</v>
      </c>
      <c r="X691" s="76">
        <f>STOCK[[#This Row],[Ganancia Unitaria]]*STOCK[[#This Row],[Salidas]]</f>
        <v>4.88</v>
      </c>
      <c r="AA691" s="76">
        <f>STOCK[[#This Row],[Costo total]]*STOCK[[#This Row],[Entradas]]</f>
        <v>13.12</v>
      </c>
      <c r="AB691" s="76">
        <f>STOCK[[#This Row],[Stock Actual]]*STOCK[[#This Row],[Costo total]]</f>
        <v>0</v>
      </c>
    </row>
    <row r="692" s="77" customFormat="1" ht="50" hidden="1" customHeight="1" spans="1:28">
      <c r="A692" s="77" t="s">
        <v>1393</v>
      </c>
      <c r="B692" s="6"/>
      <c r="C692" s="77" t="s">
        <v>30</v>
      </c>
      <c r="D692" s="77" t="s">
        <v>173</v>
      </c>
      <c r="E692" s="77" t="s">
        <v>1394</v>
      </c>
      <c r="F692" s="77" t="s">
        <v>47</v>
      </c>
      <c r="G692" s="77" t="s">
        <v>702</v>
      </c>
      <c r="H692" s="77">
        <f>STOCK[[#This Row],[Precio Final]]</f>
        <v>18</v>
      </c>
      <c r="I692" s="77">
        <f>STOCK[[#This Row],[Precio Venta Ideal (x1.5)]]</f>
        <v>19.68</v>
      </c>
      <c r="J692" s="92">
        <v>0</v>
      </c>
      <c r="K692" s="92">
        <f>SUMIFS(VENTAS[Cantidad],VENTAS[Código del producto Vendido],STOCK[[#This Row],[Code]])</f>
        <v>0</v>
      </c>
      <c r="L692" s="92">
        <f>STOCK[[#This Row],[Entradas]]-STOCK[[#This Row],[Salidas]]</f>
        <v>0</v>
      </c>
      <c r="M692" s="77">
        <f>STOCK[[#This Row],[Precio Final]]*10%</f>
        <v>1.8</v>
      </c>
      <c r="N692" s="77">
        <v>0</v>
      </c>
      <c r="O692" s="77">
        <v>0</v>
      </c>
      <c r="P692" s="77">
        <v>9.32</v>
      </c>
      <c r="Q692" s="92">
        <v>0</v>
      </c>
      <c r="R692" s="77">
        <v>0</v>
      </c>
      <c r="S692" s="77">
        <v>2</v>
      </c>
      <c r="T692" s="76">
        <f>STOCK[[#This Row],[Costo Unitario (USD)]]+STOCK[[#This Row],[Costo Envío (USD)]]+STOCK[[#This Row],[Comisión 10%]]</f>
        <v>13.12</v>
      </c>
      <c r="U692" s="77">
        <f>STOCK[[#This Row],[Costo total]]*1.5</f>
        <v>19.68</v>
      </c>
      <c r="V692" s="77">
        <v>18</v>
      </c>
      <c r="W692" s="77">
        <f>STOCK[[#This Row],[Precio Final]]-STOCK[[#This Row],[Costo total]]</f>
        <v>4.88</v>
      </c>
      <c r="X692" s="77">
        <f>STOCK[[#This Row],[Ganancia Unitaria]]*STOCK[[#This Row],[Salidas]]</f>
        <v>0</v>
      </c>
      <c r="AA692" s="77">
        <f>STOCK[[#This Row],[Costo total]]*STOCK[[#This Row],[Entradas]]</f>
        <v>0</v>
      </c>
      <c r="AB692" s="77">
        <f>STOCK[[#This Row],[Stock Actual]]*STOCK[[#This Row],[Costo total]]</f>
        <v>0</v>
      </c>
    </row>
    <row r="693" s="76" customFormat="1" ht="50" hidden="1" customHeight="1" spans="1:28">
      <c r="A693" s="76" t="s">
        <v>1395</v>
      </c>
      <c r="B693" s="6"/>
      <c r="C693" s="76" t="s">
        <v>30</v>
      </c>
      <c r="D693" s="76" t="s">
        <v>173</v>
      </c>
      <c r="E693" s="76" t="s">
        <v>1396</v>
      </c>
      <c r="F693" s="76" t="s">
        <v>60</v>
      </c>
      <c r="G693" s="76" t="s">
        <v>1294</v>
      </c>
      <c r="H693" s="76">
        <f>STOCK[[#This Row],[Precio Final]]</f>
        <v>12</v>
      </c>
      <c r="I693" s="76">
        <f>STOCK[[#This Row],[Precio Venta Ideal (x1.5)]]</f>
        <v>15.3</v>
      </c>
      <c r="J693" s="91">
        <v>3</v>
      </c>
      <c r="K693" s="91">
        <f>SUMIFS(VENTAS[Cantidad],VENTAS[Código del producto Vendido],STOCK[[#This Row],[Code]])</f>
        <v>1</v>
      </c>
      <c r="L693" s="91">
        <f>STOCK[[#This Row],[Entradas]]-STOCK[[#This Row],[Salidas]]</f>
        <v>2</v>
      </c>
      <c r="M693" s="76">
        <f>STOCK[[#This Row],[Precio Final]]*10%</f>
        <v>1.2</v>
      </c>
      <c r="N693" s="76">
        <v>0</v>
      </c>
      <c r="O693" s="76">
        <v>22.5</v>
      </c>
      <c r="P693" s="76">
        <v>7</v>
      </c>
      <c r="Q693" s="91">
        <v>0</v>
      </c>
      <c r="R693" s="76">
        <v>0</v>
      </c>
      <c r="S693" s="76">
        <v>2</v>
      </c>
      <c r="T693" s="76">
        <f>STOCK[[#This Row],[Costo Unitario (USD)]]+STOCK[[#This Row],[Costo Envío (USD)]]+STOCK[[#This Row],[Comisión 10%]]</f>
        <v>10.2</v>
      </c>
      <c r="U693" s="76">
        <f>STOCK[[#This Row],[Costo total]]*1.5</f>
        <v>15.3</v>
      </c>
      <c r="V693" s="76">
        <v>12</v>
      </c>
      <c r="W693" s="76">
        <f>STOCK[[#This Row],[Precio Final]]-STOCK[[#This Row],[Costo total]]</f>
        <v>1.8</v>
      </c>
      <c r="X693" s="76">
        <f>STOCK[[#This Row],[Ganancia Unitaria]]*STOCK[[#This Row],[Salidas]]</f>
        <v>1.8</v>
      </c>
      <c r="AA693" s="76">
        <f>STOCK[[#This Row],[Costo total]]*STOCK[[#This Row],[Entradas]]</f>
        <v>30.6</v>
      </c>
      <c r="AB693" s="76">
        <f>STOCK[[#This Row],[Stock Actual]]*STOCK[[#This Row],[Costo total]]</f>
        <v>20.4</v>
      </c>
    </row>
    <row r="694" s="77" customFormat="1" ht="50" hidden="1" customHeight="1" spans="1:28">
      <c r="A694" s="77" t="s">
        <v>1397</v>
      </c>
      <c r="B694" s="6"/>
      <c r="C694" s="77" t="s">
        <v>30</v>
      </c>
      <c r="D694" s="77" t="s">
        <v>173</v>
      </c>
      <c r="E694" s="76" t="s">
        <v>1396</v>
      </c>
      <c r="F694" s="77" t="s">
        <v>47</v>
      </c>
      <c r="G694" s="77" t="s">
        <v>1294</v>
      </c>
      <c r="H694" s="77">
        <f>STOCK[[#This Row],[Precio Final]]</f>
        <v>12</v>
      </c>
      <c r="I694" s="77">
        <f>STOCK[[#This Row],[Precio Venta Ideal (x1.5)]]</f>
        <v>15.3</v>
      </c>
      <c r="J694" s="92">
        <v>4</v>
      </c>
      <c r="K694" s="92">
        <f>SUMIFS(VENTAS[Cantidad],VENTAS[Código del producto Vendido],STOCK[[#This Row],[Code]])</f>
        <v>2</v>
      </c>
      <c r="L694" s="92">
        <f>STOCK[[#This Row],[Entradas]]-STOCK[[#This Row],[Salidas]]</f>
        <v>2</v>
      </c>
      <c r="M694" s="77">
        <f>STOCK[[#This Row],[Precio Final]]*10%</f>
        <v>1.2</v>
      </c>
      <c r="N694" s="77">
        <v>0</v>
      </c>
      <c r="O694" s="77">
        <v>22.5</v>
      </c>
      <c r="P694" s="77">
        <v>7</v>
      </c>
      <c r="Q694" s="92">
        <v>0</v>
      </c>
      <c r="R694" s="77">
        <v>0</v>
      </c>
      <c r="S694" s="77">
        <v>2</v>
      </c>
      <c r="T694" s="76">
        <f>STOCK[[#This Row],[Costo Unitario (USD)]]+STOCK[[#This Row],[Costo Envío (USD)]]+STOCK[[#This Row],[Comisión 10%]]</f>
        <v>10.2</v>
      </c>
      <c r="U694" s="77">
        <f>STOCK[[#This Row],[Costo total]]*1.5</f>
        <v>15.3</v>
      </c>
      <c r="V694" s="77">
        <v>12</v>
      </c>
      <c r="W694" s="77">
        <f>STOCK[[#This Row],[Precio Final]]-STOCK[[#This Row],[Costo total]]</f>
        <v>1.8</v>
      </c>
      <c r="X694" s="77">
        <f>STOCK[[#This Row],[Ganancia Unitaria]]*STOCK[[#This Row],[Salidas]]</f>
        <v>3.6</v>
      </c>
      <c r="AA694" s="77">
        <f>STOCK[[#This Row],[Costo total]]*STOCK[[#This Row],[Entradas]]</f>
        <v>40.8</v>
      </c>
      <c r="AB694" s="77">
        <f>STOCK[[#This Row],[Stock Actual]]*STOCK[[#This Row],[Costo total]]</f>
        <v>20.4</v>
      </c>
    </row>
    <row r="695" s="76" customFormat="1" ht="50" hidden="1" customHeight="1" spans="1:28">
      <c r="A695" s="76" t="s">
        <v>1398</v>
      </c>
      <c r="B695" s="6"/>
      <c r="C695" s="76" t="s">
        <v>30</v>
      </c>
      <c r="D695" s="76" t="s">
        <v>173</v>
      </c>
      <c r="E695" s="76" t="s">
        <v>1399</v>
      </c>
      <c r="F695" s="76" t="s">
        <v>47</v>
      </c>
      <c r="G695" s="76" t="s">
        <v>1294</v>
      </c>
      <c r="H695" s="76">
        <f>STOCK[[#This Row],[Precio Final]]</f>
        <v>12</v>
      </c>
      <c r="I695" s="76">
        <f>STOCK[[#This Row],[Precio Venta Ideal (x1.5)]]</f>
        <v>15.3</v>
      </c>
      <c r="J695" s="91">
        <v>3</v>
      </c>
      <c r="K695" s="91">
        <f>SUMIFS(VENTAS[Cantidad],VENTAS[Código del producto Vendido],STOCK[[#This Row],[Code]])</f>
        <v>2</v>
      </c>
      <c r="L695" s="91">
        <f>STOCK[[#This Row],[Entradas]]-STOCK[[#This Row],[Salidas]]</f>
        <v>1</v>
      </c>
      <c r="M695" s="76">
        <f>STOCK[[#This Row],[Precio Final]]*10%</f>
        <v>1.2</v>
      </c>
      <c r="N695" s="76">
        <v>0</v>
      </c>
      <c r="O695" s="76">
        <v>22.5</v>
      </c>
      <c r="P695" s="76">
        <v>7</v>
      </c>
      <c r="Q695" s="91">
        <v>0</v>
      </c>
      <c r="R695" s="76">
        <v>0</v>
      </c>
      <c r="S695" s="76">
        <v>2</v>
      </c>
      <c r="T695" s="76">
        <f>STOCK[[#This Row],[Costo Unitario (USD)]]+STOCK[[#This Row],[Costo Envío (USD)]]+STOCK[[#This Row],[Comisión 10%]]</f>
        <v>10.2</v>
      </c>
      <c r="U695" s="76">
        <f>STOCK[[#This Row],[Costo total]]*1.5</f>
        <v>15.3</v>
      </c>
      <c r="V695" s="76">
        <v>12</v>
      </c>
      <c r="W695" s="76">
        <f>STOCK[[#This Row],[Precio Final]]-STOCK[[#This Row],[Costo total]]</f>
        <v>1.8</v>
      </c>
      <c r="X695" s="76">
        <f>STOCK[[#This Row],[Ganancia Unitaria]]*STOCK[[#This Row],[Salidas]]</f>
        <v>3.6</v>
      </c>
      <c r="AA695" s="76">
        <f>STOCK[[#This Row],[Costo total]]*STOCK[[#This Row],[Entradas]]</f>
        <v>30.6</v>
      </c>
      <c r="AB695" s="76">
        <f>STOCK[[#This Row],[Stock Actual]]*STOCK[[#This Row],[Costo total]]</f>
        <v>10.2</v>
      </c>
    </row>
    <row r="696" s="77" customFormat="1" ht="50" hidden="1" customHeight="1" spans="1:28">
      <c r="A696" s="77" t="s">
        <v>1400</v>
      </c>
      <c r="B696" s="6"/>
      <c r="C696" s="77" t="s">
        <v>30</v>
      </c>
      <c r="D696" s="77" t="s">
        <v>151</v>
      </c>
      <c r="E696" s="77" t="s">
        <v>1401</v>
      </c>
      <c r="F696" s="77" t="s">
        <v>38</v>
      </c>
      <c r="G696" s="77" t="s">
        <v>1294</v>
      </c>
      <c r="H696" s="77">
        <f>STOCK[[#This Row],[Precio Final]]</f>
        <v>12</v>
      </c>
      <c r="I696" s="77">
        <f>STOCK[[#This Row],[Precio Venta Ideal (x1.5)]]</f>
        <v>15.3</v>
      </c>
      <c r="J696" s="92">
        <v>0</v>
      </c>
      <c r="K696" s="92">
        <f>SUMIFS(VENTAS[Cantidad],VENTAS[Código del producto Vendido],STOCK[[#This Row],[Code]])</f>
        <v>0</v>
      </c>
      <c r="L696" s="92">
        <f>STOCK[[#This Row],[Entradas]]-STOCK[[#This Row],[Salidas]]</f>
        <v>0</v>
      </c>
      <c r="M696" s="77">
        <f>STOCK[[#This Row],[Precio Final]]*10%</f>
        <v>1.2</v>
      </c>
      <c r="N696" s="77">
        <v>0</v>
      </c>
      <c r="O696" s="77">
        <v>0</v>
      </c>
      <c r="P696" s="77">
        <v>7</v>
      </c>
      <c r="Q696" s="92">
        <v>0</v>
      </c>
      <c r="R696" s="77">
        <v>0</v>
      </c>
      <c r="S696" s="77">
        <v>2</v>
      </c>
      <c r="T696" s="76">
        <f>STOCK[[#This Row],[Costo Unitario (USD)]]+STOCK[[#This Row],[Costo Envío (USD)]]+STOCK[[#This Row],[Comisión 10%]]</f>
        <v>10.2</v>
      </c>
      <c r="U696" s="77">
        <f>STOCK[[#This Row],[Costo total]]*1.5</f>
        <v>15.3</v>
      </c>
      <c r="V696" s="77">
        <v>12</v>
      </c>
      <c r="W696" s="77">
        <f>STOCK[[#This Row],[Precio Final]]-STOCK[[#This Row],[Costo total]]</f>
        <v>1.8</v>
      </c>
      <c r="X696" s="77">
        <f>STOCK[[#This Row],[Ganancia Unitaria]]*STOCK[[#This Row],[Salidas]]</f>
        <v>0</v>
      </c>
      <c r="AA696" s="77">
        <f>STOCK[[#This Row],[Costo total]]*STOCK[[#This Row],[Entradas]]</f>
        <v>0</v>
      </c>
      <c r="AB696" s="77">
        <f>STOCK[[#This Row],[Stock Actual]]*STOCK[[#This Row],[Costo total]]</f>
        <v>0</v>
      </c>
    </row>
    <row r="697" s="76" customFormat="1" ht="50" hidden="1" customHeight="1" spans="1:28">
      <c r="A697" s="76" t="s">
        <v>1402</v>
      </c>
      <c r="B697" s="6"/>
      <c r="C697" s="76" t="s">
        <v>30</v>
      </c>
      <c r="D697" s="76" t="s">
        <v>173</v>
      </c>
      <c r="E697" s="76" t="s">
        <v>1403</v>
      </c>
      <c r="F697" s="76" t="s">
        <v>47</v>
      </c>
      <c r="G697" s="76" t="s">
        <v>1294</v>
      </c>
      <c r="H697" s="76">
        <f>STOCK[[#This Row],[Precio Final]]</f>
        <v>10</v>
      </c>
      <c r="I697" s="76">
        <f>STOCK[[#This Row],[Precio Venta Ideal (x1.5)]]</f>
        <v>9.75</v>
      </c>
      <c r="J697" s="91">
        <v>3</v>
      </c>
      <c r="K697" s="91">
        <f>SUMIFS(VENTAS[Cantidad],VENTAS[Código del producto Vendido],STOCK[[#This Row],[Code]])</f>
        <v>2</v>
      </c>
      <c r="L697" s="91">
        <f>STOCK[[#This Row],[Entradas]]-STOCK[[#This Row],[Salidas]]</f>
        <v>1</v>
      </c>
      <c r="M697" s="76">
        <f>STOCK[[#This Row],[Precio Final]]*10%</f>
        <v>1</v>
      </c>
      <c r="N697" s="76">
        <v>0</v>
      </c>
      <c r="O697" s="76">
        <v>11</v>
      </c>
      <c r="P697" s="76">
        <v>4.5</v>
      </c>
      <c r="Q697" s="91">
        <v>0</v>
      </c>
      <c r="R697" s="76">
        <v>0</v>
      </c>
      <c r="S697" s="76">
        <v>1</v>
      </c>
      <c r="T697" s="76">
        <f>STOCK[[#This Row],[Costo Unitario (USD)]]+STOCK[[#This Row],[Costo Envío (USD)]]+STOCK[[#This Row],[Comisión 10%]]</f>
        <v>6.5</v>
      </c>
      <c r="U697" s="76">
        <f>STOCK[[#This Row],[Costo total]]*1.5</f>
        <v>9.75</v>
      </c>
      <c r="V697" s="76">
        <v>10</v>
      </c>
      <c r="W697" s="76">
        <f>STOCK[[#This Row],[Precio Final]]-STOCK[[#This Row],[Costo total]]</f>
        <v>3.5</v>
      </c>
      <c r="X697" s="76">
        <f>STOCK[[#This Row],[Ganancia Unitaria]]*STOCK[[#This Row],[Salidas]]</f>
        <v>7</v>
      </c>
      <c r="Y697" s="76" t="s">
        <v>1404</v>
      </c>
      <c r="AA697" s="76">
        <f>STOCK[[#This Row],[Costo total]]*STOCK[[#This Row],[Entradas]]</f>
        <v>19.5</v>
      </c>
      <c r="AB697" s="76">
        <f>STOCK[[#This Row],[Stock Actual]]*STOCK[[#This Row],[Costo total]]</f>
        <v>6.5</v>
      </c>
    </row>
    <row r="698" s="77" customFormat="1" ht="50" hidden="1" customHeight="1" spans="1:28">
      <c r="A698" s="77" t="s">
        <v>1405</v>
      </c>
      <c r="B698" s="6"/>
      <c r="C698" s="77" t="s">
        <v>30</v>
      </c>
      <c r="D698" s="77" t="s">
        <v>246</v>
      </c>
      <c r="E698" s="76" t="s">
        <v>1403</v>
      </c>
      <c r="F698" s="77" t="s">
        <v>1406</v>
      </c>
      <c r="G698" s="77" t="s">
        <v>1294</v>
      </c>
      <c r="H698" s="77">
        <f>STOCK[[#This Row],[Precio Final]]</f>
        <v>10</v>
      </c>
      <c r="I698" s="77">
        <f>STOCK[[#This Row],[Precio Venta Ideal (x1.5)]]</f>
        <v>9.75</v>
      </c>
      <c r="J698" s="92">
        <v>1</v>
      </c>
      <c r="K698" s="92">
        <f>SUMIFS(VENTAS[Cantidad],VENTAS[Código del producto Vendido],STOCK[[#This Row],[Code]])</f>
        <v>0</v>
      </c>
      <c r="L698" s="92">
        <f>STOCK[[#This Row],[Entradas]]-STOCK[[#This Row],[Salidas]]</f>
        <v>1</v>
      </c>
      <c r="M698" s="77">
        <f>STOCK[[#This Row],[Precio Final]]*10%</f>
        <v>1</v>
      </c>
      <c r="N698" s="77">
        <v>0</v>
      </c>
      <c r="O698" s="77">
        <v>5.5</v>
      </c>
      <c r="P698" s="77">
        <v>4.5</v>
      </c>
      <c r="Q698" s="92">
        <v>0</v>
      </c>
      <c r="R698" s="77">
        <v>0</v>
      </c>
      <c r="S698" s="77">
        <v>1</v>
      </c>
      <c r="T698" s="76">
        <f>STOCK[[#This Row],[Costo Unitario (USD)]]+STOCK[[#This Row],[Costo Envío (USD)]]+STOCK[[#This Row],[Comisión 10%]]</f>
        <v>6.5</v>
      </c>
      <c r="U698" s="77">
        <f>STOCK[[#This Row],[Costo total]]*1.5</f>
        <v>9.75</v>
      </c>
      <c r="V698" s="77">
        <v>10</v>
      </c>
      <c r="W698" s="77">
        <f>STOCK[[#This Row],[Precio Final]]-STOCK[[#This Row],[Costo total]]</f>
        <v>3.5</v>
      </c>
      <c r="X698" s="77">
        <f>STOCK[[#This Row],[Ganancia Unitaria]]*STOCK[[#This Row],[Salidas]]</f>
        <v>0</v>
      </c>
      <c r="AA698" s="77">
        <f>STOCK[[#This Row],[Costo total]]*STOCK[[#This Row],[Entradas]]</f>
        <v>6.5</v>
      </c>
      <c r="AB698" s="77">
        <f>STOCK[[#This Row],[Stock Actual]]*STOCK[[#This Row],[Costo total]]</f>
        <v>6.5</v>
      </c>
    </row>
    <row r="699" s="76" customFormat="1" ht="50" hidden="1" customHeight="1" spans="1:28">
      <c r="A699" s="76" t="s">
        <v>1407</v>
      </c>
      <c r="B699" s="6"/>
      <c r="C699" s="76" t="s">
        <v>30</v>
      </c>
      <c r="D699" s="76" t="s">
        <v>151</v>
      </c>
      <c r="E699" s="76" t="s">
        <v>1408</v>
      </c>
      <c r="F699" s="76" t="s">
        <v>60</v>
      </c>
      <c r="G699" s="76" t="s">
        <v>1294</v>
      </c>
      <c r="H699" s="76">
        <f>STOCK[[#This Row],[Precio Final]]</f>
        <v>23</v>
      </c>
      <c r="I699" s="76">
        <f>STOCK[[#This Row],[Precio Venta Ideal (x1.5)]]</f>
        <v>24.78</v>
      </c>
      <c r="J699" s="91">
        <v>4</v>
      </c>
      <c r="K699" s="91">
        <f>SUMIFS(VENTAS[Cantidad],VENTAS[Código del producto Vendido],STOCK[[#This Row],[Code]])</f>
        <v>4</v>
      </c>
      <c r="L699" s="91">
        <f>STOCK[[#This Row],[Entradas]]-STOCK[[#This Row],[Salidas]]</f>
        <v>0</v>
      </c>
      <c r="M699" s="76">
        <f>STOCK[[#This Row],[Precio Final]]*10%</f>
        <v>2.3</v>
      </c>
      <c r="N699" s="76">
        <v>0</v>
      </c>
      <c r="O699" s="76">
        <v>31</v>
      </c>
      <c r="P699" s="76">
        <v>10.22</v>
      </c>
      <c r="Q699" s="91">
        <v>0</v>
      </c>
      <c r="R699" s="76">
        <v>0</v>
      </c>
      <c r="S699" s="76">
        <v>4</v>
      </c>
      <c r="T699" s="76">
        <f>STOCK[[#This Row],[Costo Unitario (USD)]]+STOCK[[#This Row],[Costo Envío (USD)]]+STOCK[[#This Row],[Comisión 10%]]</f>
        <v>16.52</v>
      </c>
      <c r="U699" s="76">
        <f>STOCK[[#This Row],[Costo total]]*1.5</f>
        <v>24.78</v>
      </c>
      <c r="V699" s="76">
        <v>23</v>
      </c>
      <c r="W699" s="76">
        <f>STOCK[[#This Row],[Precio Final]]-STOCK[[#This Row],[Costo total]]</f>
        <v>6.48</v>
      </c>
      <c r="X699" s="76">
        <f>STOCK[[#This Row],[Ganancia Unitaria]]*STOCK[[#This Row],[Salidas]]</f>
        <v>25.92</v>
      </c>
      <c r="AA699" s="76">
        <f>STOCK[[#This Row],[Costo total]]*STOCK[[#This Row],[Entradas]]</f>
        <v>66.08</v>
      </c>
      <c r="AB699" s="76">
        <f>STOCK[[#This Row],[Stock Actual]]*STOCK[[#This Row],[Costo total]]</f>
        <v>0</v>
      </c>
    </row>
    <row r="700" s="77" customFormat="1" ht="50" hidden="1" customHeight="1" spans="1:28">
      <c r="A700" s="77" t="s">
        <v>1409</v>
      </c>
      <c r="B700" s="6"/>
      <c r="C700" s="77" t="s">
        <v>30</v>
      </c>
      <c r="D700" s="77" t="s">
        <v>151</v>
      </c>
      <c r="E700" s="77" t="s">
        <v>1410</v>
      </c>
      <c r="F700" s="77" t="s">
        <v>1303</v>
      </c>
      <c r="G700" s="77" t="s">
        <v>1294</v>
      </c>
      <c r="H700" s="77">
        <f>STOCK[[#This Row],[Precio Final]]</f>
        <v>23</v>
      </c>
      <c r="I700" s="77">
        <f>STOCK[[#This Row],[Precio Venta Ideal (x1.5)]]</f>
        <v>24.78</v>
      </c>
      <c r="J700" s="92">
        <v>1</v>
      </c>
      <c r="K700" s="92">
        <f>SUMIFS(VENTAS[Cantidad],VENTAS[Código del producto Vendido],STOCK[[#This Row],[Code]])</f>
        <v>1</v>
      </c>
      <c r="L700" s="92">
        <f>STOCK[[#This Row],[Entradas]]-STOCK[[#This Row],[Salidas]]</f>
        <v>0</v>
      </c>
      <c r="M700" s="77">
        <f>STOCK[[#This Row],[Precio Final]]*10%</f>
        <v>2.3</v>
      </c>
      <c r="N700" s="77">
        <v>0</v>
      </c>
      <c r="O700" s="77">
        <v>31</v>
      </c>
      <c r="P700" s="77">
        <v>10.22</v>
      </c>
      <c r="Q700" s="92">
        <v>0</v>
      </c>
      <c r="R700" s="77">
        <v>0</v>
      </c>
      <c r="S700" s="77">
        <v>4</v>
      </c>
      <c r="T700" s="76">
        <f>STOCK[[#This Row],[Costo Unitario (USD)]]+STOCK[[#This Row],[Costo Envío (USD)]]+STOCK[[#This Row],[Comisión 10%]]</f>
        <v>16.52</v>
      </c>
      <c r="U700" s="77">
        <f>STOCK[[#This Row],[Costo total]]*1.5</f>
        <v>24.78</v>
      </c>
      <c r="V700" s="77">
        <v>23</v>
      </c>
      <c r="W700" s="77">
        <f>STOCK[[#This Row],[Precio Final]]-STOCK[[#This Row],[Costo total]]</f>
        <v>6.48</v>
      </c>
      <c r="X700" s="77">
        <f>STOCK[[#This Row],[Ganancia Unitaria]]*STOCK[[#This Row],[Salidas]]</f>
        <v>6.48</v>
      </c>
      <c r="AA700" s="77">
        <f>STOCK[[#This Row],[Costo total]]*STOCK[[#This Row],[Entradas]]</f>
        <v>16.52</v>
      </c>
      <c r="AB700" s="77">
        <f>STOCK[[#This Row],[Stock Actual]]*STOCK[[#This Row],[Costo total]]</f>
        <v>0</v>
      </c>
    </row>
    <row r="701" s="76" customFormat="1" ht="50" hidden="1" customHeight="1" spans="1:29">
      <c r="A701" s="76" t="s">
        <v>1411</v>
      </c>
      <c r="B701" s="6"/>
      <c r="C701" s="76" t="s">
        <v>30</v>
      </c>
      <c r="D701" s="76" t="s">
        <v>195</v>
      </c>
      <c r="E701" s="76" t="s">
        <v>1412</v>
      </c>
      <c r="F701" s="76" t="s">
        <v>1413</v>
      </c>
      <c r="G701" s="76" t="s">
        <v>1294</v>
      </c>
      <c r="H701" s="76">
        <f>STOCK[[#This Row],[Precio Final]]</f>
        <v>35</v>
      </c>
      <c r="I701" s="76">
        <f>STOCK[[#This Row],[Precio Venta Ideal (x1.5)]]</f>
        <v>35.25</v>
      </c>
      <c r="J701" s="91">
        <v>3</v>
      </c>
      <c r="K701" s="91">
        <f>SUMIFS(VENTAS[Cantidad],VENTAS[Código del producto Vendido],STOCK[[#This Row],[Code]])</f>
        <v>1</v>
      </c>
      <c r="L701" s="91">
        <f>STOCK[[#This Row],[Entradas]]-STOCK[[#This Row],[Salidas]]</f>
        <v>2</v>
      </c>
      <c r="M701" s="76">
        <f>STOCK[[#This Row],[Precio Final]]*10%</f>
        <v>3.5</v>
      </c>
      <c r="N701" s="76">
        <v>0</v>
      </c>
      <c r="O701" s="76">
        <v>44</v>
      </c>
      <c r="P701" s="76">
        <v>15</v>
      </c>
      <c r="Q701" s="91">
        <v>0</v>
      </c>
      <c r="R701" s="76">
        <v>0</v>
      </c>
      <c r="S701" s="76">
        <v>5</v>
      </c>
      <c r="T701" s="76">
        <f>STOCK[[#This Row],[Costo Unitario (USD)]]+STOCK[[#This Row],[Costo Envío (USD)]]+STOCK[[#This Row],[Comisión 10%]]</f>
        <v>23.5</v>
      </c>
      <c r="U701" s="76">
        <f>STOCK[[#This Row],[Costo total]]*1.5</f>
        <v>35.25</v>
      </c>
      <c r="V701" s="76">
        <v>35</v>
      </c>
      <c r="W701" s="76">
        <f>STOCK[[#This Row],[Precio Final]]-STOCK[[#This Row],[Costo total]]</f>
        <v>11.5</v>
      </c>
      <c r="X701" s="76">
        <f>STOCK[[#This Row],[Ganancia Unitaria]]*STOCK[[#This Row],[Salidas]]</f>
        <v>11.5</v>
      </c>
      <c r="AA701" s="76">
        <f>STOCK[[#This Row],[Costo total]]*STOCK[[#This Row],[Entradas]]</f>
        <v>70.5</v>
      </c>
      <c r="AB701" s="76">
        <f>STOCK[[#This Row],[Stock Actual]]*STOCK[[#This Row],[Costo total]]</f>
        <v>47</v>
      </c>
      <c r="AC701" s="76">
        <v>30</v>
      </c>
    </row>
    <row r="702" s="77" customFormat="1" ht="50" hidden="1" customHeight="1" spans="1:28">
      <c r="A702" s="77" t="s">
        <v>1414</v>
      </c>
      <c r="B702" s="6"/>
      <c r="C702" s="77" t="s">
        <v>30</v>
      </c>
      <c r="D702" s="77" t="s">
        <v>151</v>
      </c>
      <c r="E702" s="77" t="s">
        <v>1412</v>
      </c>
      <c r="F702" s="77" t="s">
        <v>1415</v>
      </c>
      <c r="G702" s="77" t="s">
        <v>1294</v>
      </c>
      <c r="H702" s="77">
        <f>STOCK[[#This Row],[Precio Final]]</f>
        <v>32</v>
      </c>
      <c r="I702" s="77">
        <f>STOCK[[#This Row],[Precio Venta Ideal (x1.5)]]</f>
        <v>34.8</v>
      </c>
      <c r="J702" s="92">
        <v>3</v>
      </c>
      <c r="K702" s="92">
        <f>SUMIFS(VENTAS[Cantidad],VENTAS[Código del producto Vendido],STOCK[[#This Row],[Code]])</f>
        <v>3</v>
      </c>
      <c r="L702" s="92">
        <f>STOCK[[#This Row],[Entradas]]-STOCK[[#This Row],[Salidas]]</f>
        <v>0</v>
      </c>
      <c r="M702" s="77">
        <f>STOCK[[#This Row],[Precio Final]]*10%</f>
        <v>3.2</v>
      </c>
      <c r="N702" s="77">
        <v>0</v>
      </c>
      <c r="O702" s="77">
        <v>66</v>
      </c>
      <c r="P702" s="77">
        <v>15</v>
      </c>
      <c r="Q702" s="92">
        <v>0</v>
      </c>
      <c r="R702" s="77">
        <v>0</v>
      </c>
      <c r="S702" s="77">
        <v>5</v>
      </c>
      <c r="T702" s="76">
        <f>STOCK[[#This Row],[Costo Unitario (USD)]]+STOCK[[#This Row],[Costo Envío (USD)]]+STOCK[[#This Row],[Comisión 10%]]</f>
        <v>23.2</v>
      </c>
      <c r="U702" s="77">
        <f>STOCK[[#This Row],[Costo total]]*1.5</f>
        <v>34.8</v>
      </c>
      <c r="V702" s="77">
        <v>32</v>
      </c>
      <c r="W702" s="77">
        <f>STOCK[[#This Row],[Precio Final]]-STOCK[[#This Row],[Costo total]]</f>
        <v>8.8</v>
      </c>
      <c r="X702" s="77">
        <f>STOCK[[#This Row],[Ganancia Unitaria]]*STOCK[[#This Row],[Salidas]]</f>
        <v>26.4</v>
      </c>
      <c r="AA702" s="77">
        <f>STOCK[[#This Row],[Costo total]]*STOCK[[#This Row],[Entradas]]</f>
        <v>69.6</v>
      </c>
      <c r="AB702" s="77">
        <f>STOCK[[#This Row],[Stock Actual]]*STOCK[[#This Row],[Costo total]]</f>
        <v>0</v>
      </c>
    </row>
    <row r="703" s="76" customFormat="1" ht="50" hidden="1" customHeight="1" spans="1:28">
      <c r="A703" s="76" t="s">
        <v>1416</v>
      </c>
      <c r="B703" s="6"/>
      <c r="C703" s="76" t="s">
        <v>30</v>
      </c>
      <c r="D703" s="76" t="s">
        <v>42</v>
      </c>
      <c r="E703" s="76" t="s">
        <v>1417</v>
      </c>
      <c r="F703" s="76" t="s">
        <v>47</v>
      </c>
      <c r="G703" s="76" t="s">
        <v>1294</v>
      </c>
      <c r="H703" s="76">
        <f>STOCK[[#This Row],[Precio Final]]</f>
        <v>30</v>
      </c>
      <c r="I703" s="76">
        <f>STOCK[[#This Row],[Precio Venta Ideal (x1.5)]]</f>
        <v>41.385</v>
      </c>
      <c r="J703" s="91">
        <v>2</v>
      </c>
      <c r="K703" s="91">
        <f>SUMIFS(VENTAS[Cantidad],VENTAS[Código del producto Vendido],STOCK[[#This Row],[Code]])</f>
        <v>2</v>
      </c>
      <c r="L703" s="91">
        <f>STOCK[[#This Row],[Entradas]]-STOCK[[#This Row],[Salidas]]</f>
        <v>0</v>
      </c>
      <c r="M703" s="76">
        <f>STOCK[[#This Row],[Precio Final]]*10%</f>
        <v>3</v>
      </c>
      <c r="N703" s="76">
        <v>0</v>
      </c>
      <c r="O703" s="76">
        <v>29.59</v>
      </c>
      <c r="P703" s="76">
        <v>19.59</v>
      </c>
      <c r="Q703" s="91">
        <v>0</v>
      </c>
      <c r="R703" s="76">
        <v>0</v>
      </c>
      <c r="S703" s="76">
        <v>5</v>
      </c>
      <c r="T703" s="76">
        <f>STOCK[[#This Row],[Costo Unitario (USD)]]+STOCK[[#This Row],[Costo Envío (USD)]]+STOCK[[#This Row],[Comisión 10%]]</f>
        <v>27.59</v>
      </c>
      <c r="U703" s="76">
        <f>STOCK[[#This Row],[Costo total]]*1.5</f>
        <v>41.385</v>
      </c>
      <c r="V703" s="76">
        <v>30</v>
      </c>
      <c r="W703" s="76">
        <f>STOCK[[#This Row],[Precio Final]]-STOCK[[#This Row],[Costo total]]</f>
        <v>2.41</v>
      </c>
      <c r="X703" s="76">
        <f>STOCK[[#This Row],[Ganancia Unitaria]]*STOCK[[#This Row],[Salidas]]</f>
        <v>4.82</v>
      </c>
      <c r="AA703" s="76">
        <f>STOCK[[#This Row],[Costo total]]*STOCK[[#This Row],[Entradas]]</f>
        <v>55.18</v>
      </c>
      <c r="AB703" s="76">
        <f>STOCK[[#This Row],[Stock Actual]]*STOCK[[#This Row],[Costo total]]</f>
        <v>0</v>
      </c>
    </row>
    <row r="704" s="77" customFormat="1" ht="50" hidden="1" customHeight="1" spans="1:28">
      <c r="A704" s="77" t="s">
        <v>1418</v>
      </c>
      <c r="B704" s="6"/>
      <c r="C704" s="77" t="s">
        <v>30</v>
      </c>
      <c r="D704" s="77" t="s">
        <v>151</v>
      </c>
      <c r="E704" s="77" t="s">
        <v>1417</v>
      </c>
      <c r="F704" s="77" t="s">
        <v>60</v>
      </c>
      <c r="G704" s="77" t="s">
        <v>1294</v>
      </c>
      <c r="H704" s="77">
        <f>STOCK[[#This Row],[Precio Final]]</f>
        <v>30</v>
      </c>
      <c r="I704" s="77">
        <f>STOCK[[#This Row],[Precio Venta Ideal (x1.5)]]</f>
        <v>41.385</v>
      </c>
      <c r="J704" s="92">
        <v>2</v>
      </c>
      <c r="K704" s="92">
        <f>SUMIFS(VENTAS[Cantidad],VENTAS[Código del producto Vendido],STOCK[[#This Row],[Code]])</f>
        <v>2</v>
      </c>
      <c r="L704" s="92">
        <f>STOCK[[#This Row],[Entradas]]-STOCK[[#This Row],[Salidas]]</f>
        <v>0</v>
      </c>
      <c r="M704" s="77">
        <f>STOCK[[#This Row],[Precio Final]]*10%</f>
        <v>3</v>
      </c>
      <c r="N704" s="77">
        <v>0</v>
      </c>
      <c r="O704" s="77">
        <v>29.59</v>
      </c>
      <c r="P704" s="77">
        <v>19.59</v>
      </c>
      <c r="Q704" s="92">
        <v>0</v>
      </c>
      <c r="R704" s="77">
        <v>0</v>
      </c>
      <c r="S704" s="77">
        <v>5</v>
      </c>
      <c r="T704" s="76">
        <f>STOCK[[#This Row],[Costo Unitario (USD)]]+STOCK[[#This Row],[Costo Envío (USD)]]+STOCK[[#This Row],[Comisión 10%]]</f>
        <v>27.59</v>
      </c>
      <c r="U704" s="77">
        <f>STOCK[[#This Row],[Costo total]]*1.5</f>
        <v>41.385</v>
      </c>
      <c r="V704" s="77">
        <v>30</v>
      </c>
      <c r="W704" s="77">
        <f>STOCK[[#This Row],[Precio Final]]-STOCK[[#This Row],[Costo total]]</f>
        <v>2.41</v>
      </c>
      <c r="X704" s="77">
        <f>STOCK[[#This Row],[Ganancia Unitaria]]*STOCK[[#This Row],[Salidas]]</f>
        <v>4.82</v>
      </c>
      <c r="AA704" s="77">
        <f>STOCK[[#This Row],[Costo total]]*STOCK[[#This Row],[Entradas]]</f>
        <v>55.18</v>
      </c>
      <c r="AB704" s="77">
        <f>STOCK[[#This Row],[Stock Actual]]*STOCK[[#This Row],[Costo total]]</f>
        <v>0</v>
      </c>
    </row>
    <row r="705" s="76" customFormat="1" ht="50" hidden="1" customHeight="1" spans="1:28">
      <c r="A705" s="76" t="s">
        <v>1419</v>
      </c>
      <c r="B705" s="6"/>
      <c r="C705" s="76" t="s">
        <v>30</v>
      </c>
      <c r="D705" s="76" t="s">
        <v>151</v>
      </c>
      <c r="E705" s="76" t="s">
        <v>1420</v>
      </c>
      <c r="F705" s="76" t="s">
        <v>60</v>
      </c>
      <c r="G705" s="76" t="s">
        <v>1294</v>
      </c>
      <c r="H705" s="76">
        <f>STOCK[[#This Row],[Precio Final]]</f>
        <v>20</v>
      </c>
      <c r="I705" s="76">
        <f>STOCK[[#This Row],[Precio Venta Ideal (x1.5)]]</f>
        <v>22.485</v>
      </c>
      <c r="J705" s="91">
        <v>2</v>
      </c>
      <c r="K705" s="91">
        <f>SUMIFS(VENTAS[Cantidad],VENTAS[Código del producto Vendido],STOCK[[#This Row],[Code]])</f>
        <v>2</v>
      </c>
      <c r="L705" s="91">
        <f>STOCK[[#This Row],[Entradas]]-STOCK[[#This Row],[Salidas]]</f>
        <v>0</v>
      </c>
      <c r="M705" s="76">
        <f>STOCK[[#This Row],[Precio Final]]*10%</f>
        <v>2</v>
      </c>
      <c r="N705" s="76">
        <v>0</v>
      </c>
      <c r="O705" s="76">
        <v>30</v>
      </c>
      <c r="P705" s="76">
        <v>9.99</v>
      </c>
      <c r="Q705" s="91">
        <v>0</v>
      </c>
      <c r="R705" s="76">
        <v>0</v>
      </c>
      <c r="S705" s="76">
        <v>3</v>
      </c>
      <c r="T705" s="76">
        <f>STOCK[[#This Row],[Costo Unitario (USD)]]+STOCK[[#This Row],[Costo Envío (USD)]]+STOCK[[#This Row],[Comisión 10%]]</f>
        <v>14.99</v>
      </c>
      <c r="U705" s="76">
        <f>STOCK[[#This Row],[Costo total]]*1.5</f>
        <v>22.485</v>
      </c>
      <c r="V705" s="76">
        <v>20</v>
      </c>
      <c r="W705" s="76">
        <f>STOCK[[#This Row],[Precio Final]]-STOCK[[#This Row],[Costo total]]</f>
        <v>5.01</v>
      </c>
      <c r="X705" s="76">
        <f>STOCK[[#This Row],[Ganancia Unitaria]]*STOCK[[#This Row],[Salidas]]</f>
        <v>10.02</v>
      </c>
      <c r="AA705" s="76">
        <f>STOCK[[#This Row],[Costo total]]*STOCK[[#This Row],[Entradas]]</f>
        <v>29.98</v>
      </c>
      <c r="AB705" s="76">
        <f>STOCK[[#This Row],[Stock Actual]]*STOCK[[#This Row],[Costo total]]</f>
        <v>0</v>
      </c>
    </row>
    <row r="706" s="77" customFormat="1" ht="50" hidden="1" customHeight="1" spans="1:28">
      <c r="A706" s="77" t="s">
        <v>1421</v>
      </c>
      <c r="B706" s="6"/>
      <c r="C706" s="77" t="s">
        <v>30</v>
      </c>
      <c r="D706" s="77" t="s">
        <v>933</v>
      </c>
      <c r="E706" s="77" t="s">
        <v>1422</v>
      </c>
      <c r="F706" s="77" t="s">
        <v>1423</v>
      </c>
      <c r="G706" s="77" t="s">
        <v>702</v>
      </c>
      <c r="H706" s="77">
        <f>STOCK[[#This Row],[Precio Final]]</f>
        <v>30</v>
      </c>
      <c r="I706" s="77">
        <f>STOCK[[#This Row],[Precio Venta Ideal (x1.5)]]</f>
        <v>36</v>
      </c>
      <c r="J706" s="92">
        <v>1</v>
      </c>
      <c r="K706" s="92">
        <f>SUMIFS(VENTAS[Cantidad],VENTAS[Código del producto Vendido],STOCK[[#This Row],[Code]])</f>
        <v>1</v>
      </c>
      <c r="L706" s="92">
        <f>STOCK[[#This Row],[Entradas]]-STOCK[[#This Row],[Salidas]]</f>
        <v>0</v>
      </c>
      <c r="M706" s="77">
        <f>STOCK[[#This Row],[Precio Final]]*10%</f>
        <v>3</v>
      </c>
      <c r="N706" s="77">
        <v>0</v>
      </c>
      <c r="O706" s="77">
        <v>18</v>
      </c>
      <c r="P706" s="77">
        <v>18</v>
      </c>
      <c r="Q706" s="92">
        <v>0</v>
      </c>
      <c r="R706" s="77">
        <v>0</v>
      </c>
      <c r="S706" s="77">
        <v>3</v>
      </c>
      <c r="T706" s="76">
        <f>STOCK[[#This Row],[Costo Unitario (USD)]]+STOCK[[#This Row],[Costo Envío (USD)]]+STOCK[[#This Row],[Comisión 10%]]</f>
        <v>24</v>
      </c>
      <c r="U706" s="77">
        <f>STOCK[[#This Row],[Costo total]]*1.5</f>
        <v>36</v>
      </c>
      <c r="V706" s="77">
        <v>30</v>
      </c>
      <c r="W706" s="77">
        <f>STOCK[[#This Row],[Precio Final]]-STOCK[[#This Row],[Costo total]]</f>
        <v>6</v>
      </c>
      <c r="X706" s="77">
        <f>STOCK[[#This Row],[Ganancia Unitaria]]*STOCK[[#This Row],[Salidas]]</f>
        <v>6</v>
      </c>
      <c r="AA706" s="77">
        <f>STOCK[[#This Row],[Costo total]]*STOCK[[#This Row],[Entradas]]</f>
        <v>24</v>
      </c>
      <c r="AB706" s="77">
        <f>STOCK[[#This Row],[Stock Actual]]*STOCK[[#This Row],[Costo total]]</f>
        <v>0</v>
      </c>
    </row>
    <row r="707" s="76" customFormat="1" ht="50" hidden="1" customHeight="1" spans="1:29">
      <c r="A707" s="76" t="s">
        <v>1424</v>
      </c>
      <c r="B707" s="6"/>
      <c r="C707" s="76" t="s">
        <v>30</v>
      </c>
      <c r="D707" s="76" t="s">
        <v>215</v>
      </c>
      <c r="E707" s="76" t="s">
        <v>1425</v>
      </c>
      <c r="F707" s="76" t="s">
        <v>47</v>
      </c>
      <c r="G707" s="76" t="s">
        <v>1294</v>
      </c>
      <c r="H707" s="76">
        <f>STOCK[[#This Row],[Precio Final]]</f>
        <v>35</v>
      </c>
      <c r="I707" s="76">
        <f>STOCK[[#This Row],[Precio Venta Ideal (x1.5)]]</f>
        <v>30.75</v>
      </c>
      <c r="J707" s="91">
        <v>3</v>
      </c>
      <c r="K707" s="91">
        <f>SUMIFS(VENTAS[Cantidad],VENTAS[Código del producto Vendido],STOCK[[#This Row],[Code]])</f>
        <v>1</v>
      </c>
      <c r="L707" s="91">
        <f>STOCK[[#This Row],[Entradas]]-STOCK[[#This Row],[Salidas]]</f>
        <v>2</v>
      </c>
      <c r="M707" s="76">
        <f>STOCK[[#This Row],[Precio Final]]*10%</f>
        <v>3.5</v>
      </c>
      <c r="N707" s="76">
        <v>0</v>
      </c>
      <c r="O707" s="76">
        <v>54</v>
      </c>
      <c r="P707" s="76">
        <v>12</v>
      </c>
      <c r="Q707" s="91">
        <v>0</v>
      </c>
      <c r="R707" s="76">
        <v>0</v>
      </c>
      <c r="S707" s="76">
        <v>5</v>
      </c>
      <c r="T707" s="76">
        <f>STOCK[[#This Row],[Costo Unitario (USD)]]+STOCK[[#This Row],[Costo Envío (USD)]]+STOCK[[#This Row],[Comisión 10%]]</f>
        <v>20.5</v>
      </c>
      <c r="U707" s="76">
        <f>STOCK[[#This Row],[Costo total]]*1.5</f>
        <v>30.75</v>
      </c>
      <c r="V707" s="76">
        <v>35</v>
      </c>
      <c r="W707" s="76">
        <f>STOCK[[#This Row],[Precio Final]]-STOCK[[#This Row],[Costo total]]</f>
        <v>14.5</v>
      </c>
      <c r="X707" s="76">
        <f>STOCK[[#This Row],[Ganancia Unitaria]]*STOCK[[#This Row],[Salidas]]</f>
        <v>14.5</v>
      </c>
      <c r="AA707" s="76">
        <f>STOCK[[#This Row],[Costo total]]*STOCK[[#This Row],[Entradas]]</f>
        <v>61.5</v>
      </c>
      <c r="AB707" s="76">
        <f>STOCK[[#This Row],[Stock Actual]]*STOCK[[#This Row],[Costo total]]</f>
        <v>41</v>
      </c>
      <c r="AC707" s="76">
        <v>30</v>
      </c>
    </row>
    <row r="708" s="77" customFormat="1" ht="50" hidden="1" customHeight="1" spans="1:28">
      <c r="A708" s="77" t="s">
        <v>1426</v>
      </c>
      <c r="B708" s="6"/>
      <c r="C708" s="77" t="s">
        <v>30</v>
      </c>
      <c r="D708" s="77" t="s">
        <v>42</v>
      </c>
      <c r="E708" s="77" t="s">
        <v>1425</v>
      </c>
      <c r="F708" s="77" t="s">
        <v>60</v>
      </c>
      <c r="G708" s="77" t="s">
        <v>1294</v>
      </c>
      <c r="H708" s="77">
        <f>STOCK[[#This Row],[Precio Final]]</f>
        <v>30</v>
      </c>
      <c r="I708" s="77">
        <f>STOCK[[#This Row],[Precio Venta Ideal (x1.5)]]</f>
        <v>30</v>
      </c>
      <c r="J708" s="92">
        <v>2</v>
      </c>
      <c r="K708" s="92">
        <f>SUMIFS(VENTAS[Cantidad],VENTAS[Código del producto Vendido],STOCK[[#This Row],[Code]])</f>
        <v>2</v>
      </c>
      <c r="L708" s="92">
        <f>STOCK[[#This Row],[Entradas]]-STOCK[[#This Row],[Salidas]]</f>
        <v>0</v>
      </c>
      <c r="M708" s="77">
        <f>STOCK[[#This Row],[Precio Final]]*10%</f>
        <v>3</v>
      </c>
      <c r="N708" s="77">
        <v>0</v>
      </c>
      <c r="O708" s="77">
        <v>18</v>
      </c>
      <c r="P708" s="77">
        <v>12</v>
      </c>
      <c r="Q708" s="92">
        <v>0</v>
      </c>
      <c r="R708" s="77">
        <v>0</v>
      </c>
      <c r="S708" s="77">
        <v>5</v>
      </c>
      <c r="T708" s="76">
        <f>STOCK[[#This Row],[Costo Unitario (USD)]]+STOCK[[#This Row],[Costo Envío (USD)]]+STOCK[[#This Row],[Comisión 10%]]</f>
        <v>20</v>
      </c>
      <c r="U708" s="77">
        <f>STOCK[[#This Row],[Costo total]]*1.5</f>
        <v>30</v>
      </c>
      <c r="V708" s="77">
        <v>30</v>
      </c>
      <c r="W708" s="77">
        <f>STOCK[[#This Row],[Precio Final]]-STOCK[[#This Row],[Costo total]]</f>
        <v>10</v>
      </c>
      <c r="X708" s="77">
        <f>STOCK[[#This Row],[Ganancia Unitaria]]*STOCK[[#This Row],[Salidas]]</f>
        <v>20</v>
      </c>
      <c r="AA708" s="77">
        <f>STOCK[[#This Row],[Costo total]]*STOCK[[#This Row],[Entradas]]</f>
        <v>40</v>
      </c>
      <c r="AB708" s="77">
        <f>STOCK[[#This Row],[Stock Actual]]*STOCK[[#This Row],[Costo total]]</f>
        <v>0</v>
      </c>
    </row>
    <row r="709" s="76" customFormat="1" ht="50" hidden="1" customHeight="1" spans="1:28">
      <c r="A709" s="76" t="s">
        <v>1427</v>
      </c>
      <c r="B709" s="6"/>
      <c r="C709" s="76" t="s">
        <v>30</v>
      </c>
      <c r="D709" s="76" t="s">
        <v>514</v>
      </c>
      <c r="E709" s="76" t="s">
        <v>1428</v>
      </c>
      <c r="F709" s="76" t="s">
        <v>757</v>
      </c>
      <c r="G709" s="76" t="s">
        <v>1294</v>
      </c>
      <c r="H709" s="76">
        <f>STOCK[[#This Row],[Precio Final]]</f>
        <v>18</v>
      </c>
      <c r="I709" s="76">
        <f>STOCK[[#This Row],[Precio Venta Ideal (x1.5)]]</f>
        <v>19.935</v>
      </c>
      <c r="J709" s="91">
        <v>1</v>
      </c>
      <c r="K709" s="91">
        <f>SUMIFS(VENTAS[Cantidad],VENTAS[Código del producto Vendido],STOCK[[#This Row],[Code]])</f>
        <v>1</v>
      </c>
      <c r="L709" s="91">
        <f>STOCK[[#This Row],[Entradas]]-STOCK[[#This Row],[Salidas]]</f>
        <v>0</v>
      </c>
      <c r="M709" s="76">
        <f>STOCK[[#This Row],[Precio Final]]*10%</f>
        <v>1.8</v>
      </c>
      <c r="N709" s="76">
        <v>0</v>
      </c>
      <c r="O709" s="76">
        <v>12.49</v>
      </c>
      <c r="P709" s="76">
        <v>7.49</v>
      </c>
      <c r="Q709" s="91">
        <v>0</v>
      </c>
      <c r="R709" s="76">
        <v>0</v>
      </c>
      <c r="S709" s="76">
        <v>4</v>
      </c>
      <c r="T709" s="76">
        <f>STOCK[[#This Row],[Costo Unitario (USD)]]+STOCK[[#This Row],[Costo Envío (USD)]]+STOCK[[#This Row],[Comisión 10%]]</f>
        <v>13.29</v>
      </c>
      <c r="U709" s="76">
        <f>STOCK[[#This Row],[Costo total]]*1.5</f>
        <v>19.935</v>
      </c>
      <c r="V709" s="76">
        <v>18</v>
      </c>
      <c r="W709" s="76">
        <f>STOCK[[#This Row],[Precio Final]]-STOCK[[#This Row],[Costo total]]</f>
        <v>4.71</v>
      </c>
      <c r="X709" s="76">
        <f>STOCK[[#This Row],[Ganancia Unitaria]]*STOCK[[#This Row],[Salidas]]</f>
        <v>4.71</v>
      </c>
      <c r="Y709" s="76" t="s">
        <v>1429</v>
      </c>
      <c r="AA709" s="76">
        <f>STOCK[[#This Row],[Costo total]]*STOCK[[#This Row],[Entradas]]</f>
        <v>13.29</v>
      </c>
      <c r="AB709" s="76">
        <f>STOCK[[#This Row],[Stock Actual]]*STOCK[[#This Row],[Costo total]]</f>
        <v>0</v>
      </c>
    </row>
    <row r="710" s="77" customFormat="1" ht="50" hidden="1" customHeight="1" spans="1:28">
      <c r="A710" s="77" t="s">
        <v>1430</v>
      </c>
      <c r="B710" s="6"/>
      <c r="C710" s="77" t="s">
        <v>30</v>
      </c>
      <c r="D710" s="76" t="s">
        <v>514</v>
      </c>
      <c r="E710" s="77" t="s">
        <v>1428</v>
      </c>
      <c r="F710" s="77" t="s">
        <v>762</v>
      </c>
      <c r="G710" s="77" t="s">
        <v>1294</v>
      </c>
      <c r="H710" s="77">
        <f>STOCK[[#This Row],[Precio Final]]</f>
        <v>18</v>
      </c>
      <c r="I710" s="77">
        <f>STOCK[[#This Row],[Precio Venta Ideal (x1.5)]]</f>
        <v>19.935</v>
      </c>
      <c r="J710" s="92">
        <v>1</v>
      </c>
      <c r="K710" s="92">
        <f>SUMIFS(VENTAS[Cantidad],VENTAS[Código del producto Vendido],STOCK[[#This Row],[Code]])</f>
        <v>1</v>
      </c>
      <c r="L710" s="92">
        <f>STOCK[[#This Row],[Entradas]]-STOCK[[#This Row],[Salidas]]</f>
        <v>0</v>
      </c>
      <c r="M710" s="77">
        <f>STOCK[[#This Row],[Precio Final]]*10%</f>
        <v>1.8</v>
      </c>
      <c r="N710" s="77">
        <v>0</v>
      </c>
      <c r="O710" s="77">
        <v>12.49</v>
      </c>
      <c r="P710" s="77">
        <v>7.49</v>
      </c>
      <c r="Q710" s="92">
        <v>0</v>
      </c>
      <c r="R710" s="77">
        <v>0</v>
      </c>
      <c r="S710" s="77">
        <v>4</v>
      </c>
      <c r="T710" s="76">
        <f>STOCK[[#This Row],[Costo Unitario (USD)]]+STOCK[[#This Row],[Costo Envío (USD)]]+STOCK[[#This Row],[Comisión 10%]]</f>
        <v>13.29</v>
      </c>
      <c r="U710" s="77">
        <f>STOCK[[#This Row],[Costo total]]*1.5</f>
        <v>19.935</v>
      </c>
      <c r="V710" s="77">
        <v>18</v>
      </c>
      <c r="W710" s="77">
        <f>STOCK[[#This Row],[Precio Final]]-STOCK[[#This Row],[Costo total]]</f>
        <v>4.71</v>
      </c>
      <c r="X710" s="77">
        <f>STOCK[[#This Row],[Ganancia Unitaria]]*STOCK[[#This Row],[Salidas]]</f>
        <v>4.71</v>
      </c>
      <c r="Y710" s="77" t="s">
        <v>1429</v>
      </c>
      <c r="AA710" s="77">
        <f>STOCK[[#This Row],[Costo total]]*STOCK[[#This Row],[Entradas]]</f>
        <v>13.29</v>
      </c>
      <c r="AB710" s="77">
        <f>STOCK[[#This Row],[Stock Actual]]*STOCK[[#This Row],[Costo total]]</f>
        <v>0</v>
      </c>
    </row>
    <row r="711" s="76" customFormat="1" ht="50" hidden="1" customHeight="1" spans="1:28">
      <c r="A711" s="76" t="s">
        <v>1431</v>
      </c>
      <c r="B711" s="6"/>
      <c r="C711" s="76" t="s">
        <v>30</v>
      </c>
      <c r="D711" s="76" t="s">
        <v>514</v>
      </c>
      <c r="E711" s="76" t="s">
        <v>1428</v>
      </c>
      <c r="F711" s="76" t="s">
        <v>539</v>
      </c>
      <c r="G711" s="76" t="s">
        <v>1294</v>
      </c>
      <c r="H711" s="76">
        <f>STOCK[[#This Row],[Precio Final]]</f>
        <v>18</v>
      </c>
      <c r="I711" s="76">
        <f>STOCK[[#This Row],[Precio Venta Ideal (x1.5)]]</f>
        <v>19.935</v>
      </c>
      <c r="J711" s="91">
        <v>1</v>
      </c>
      <c r="K711" s="91">
        <f>SUMIFS(VENTAS[Cantidad],VENTAS[Código del producto Vendido],STOCK[[#This Row],[Code]])</f>
        <v>1</v>
      </c>
      <c r="L711" s="91">
        <f>STOCK[[#This Row],[Entradas]]-STOCK[[#This Row],[Salidas]]</f>
        <v>0</v>
      </c>
      <c r="M711" s="76">
        <f>STOCK[[#This Row],[Precio Final]]*10%</f>
        <v>1.8</v>
      </c>
      <c r="N711" s="76">
        <v>0</v>
      </c>
      <c r="O711" s="76">
        <v>12.49</v>
      </c>
      <c r="P711" s="76">
        <v>7.49</v>
      </c>
      <c r="Q711" s="91">
        <v>0</v>
      </c>
      <c r="R711" s="76">
        <v>0</v>
      </c>
      <c r="S711" s="76">
        <v>4</v>
      </c>
      <c r="T711" s="76">
        <f>STOCK[[#This Row],[Costo Unitario (USD)]]+STOCK[[#This Row],[Costo Envío (USD)]]+STOCK[[#This Row],[Comisión 10%]]</f>
        <v>13.29</v>
      </c>
      <c r="U711" s="76">
        <f>STOCK[[#This Row],[Costo total]]*1.5</f>
        <v>19.935</v>
      </c>
      <c r="V711" s="76">
        <v>18</v>
      </c>
      <c r="W711" s="76">
        <f>STOCK[[#This Row],[Precio Final]]-STOCK[[#This Row],[Costo total]]</f>
        <v>4.71</v>
      </c>
      <c r="X711" s="76">
        <f>STOCK[[#This Row],[Ganancia Unitaria]]*STOCK[[#This Row],[Salidas]]</f>
        <v>4.71</v>
      </c>
      <c r="Y711" s="76" t="s">
        <v>1429</v>
      </c>
      <c r="AA711" s="76">
        <f>STOCK[[#This Row],[Costo total]]*STOCK[[#This Row],[Entradas]]</f>
        <v>13.29</v>
      </c>
      <c r="AB711" s="76">
        <f>STOCK[[#This Row],[Stock Actual]]*STOCK[[#This Row],[Costo total]]</f>
        <v>0</v>
      </c>
    </row>
    <row r="712" s="77" customFormat="1" ht="50" hidden="1" customHeight="1" spans="1:28">
      <c r="A712" s="77" t="s">
        <v>1432</v>
      </c>
      <c r="B712" s="6"/>
      <c r="C712" s="77" t="s">
        <v>30</v>
      </c>
      <c r="D712" s="77" t="s">
        <v>151</v>
      </c>
      <c r="E712" s="77" t="s">
        <v>1433</v>
      </c>
      <c r="F712" s="77" t="s">
        <v>1423</v>
      </c>
      <c r="G712" s="77" t="s">
        <v>702</v>
      </c>
      <c r="H712" s="77">
        <f>STOCK[[#This Row],[Precio Final]]</f>
        <v>30</v>
      </c>
      <c r="I712" s="77">
        <f>STOCK[[#This Row],[Precio Venta Ideal (x1.5)]]</f>
        <v>36</v>
      </c>
      <c r="J712" s="92">
        <v>0</v>
      </c>
      <c r="K712" s="92">
        <f>SUMIFS(VENTAS[Cantidad],VENTAS[Código del producto Vendido],STOCK[[#This Row],[Code]])</f>
        <v>0</v>
      </c>
      <c r="L712" s="92">
        <f>STOCK[[#This Row],[Entradas]]-STOCK[[#This Row],[Salidas]]</f>
        <v>0</v>
      </c>
      <c r="M712" s="77">
        <f>STOCK[[#This Row],[Precio Final]]*10%</f>
        <v>3</v>
      </c>
      <c r="N712" s="77">
        <v>0</v>
      </c>
      <c r="O712" s="77">
        <v>0</v>
      </c>
      <c r="P712" s="77">
        <v>18</v>
      </c>
      <c r="Q712" s="92">
        <v>0</v>
      </c>
      <c r="R712" s="77">
        <v>0</v>
      </c>
      <c r="S712" s="77">
        <v>3</v>
      </c>
      <c r="T712" s="76">
        <f>STOCK[[#This Row],[Costo Unitario (USD)]]+STOCK[[#This Row],[Costo Envío (USD)]]+STOCK[[#This Row],[Comisión 10%]]</f>
        <v>24</v>
      </c>
      <c r="U712" s="77">
        <f>STOCK[[#This Row],[Costo total]]*1.5</f>
        <v>36</v>
      </c>
      <c r="V712" s="77">
        <v>30</v>
      </c>
      <c r="W712" s="77">
        <f>STOCK[[#This Row],[Precio Final]]-STOCK[[#This Row],[Costo total]]</f>
        <v>6</v>
      </c>
      <c r="X712" s="77">
        <f>STOCK[[#This Row],[Ganancia Unitaria]]*STOCK[[#This Row],[Salidas]]</f>
        <v>0</v>
      </c>
      <c r="AA712" s="77">
        <f>STOCK[[#This Row],[Costo total]]*STOCK[[#This Row],[Entradas]]</f>
        <v>0</v>
      </c>
      <c r="AB712" s="77">
        <f>STOCK[[#This Row],[Stock Actual]]*STOCK[[#This Row],[Costo total]]</f>
        <v>0</v>
      </c>
    </row>
    <row r="713" s="76" customFormat="1" ht="50" hidden="1" customHeight="1" spans="1:28">
      <c r="A713" s="76" t="s">
        <v>1434</v>
      </c>
      <c r="B713" s="6"/>
      <c r="C713" s="76" t="s">
        <v>30</v>
      </c>
      <c r="D713" s="76" t="s">
        <v>514</v>
      </c>
      <c r="E713" s="76" t="s">
        <v>1435</v>
      </c>
      <c r="F713" s="76" t="s">
        <v>539</v>
      </c>
      <c r="G713" s="76" t="s">
        <v>1294</v>
      </c>
      <c r="H713" s="76">
        <f>STOCK[[#This Row],[Precio Final]]</f>
        <v>30</v>
      </c>
      <c r="I713" s="76">
        <f>STOCK[[#This Row],[Precio Venta Ideal (x1.5)]]</f>
        <v>30</v>
      </c>
      <c r="J713" s="91">
        <v>1</v>
      </c>
      <c r="K713" s="91">
        <f>SUMIFS(VENTAS[Cantidad],VENTAS[Código del producto Vendido],STOCK[[#This Row],[Code]])</f>
        <v>1</v>
      </c>
      <c r="L713" s="91">
        <f>STOCK[[#This Row],[Entradas]]-STOCK[[#This Row],[Salidas]]</f>
        <v>0</v>
      </c>
      <c r="M713" s="76">
        <f>STOCK[[#This Row],[Precio Final]]*10%</f>
        <v>3</v>
      </c>
      <c r="N713" s="76">
        <v>0</v>
      </c>
      <c r="O713" s="76">
        <v>17</v>
      </c>
      <c r="P713" s="76">
        <v>7</v>
      </c>
      <c r="Q713" s="91">
        <v>0</v>
      </c>
      <c r="R713" s="76">
        <v>0</v>
      </c>
      <c r="S713" s="76">
        <v>10</v>
      </c>
      <c r="T713" s="76">
        <f>STOCK[[#This Row],[Costo Unitario (USD)]]+STOCK[[#This Row],[Costo Envío (USD)]]+STOCK[[#This Row],[Comisión 10%]]</f>
        <v>20</v>
      </c>
      <c r="U713" s="76">
        <f>STOCK[[#This Row],[Costo total]]*1.5</f>
        <v>30</v>
      </c>
      <c r="V713" s="76">
        <v>30</v>
      </c>
      <c r="W713" s="76">
        <f>STOCK[[#This Row],[Precio Final]]-STOCK[[#This Row],[Costo total]]</f>
        <v>10</v>
      </c>
      <c r="X713" s="76">
        <f>STOCK[[#This Row],[Ganancia Unitaria]]*STOCK[[#This Row],[Salidas]]</f>
        <v>10</v>
      </c>
      <c r="Y713" s="76" t="s">
        <v>1429</v>
      </c>
      <c r="AA713" s="76">
        <f>STOCK[[#This Row],[Costo total]]*STOCK[[#This Row],[Entradas]]</f>
        <v>20</v>
      </c>
      <c r="AB713" s="76">
        <f>STOCK[[#This Row],[Stock Actual]]*STOCK[[#This Row],[Costo total]]</f>
        <v>0</v>
      </c>
    </row>
    <row r="714" s="77" customFormat="1" ht="50" hidden="1" customHeight="1" spans="1:28">
      <c r="A714" s="77" t="s">
        <v>1436</v>
      </c>
      <c r="B714" s="6"/>
      <c r="C714" s="77" t="s">
        <v>30</v>
      </c>
      <c r="D714" s="76" t="s">
        <v>514</v>
      </c>
      <c r="E714" s="77" t="s">
        <v>1435</v>
      </c>
      <c r="F714" s="77" t="s">
        <v>757</v>
      </c>
      <c r="G714" s="77" t="s">
        <v>1294</v>
      </c>
      <c r="H714" s="77">
        <f>STOCK[[#This Row],[Precio Final]]</f>
        <v>30</v>
      </c>
      <c r="I714" s="77">
        <f>STOCK[[#This Row],[Precio Venta Ideal (x1.5)]]</f>
        <v>30</v>
      </c>
      <c r="J714" s="92">
        <v>1</v>
      </c>
      <c r="K714" s="92">
        <f>SUMIFS(VENTAS[Cantidad],VENTAS[Código del producto Vendido],STOCK[[#This Row],[Code]])</f>
        <v>1</v>
      </c>
      <c r="L714" s="92">
        <f>STOCK[[#This Row],[Entradas]]-STOCK[[#This Row],[Salidas]]</f>
        <v>0</v>
      </c>
      <c r="M714" s="77">
        <f>STOCK[[#This Row],[Precio Final]]*10%</f>
        <v>3</v>
      </c>
      <c r="N714" s="77">
        <v>0</v>
      </c>
      <c r="O714" s="77">
        <v>17</v>
      </c>
      <c r="P714" s="77">
        <v>7</v>
      </c>
      <c r="Q714" s="92">
        <v>0</v>
      </c>
      <c r="R714" s="77">
        <v>0</v>
      </c>
      <c r="S714" s="77">
        <v>10</v>
      </c>
      <c r="T714" s="76">
        <f>STOCK[[#This Row],[Costo Unitario (USD)]]+STOCK[[#This Row],[Costo Envío (USD)]]+STOCK[[#This Row],[Comisión 10%]]</f>
        <v>20</v>
      </c>
      <c r="U714" s="77">
        <f>STOCK[[#This Row],[Costo total]]*1.5</f>
        <v>30</v>
      </c>
      <c r="V714" s="77">
        <v>30</v>
      </c>
      <c r="W714" s="77">
        <f>STOCK[[#This Row],[Precio Final]]-STOCK[[#This Row],[Costo total]]</f>
        <v>10</v>
      </c>
      <c r="X714" s="77">
        <f>STOCK[[#This Row],[Ganancia Unitaria]]*STOCK[[#This Row],[Salidas]]</f>
        <v>10</v>
      </c>
      <c r="Y714" s="77" t="s">
        <v>1429</v>
      </c>
      <c r="AA714" s="77">
        <f>STOCK[[#This Row],[Costo total]]*STOCK[[#This Row],[Entradas]]</f>
        <v>20</v>
      </c>
      <c r="AB714" s="77">
        <f>STOCK[[#This Row],[Stock Actual]]*STOCK[[#This Row],[Costo total]]</f>
        <v>0</v>
      </c>
    </row>
    <row r="715" s="76" customFormat="1" ht="50" hidden="1" customHeight="1" spans="1:28">
      <c r="A715" s="76" t="s">
        <v>1437</v>
      </c>
      <c r="B715" s="6"/>
      <c r="C715" s="76" t="s">
        <v>30</v>
      </c>
      <c r="D715" s="76" t="s">
        <v>514</v>
      </c>
      <c r="E715" s="76" t="s">
        <v>1435</v>
      </c>
      <c r="F715" s="76" t="s">
        <v>516</v>
      </c>
      <c r="G715" s="76" t="s">
        <v>1294</v>
      </c>
      <c r="H715" s="76">
        <f>STOCK[[#This Row],[Precio Final]]</f>
        <v>30</v>
      </c>
      <c r="I715" s="76">
        <f>STOCK[[#This Row],[Precio Venta Ideal (x1.5)]]</f>
        <v>30</v>
      </c>
      <c r="J715" s="91">
        <v>1</v>
      </c>
      <c r="K715" s="91">
        <f>SUMIFS(VENTAS[Cantidad],VENTAS[Código del producto Vendido],STOCK[[#This Row],[Code]])</f>
        <v>1</v>
      </c>
      <c r="L715" s="91">
        <f>STOCK[[#This Row],[Entradas]]-STOCK[[#This Row],[Salidas]]</f>
        <v>0</v>
      </c>
      <c r="M715" s="76">
        <f>STOCK[[#This Row],[Precio Final]]*10%</f>
        <v>3</v>
      </c>
      <c r="N715" s="76">
        <v>0</v>
      </c>
      <c r="O715" s="76">
        <v>17</v>
      </c>
      <c r="P715" s="76">
        <v>7</v>
      </c>
      <c r="Q715" s="91">
        <v>0</v>
      </c>
      <c r="R715" s="76">
        <v>0</v>
      </c>
      <c r="S715" s="76">
        <v>10</v>
      </c>
      <c r="T715" s="76">
        <f>STOCK[[#This Row],[Costo Unitario (USD)]]+STOCK[[#This Row],[Costo Envío (USD)]]+STOCK[[#This Row],[Comisión 10%]]</f>
        <v>20</v>
      </c>
      <c r="U715" s="76">
        <f>STOCK[[#This Row],[Costo total]]*1.5</f>
        <v>30</v>
      </c>
      <c r="V715" s="76">
        <v>30</v>
      </c>
      <c r="W715" s="76">
        <f>STOCK[[#This Row],[Precio Final]]-STOCK[[#This Row],[Costo total]]</f>
        <v>10</v>
      </c>
      <c r="X715" s="76">
        <f>STOCK[[#This Row],[Ganancia Unitaria]]*STOCK[[#This Row],[Salidas]]</f>
        <v>10</v>
      </c>
      <c r="Y715" s="76" t="s">
        <v>1429</v>
      </c>
      <c r="AA715" s="76">
        <f>STOCK[[#This Row],[Costo total]]*STOCK[[#This Row],[Entradas]]</f>
        <v>20</v>
      </c>
      <c r="AB715" s="76">
        <f>STOCK[[#This Row],[Stock Actual]]*STOCK[[#This Row],[Costo total]]</f>
        <v>0</v>
      </c>
    </row>
    <row r="716" s="77" customFormat="1" ht="50" hidden="1" customHeight="1" spans="1:28">
      <c r="A716" s="77" t="s">
        <v>1438</v>
      </c>
      <c r="B716" s="6"/>
      <c r="C716" s="77" t="s">
        <v>30</v>
      </c>
      <c r="D716" s="76" t="s">
        <v>514</v>
      </c>
      <c r="E716" s="77" t="s">
        <v>1439</v>
      </c>
      <c r="F716" s="77" t="s">
        <v>1440</v>
      </c>
      <c r="G716" s="77" t="s">
        <v>1294</v>
      </c>
      <c r="H716" s="77">
        <f>STOCK[[#This Row],[Precio Final]]</f>
        <v>27</v>
      </c>
      <c r="I716" s="77">
        <f>STOCK[[#This Row],[Precio Venta Ideal (x1.5)]]</f>
        <v>22.785</v>
      </c>
      <c r="J716" s="92">
        <v>1</v>
      </c>
      <c r="K716" s="92">
        <f>SUMIFS(VENTAS[Cantidad],VENTAS[Código del producto Vendido],STOCK[[#This Row],[Code]])</f>
        <v>1</v>
      </c>
      <c r="L716" s="92">
        <f>STOCK[[#This Row],[Entradas]]-STOCK[[#This Row],[Salidas]]</f>
        <v>0</v>
      </c>
      <c r="M716" s="77">
        <f>STOCK[[#This Row],[Precio Final]]*10%</f>
        <v>2.7</v>
      </c>
      <c r="N716" s="77">
        <v>0</v>
      </c>
      <c r="O716" s="77">
        <v>17.5</v>
      </c>
      <c r="P716" s="77">
        <v>7.49</v>
      </c>
      <c r="Q716" s="92">
        <v>0</v>
      </c>
      <c r="R716" s="77">
        <v>0</v>
      </c>
      <c r="S716" s="77">
        <v>5</v>
      </c>
      <c r="T716" s="76">
        <f>STOCK[[#This Row],[Costo Unitario (USD)]]+STOCK[[#This Row],[Costo Envío (USD)]]+STOCK[[#This Row],[Comisión 10%]]</f>
        <v>15.19</v>
      </c>
      <c r="U716" s="77">
        <f>STOCK[[#This Row],[Costo total]]*1.5</f>
        <v>22.785</v>
      </c>
      <c r="V716" s="77">
        <v>27</v>
      </c>
      <c r="W716" s="77">
        <f>STOCK[[#This Row],[Precio Final]]-STOCK[[#This Row],[Costo total]]</f>
        <v>11.81</v>
      </c>
      <c r="X716" s="77">
        <f>STOCK[[#This Row],[Ganancia Unitaria]]*STOCK[[#This Row],[Salidas]]</f>
        <v>11.81</v>
      </c>
      <c r="Y716" s="77" t="s">
        <v>1429</v>
      </c>
      <c r="AA716" s="77">
        <f>STOCK[[#This Row],[Costo total]]*STOCK[[#This Row],[Entradas]]</f>
        <v>15.19</v>
      </c>
      <c r="AB716" s="77">
        <f>STOCK[[#This Row],[Stock Actual]]*STOCK[[#This Row],[Costo total]]</f>
        <v>0</v>
      </c>
    </row>
    <row r="717" s="76" customFormat="1" ht="50" hidden="1" customHeight="1" spans="1:28">
      <c r="A717" s="76" t="s">
        <v>1441</v>
      </c>
      <c r="B717" s="6"/>
      <c r="C717" s="76" t="s">
        <v>30</v>
      </c>
      <c r="D717" s="76" t="s">
        <v>514</v>
      </c>
      <c r="E717" s="76" t="s">
        <v>1442</v>
      </c>
      <c r="F717" s="76" t="s">
        <v>539</v>
      </c>
      <c r="G717" s="76" t="s">
        <v>1294</v>
      </c>
      <c r="H717" s="76">
        <f>STOCK[[#This Row],[Precio Final]]</f>
        <v>27</v>
      </c>
      <c r="I717" s="76">
        <f>STOCK[[#This Row],[Precio Venta Ideal (x1.5)]]</f>
        <v>22.785</v>
      </c>
      <c r="J717" s="91">
        <v>1</v>
      </c>
      <c r="K717" s="91">
        <f>SUMIFS(VENTAS[Cantidad],VENTAS[Código del producto Vendido],STOCK[[#This Row],[Code]])</f>
        <v>1</v>
      </c>
      <c r="L717" s="91">
        <f>STOCK[[#This Row],[Entradas]]-STOCK[[#This Row],[Salidas]]</f>
        <v>0</v>
      </c>
      <c r="M717" s="76">
        <f>STOCK[[#This Row],[Precio Final]]*10%</f>
        <v>2.7</v>
      </c>
      <c r="N717" s="76">
        <v>0</v>
      </c>
      <c r="O717" s="76">
        <v>17.5</v>
      </c>
      <c r="P717" s="76">
        <v>7.49</v>
      </c>
      <c r="Q717" s="91">
        <v>0</v>
      </c>
      <c r="R717" s="76">
        <v>0</v>
      </c>
      <c r="S717" s="76">
        <v>5</v>
      </c>
      <c r="T717" s="76">
        <f>STOCK[[#This Row],[Costo Unitario (USD)]]+STOCK[[#This Row],[Costo Envío (USD)]]+STOCK[[#This Row],[Comisión 10%]]</f>
        <v>15.19</v>
      </c>
      <c r="U717" s="76">
        <f>STOCK[[#This Row],[Costo total]]*1.5</f>
        <v>22.785</v>
      </c>
      <c r="V717" s="76">
        <v>27</v>
      </c>
      <c r="W717" s="76">
        <f>STOCK[[#This Row],[Precio Final]]-STOCK[[#This Row],[Costo total]]</f>
        <v>11.81</v>
      </c>
      <c r="X717" s="76">
        <f>STOCK[[#This Row],[Ganancia Unitaria]]*STOCK[[#This Row],[Salidas]]</f>
        <v>11.81</v>
      </c>
      <c r="Y717" s="76" t="s">
        <v>1429</v>
      </c>
      <c r="AA717" s="76">
        <f>STOCK[[#This Row],[Costo total]]*STOCK[[#This Row],[Entradas]]</f>
        <v>15.19</v>
      </c>
      <c r="AB717" s="76">
        <f>STOCK[[#This Row],[Stock Actual]]*STOCK[[#This Row],[Costo total]]</f>
        <v>0</v>
      </c>
    </row>
    <row r="718" s="77" customFormat="1" ht="50" hidden="1" customHeight="1" spans="1:28">
      <c r="A718" s="77" t="s">
        <v>1443</v>
      </c>
      <c r="B718" s="6"/>
      <c r="C718" s="77" t="s">
        <v>30</v>
      </c>
      <c r="D718" s="77" t="s">
        <v>514</v>
      </c>
      <c r="E718" s="77" t="s">
        <v>1442</v>
      </c>
      <c r="F718" s="77" t="s">
        <v>762</v>
      </c>
      <c r="G718" s="77" t="s">
        <v>1294</v>
      </c>
      <c r="H718" s="77">
        <f>STOCK[[#This Row],[Precio Final]]</f>
        <v>27</v>
      </c>
      <c r="I718" s="77">
        <f>STOCK[[#This Row],[Precio Venta Ideal (x1.5)]]</f>
        <v>22.785</v>
      </c>
      <c r="J718" s="92">
        <v>1</v>
      </c>
      <c r="K718" s="92">
        <f>SUMIFS(VENTAS[Cantidad],VENTAS[Código del producto Vendido],STOCK[[#This Row],[Code]])</f>
        <v>1</v>
      </c>
      <c r="L718" s="92">
        <f>STOCK[[#This Row],[Entradas]]-STOCK[[#This Row],[Salidas]]</f>
        <v>0</v>
      </c>
      <c r="M718" s="77">
        <f>STOCK[[#This Row],[Precio Final]]*10%</f>
        <v>2.7</v>
      </c>
      <c r="N718" s="77">
        <v>0</v>
      </c>
      <c r="O718" s="77">
        <v>17.5</v>
      </c>
      <c r="P718" s="77">
        <v>7.49</v>
      </c>
      <c r="Q718" s="92">
        <v>0</v>
      </c>
      <c r="R718" s="77">
        <v>0</v>
      </c>
      <c r="S718" s="77">
        <v>5</v>
      </c>
      <c r="T718" s="76">
        <f>STOCK[[#This Row],[Costo Unitario (USD)]]+STOCK[[#This Row],[Costo Envío (USD)]]+STOCK[[#This Row],[Comisión 10%]]</f>
        <v>15.19</v>
      </c>
      <c r="U718" s="77">
        <f>STOCK[[#This Row],[Costo total]]*1.5</f>
        <v>22.785</v>
      </c>
      <c r="V718" s="77">
        <v>27</v>
      </c>
      <c r="W718" s="77">
        <f>STOCK[[#This Row],[Precio Final]]-STOCK[[#This Row],[Costo total]]</f>
        <v>11.81</v>
      </c>
      <c r="X718" s="77">
        <f>STOCK[[#This Row],[Ganancia Unitaria]]*STOCK[[#This Row],[Salidas]]</f>
        <v>11.81</v>
      </c>
      <c r="Y718" s="77" t="s">
        <v>1429</v>
      </c>
      <c r="AA718" s="77">
        <f>STOCK[[#This Row],[Costo total]]*STOCK[[#This Row],[Entradas]]</f>
        <v>15.19</v>
      </c>
      <c r="AB718" s="77">
        <f>STOCK[[#This Row],[Stock Actual]]*STOCK[[#This Row],[Costo total]]</f>
        <v>0</v>
      </c>
    </row>
    <row r="719" s="76" customFormat="1" ht="50" hidden="1" customHeight="1" spans="1:28">
      <c r="A719" s="76" t="s">
        <v>1444</v>
      </c>
      <c r="B719" s="6"/>
      <c r="C719" s="76" t="s">
        <v>30</v>
      </c>
      <c r="D719" s="76" t="s">
        <v>514</v>
      </c>
      <c r="E719" s="76" t="s">
        <v>1445</v>
      </c>
      <c r="F719" s="76" t="s">
        <v>539</v>
      </c>
      <c r="G719" s="76" t="s">
        <v>1294</v>
      </c>
      <c r="H719" s="76">
        <f>STOCK[[#This Row],[Precio Final]]</f>
        <v>43</v>
      </c>
      <c r="I719" s="76">
        <f>STOCK[[#This Row],[Precio Venta Ideal (x1.5)]]</f>
        <v>47.685</v>
      </c>
      <c r="J719" s="91">
        <v>1</v>
      </c>
      <c r="K719" s="91">
        <f>SUMIFS(VENTAS[Cantidad],VENTAS[Código del producto Vendido],STOCK[[#This Row],[Code]])</f>
        <v>1</v>
      </c>
      <c r="L719" s="91">
        <f>STOCK[[#This Row],[Entradas]]-STOCK[[#This Row],[Salidas]]</f>
        <v>0</v>
      </c>
      <c r="M719" s="76">
        <f>STOCK[[#This Row],[Precio Final]]*10%</f>
        <v>4.3</v>
      </c>
      <c r="N719" s="76">
        <v>0</v>
      </c>
      <c r="O719" s="76">
        <v>27.5</v>
      </c>
      <c r="P719" s="76">
        <v>17.49</v>
      </c>
      <c r="Q719" s="91">
        <v>0</v>
      </c>
      <c r="R719" s="76">
        <v>0</v>
      </c>
      <c r="S719" s="76">
        <v>10</v>
      </c>
      <c r="T719" s="76">
        <f>STOCK[[#This Row],[Costo Unitario (USD)]]+STOCK[[#This Row],[Costo Envío (USD)]]+STOCK[[#This Row],[Comisión 10%]]</f>
        <v>31.79</v>
      </c>
      <c r="U719" s="76">
        <f>STOCK[[#This Row],[Costo total]]*1.5</f>
        <v>47.685</v>
      </c>
      <c r="V719" s="76">
        <v>43</v>
      </c>
      <c r="W719" s="76">
        <f>STOCK[[#This Row],[Precio Final]]-STOCK[[#This Row],[Costo total]]</f>
        <v>11.21</v>
      </c>
      <c r="X719" s="76">
        <f>STOCK[[#This Row],[Ganancia Unitaria]]*STOCK[[#This Row],[Salidas]]</f>
        <v>11.21</v>
      </c>
      <c r="Y719" s="76" t="s">
        <v>1429</v>
      </c>
      <c r="AA719" s="76">
        <f>STOCK[[#This Row],[Costo total]]*STOCK[[#This Row],[Entradas]]</f>
        <v>31.79</v>
      </c>
      <c r="AB719" s="76">
        <f>STOCK[[#This Row],[Stock Actual]]*STOCK[[#This Row],[Costo total]]</f>
        <v>0</v>
      </c>
    </row>
    <row r="720" s="77" customFormat="1" ht="50" hidden="1" customHeight="1" spans="1:28">
      <c r="A720" s="77" t="s">
        <v>1446</v>
      </c>
      <c r="B720" s="6"/>
      <c r="C720" s="77" t="s">
        <v>30</v>
      </c>
      <c r="D720" s="77" t="s">
        <v>514</v>
      </c>
      <c r="E720" s="77" t="s">
        <v>1445</v>
      </c>
      <c r="F720" s="77" t="s">
        <v>762</v>
      </c>
      <c r="G720" s="77" t="s">
        <v>1294</v>
      </c>
      <c r="H720" s="77">
        <f>STOCK[[#This Row],[Precio Final]]</f>
        <v>43</v>
      </c>
      <c r="I720" s="77">
        <f>STOCK[[#This Row],[Precio Venta Ideal (x1.5)]]</f>
        <v>47.685</v>
      </c>
      <c r="J720" s="92">
        <v>1</v>
      </c>
      <c r="K720" s="92">
        <f>SUMIFS(VENTAS[Cantidad],VENTAS[Código del producto Vendido],STOCK[[#This Row],[Code]])</f>
        <v>1</v>
      </c>
      <c r="L720" s="92">
        <f>STOCK[[#This Row],[Entradas]]-STOCK[[#This Row],[Salidas]]</f>
        <v>0</v>
      </c>
      <c r="M720" s="77">
        <f>STOCK[[#This Row],[Precio Final]]*10%</f>
        <v>4.3</v>
      </c>
      <c r="N720" s="77">
        <v>0</v>
      </c>
      <c r="O720" s="77">
        <v>27.5</v>
      </c>
      <c r="P720" s="77">
        <v>17.49</v>
      </c>
      <c r="Q720" s="92">
        <v>0</v>
      </c>
      <c r="R720" s="77">
        <v>0</v>
      </c>
      <c r="S720" s="77">
        <v>10</v>
      </c>
      <c r="T720" s="76">
        <f>STOCK[[#This Row],[Costo Unitario (USD)]]+STOCK[[#This Row],[Costo Envío (USD)]]+STOCK[[#This Row],[Comisión 10%]]</f>
        <v>31.79</v>
      </c>
      <c r="U720" s="77">
        <f>STOCK[[#This Row],[Costo total]]*1.5</f>
        <v>47.685</v>
      </c>
      <c r="V720" s="77">
        <v>43</v>
      </c>
      <c r="W720" s="77">
        <f>STOCK[[#This Row],[Precio Final]]-STOCK[[#This Row],[Costo total]]</f>
        <v>11.21</v>
      </c>
      <c r="X720" s="77">
        <f>STOCK[[#This Row],[Ganancia Unitaria]]*STOCK[[#This Row],[Salidas]]</f>
        <v>11.21</v>
      </c>
      <c r="Y720" s="77" t="s">
        <v>1429</v>
      </c>
      <c r="AA720" s="77">
        <f>STOCK[[#This Row],[Costo total]]*STOCK[[#This Row],[Entradas]]</f>
        <v>31.79</v>
      </c>
      <c r="AB720" s="77">
        <f>STOCK[[#This Row],[Stock Actual]]*STOCK[[#This Row],[Costo total]]</f>
        <v>0</v>
      </c>
    </row>
    <row r="721" s="76" customFormat="1" ht="50" hidden="1" customHeight="1" spans="1:28">
      <c r="A721" s="76" t="s">
        <v>1447</v>
      </c>
      <c r="B721" s="6"/>
      <c r="C721" s="76" t="s">
        <v>30</v>
      </c>
      <c r="D721" s="76" t="s">
        <v>514</v>
      </c>
      <c r="E721" s="76" t="s">
        <v>1445</v>
      </c>
      <c r="F721" s="76" t="s">
        <v>539</v>
      </c>
      <c r="G721" s="76" t="s">
        <v>1294</v>
      </c>
      <c r="H721" s="76">
        <f>STOCK[[#This Row],[Precio Final]]</f>
        <v>43</v>
      </c>
      <c r="I721" s="76">
        <f>STOCK[[#This Row],[Precio Venta Ideal (x1.5)]]</f>
        <v>47.685</v>
      </c>
      <c r="J721" s="91">
        <v>1</v>
      </c>
      <c r="K721" s="91">
        <f>SUMIFS(VENTAS[Cantidad],VENTAS[Código del producto Vendido],STOCK[[#This Row],[Code]])</f>
        <v>1</v>
      </c>
      <c r="L721" s="91">
        <f>STOCK[[#This Row],[Entradas]]-STOCK[[#This Row],[Salidas]]</f>
        <v>0</v>
      </c>
      <c r="M721" s="76">
        <f>STOCK[[#This Row],[Precio Final]]*10%</f>
        <v>4.3</v>
      </c>
      <c r="N721" s="76">
        <v>0</v>
      </c>
      <c r="O721" s="76">
        <v>27.5</v>
      </c>
      <c r="P721" s="76">
        <v>17.49</v>
      </c>
      <c r="Q721" s="91">
        <v>0</v>
      </c>
      <c r="R721" s="76">
        <v>0</v>
      </c>
      <c r="S721" s="76">
        <v>10</v>
      </c>
      <c r="T721" s="76">
        <f>STOCK[[#This Row],[Costo Unitario (USD)]]+STOCK[[#This Row],[Costo Envío (USD)]]+STOCK[[#This Row],[Comisión 10%]]</f>
        <v>31.79</v>
      </c>
      <c r="U721" s="76">
        <f>STOCK[[#This Row],[Costo total]]*1.5</f>
        <v>47.685</v>
      </c>
      <c r="V721" s="76">
        <v>43</v>
      </c>
      <c r="W721" s="76">
        <f>STOCK[[#This Row],[Precio Final]]-STOCK[[#This Row],[Costo total]]</f>
        <v>11.21</v>
      </c>
      <c r="X721" s="76">
        <f>STOCK[[#This Row],[Ganancia Unitaria]]*STOCK[[#This Row],[Salidas]]</f>
        <v>11.21</v>
      </c>
      <c r="Y721" s="76" t="s">
        <v>1429</v>
      </c>
      <c r="AA721" s="76">
        <f>STOCK[[#This Row],[Costo total]]*STOCK[[#This Row],[Entradas]]</f>
        <v>31.79</v>
      </c>
      <c r="AB721" s="76">
        <f>STOCK[[#This Row],[Stock Actual]]*STOCK[[#This Row],[Costo total]]</f>
        <v>0</v>
      </c>
    </row>
    <row r="722" s="77" customFormat="1" ht="50" hidden="1" customHeight="1" spans="1:28">
      <c r="A722" s="77" t="s">
        <v>1448</v>
      </c>
      <c r="B722" s="6"/>
      <c r="C722" s="77" t="s">
        <v>30</v>
      </c>
      <c r="D722" s="77" t="s">
        <v>514</v>
      </c>
      <c r="E722" s="77" t="s">
        <v>1449</v>
      </c>
      <c r="F722" s="77" t="s">
        <v>762</v>
      </c>
      <c r="G722" s="77" t="s">
        <v>1294</v>
      </c>
      <c r="H722" s="77">
        <f>STOCK[[#This Row],[Precio Final]]</f>
        <v>35</v>
      </c>
      <c r="I722" s="77">
        <f>STOCK[[#This Row],[Precio Venta Ideal (x1.5)]]</f>
        <v>38.985</v>
      </c>
      <c r="J722" s="92">
        <v>1</v>
      </c>
      <c r="K722" s="92">
        <f>SUMIFS(VENTAS[Cantidad],VENTAS[Código del producto Vendido],STOCK[[#This Row],[Code]])</f>
        <v>1</v>
      </c>
      <c r="L722" s="92">
        <f>STOCK[[#This Row],[Entradas]]-STOCK[[#This Row],[Salidas]]</f>
        <v>0</v>
      </c>
      <c r="M722" s="77">
        <f>STOCK[[#This Row],[Precio Final]]*10%</f>
        <v>3.5</v>
      </c>
      <c r="N722" s="77">
        <v>0</v>
      </c>
      <c r="O722" s="77">
        <v>22.5</v>
      </c>
      <c r="P722" s="77">
        <v>12.49</v>
      </c>
      <c r="Q722" s="92">
        <v>0</v>
      </c>
      <c r="R722" s="77">
        <v>0</v>
      </c>
      <c r="S722" s="77">
        <v>10</v>
      </c>
      <c r="T722" s="76">
        <f>STOCK[[#This Row],[Costo Unitario (USD)]]+STOCK[[#This Row],[Costo Envío (USD)]]+STOCK[[#This Row],[Comisión 10%]]</f>
        <v>25.99</v>
      </c>
      <c r="U722" s="77">
        <f>STOCK[[#This Row],[Costo total]]*1.5</f>
        <v>38.985</v>
      </c>
      <c r="V722" s="77">
        <v>35</v>
      </c>
      <c r="W722" s="77">
        <f>STOCK[[#This Row],[Precio Final]]-STOCK[[#This Row],[Costo total]]</f>
        <v>9.01</v>
      </c>
      <c r="X722" s="77">
        <f>STOCK[[#This Row],[Ganancia Unitaria]]*STOCK[[#This Row],[Salidas]]</f>
        <v>9.01</v>
      </c>
      <c r="Y722" s="77" t="s">
        <v>1429</v>
      </c>
      <c r="AA722" s="77">
        <f>STOCK[[#This Row],[Costo total]]*STOCK[[#This Row],[Entradas]]</f>
        <v>25.99</v>
      </c>
      <c r="AB722" s="77">
        <f>STOCK[[#This Row],[Stock Actual]]*STOCK[[#This Row],[Costo total]]</f>
        <v>0</v>
      </c>
    </row>
    <row r="723" s="76" customFormat="1" ht="50" hidden="1" customHeight="1" spans="1:28">
      <c r="A723" s="76" t="s">
        <v>1450</v>
      </c>
      <c r="B723" s="6"/>
      <c r="C723" s="76" t="s">
        <v>30</v>
      </c>
      <c r="D723" s="76" t="s">
        <v>514</v>
      </c>
      <c r="E723" s="76" t="s">
        <v>1449</v>
      </c>
      <c r="F723" s="76" t="s">
        <v>1451</v>
      </c>
      <c r="G723" s="76" t="s">
        <v>1294</v>
      </c>
      <c r="H723" s="76">
        <f>STOCK[[#This Row],[Precio Final]]</f>
        <v>35</v>
      </c>
      <c r="I723" s="76">
        <f>STOCK[[#This Row],[Precio Venta Ideal (x1.5)]]</f>
        <v>38.985</v>
      </c>
      <c r="J723" s="91">
        <v>2</v>
      </c>
      <c r="K723" s="91">
        <f>SUMIFS(VENTAS[Cantidad],VENTAS[Código del producto Vendido],STOCK[[#This Row],[Code]])</f>
        <v>2</v>
      </c>
      <c r="L723" s="91">
        <f>STOCK[[#This Row],[Entradas]]-STOCK[[#This Row],[Salidas]]</f>
        <v>0</v>
      </c>
      <c r="M723" s="76">
        <f>STOCK[[#This Row],[Precio Final]]*10%</f>
        <v>3.5</v>
      </c>
      <c r="N723" s="76">
        <v>0</v>
      </c>
      <c r="O723" s="76">
        <v>22.5</v>
      </c>
      <c r="P723" s="76">
        <v>12.49</v>
      </c>
      <c r="Q723" s="91">
        <v>0</v>
      </c>
      <c r="R723" s="76">
        <v>0</v>
      </c>
      <c r="S723" s="76">
        <v>10</v>
      </c>
      <c r="T723" s="76">
        <f>STOCK[[#This Row],[Costo Unitario (USD)]]+STOCK[[#This Row],[Costo Envío (USD)]]+STOCK[[#This Row],[Comisión 10%]]</f>
        <v>25.99</v>
      </c>
      <c r="U723" s="76">
        <f>STOCK[[#This Row],[Costo total]]*1.5</f>
        <v>38.985</v>
      </c>
      <c r="V723" s="76">
        <v>35</v>
      </c>
      <c r="W723" s="76">
        <f>STOCK[[#This Row],[Precio Final]]-STOCK[[#This Row],[Costo total]]</f>
        <v>9.01</v>
      </c>
      <c r="X723" s="76">
        <f>STOCK[[#This Row],[Ganancia Unitaria]]*STOCK[[#This Row],[Salidas]]</f>
        <v>18.02</v>
      </c>
      <c r="Y723" s="76" t="s">
        <v>1429</v>
      </c>
      <c r="AA723" s="76">
        <f>STOCK[[#This Row],[Costo total]]*STOCK[[#This Row],[Entradas]]</f>
        <v>51.98</v>
      </c>
      <c r="AB723" s="76">
        <f>STOCK[[#This Row],[Stock Actual]]*STOCK[[#This Row],[Costo total]]</f>
        <v>0</v>
      </c>
    </row>
    <row r="724" s="77" customFormat="1" ht="50" hidden="1" customHeight="1" spans="1:28">
      <c r="A724" s="77" t="s">
        <v>1452</v>
      </c>
      <c r="B724" s="6"/>
      <c r="C724" s="77" t="s">
        <v>30</v>
      </c>
      <c r="D724" s="77" t="s">
        <v>514</v>
      </c>
      <c r="E724" s="77" t="s">
        <v>1449</v>
      </c>
      <c r="F724" s="77" t="s">
        <v>38</v>
      </c>
      <c r="G724" s="77" t="s">
        <v>1294</v>
      </c>
      <c r="H724" s="77">
        <f>STOCK[[#This Row],[Precio Final]]</f>
        <v>35</v>
      </c>
      <c r="I724" s="77">
        <f>STOCK[[#This Row],[Precio Venta Ideal (x1.5)]]</f>
        <v>38.985</v>
      </c>
      <c r="J724" s="92">
        <v>1</v>
      </c>
      <c r="K724" s="92">
        <f>SUMIFS(VENTAS[Cantidad],VENTAS[Código del producto Vendido],STOCK[[#This Row],[Code]])</f>
        <v>1</v>
      </c>
      <c r="L724" s="92">
        <f>STOCK[[#This Row],[Entradas]]-STOCK[[#This Row],[Salidas]]</f>
        <v>0</v>
      </c>
      <c r="M724" s="77">
        <f>STOCK[[#This Row],[Precio Final]]*10%</f>
        <v>3.5</v>
      </c>
      <c r="N724" s="77">
        <v>0</v>
      </c>
      <c r="O724" s="77">
        <v>0</v>
      </c>
      <c r="P724" s="77">
        <v>12.49</v>
      </c>
      <c r="Q724" s="92">
        <v>0</v>
      </c>
      <c r="R724" s="77">
        <v>0</v>
      </c>
      <c r="S724" s="77">
        <v>10</v>
      </c>
      <c r="T724" s="76">
        <f>STOCK[[#This Row],[Costo Unitario (USD)]]+STOCK[[#This Row],[Costo Envío (USD)]]+STOCK[[#This Row],[Comisión 10%]]</f>
        <v>25.99</v>
      </c>
      <c r="U724" s="77">
        <f>STOCK[[#This Row],[Costo total]]*1.5</f>
        <v>38.985</v>
      </c>
      <c r="V724" s="77">
        <v>35</v>
      </c>
      <c r="W724" s="77">
        <f>STOCK[[#This Row],[Precio Final]]-STOCK[[#This Row],[Costo total]]</f>
        <v>9.01</v>
      </c>
      <c r="X724" s="77">
        <f>STOCK[[#This Row],[Ganancia Unitaria]]*STOCK[[#This Row],[Salidas]]</f>
        <v>9.01</v>
      </c>
      <c r="Y724" s="77" t="s">
        <v>1429</v>
      </c>
      <c r="AA724" s="77">
        <f>STOCK[[#This Row],[Costo total]]*STOCK[[#This Row],[Entradas]]</f>
        <v>25.99</v>
      </c>
      <c r="AB724" s="77">
        <f>STOCK[[#This Row],[Stock Actual]]*STOCK[[#This Row],[Costo total]]</f>
        <v>0</v>
      </c>
    </row>
    <row r="725" s="76" customFormat="1" ht="50" hidden="1" customHeight="1" spans="1:28">
      <c r="A725" s="76" t="s">
        <v>1453</v>
      </c>
      <c r="B725" s="6"/>
      <c r="C725" s="76" t="s">
        <v>30</v>
      </c>
      <c r="D725" s="76" t="s">
        <v>215</v>
      </c>
      <c r="E725" s="76" t="s">
        <v>1454</v>
      </c>
      <c r="F725" s="76" t="s">
        <v>60</v>
      </c>
      <c r="G725" s="76" t="s">
        <v>1294</v>
      </c>
      <c r="H725" s="76">
        <f>STOCK[[#This Row],[Precio Final]]</f>
        <v>28</v>
      </c>
      <c r="I725" s="76">
        <f>STOCK[[#This Row],[Precio Venta Ideal (x1.5)]]</f>
        <v>22.95</v>
      </c>
      <c r="J725" s="91">
        <v>2</v>
      </c>
      <c r="K725" s="91">
        <f>SUMIFS(VENTAS[Cantidad],VENTAS[Código del producto Vendido],STOCK[[#This Row],[Code]])</f>
        <v>0</v>
      </c>
      <c r="L725" s="91">
        <f>STOCK[[#This Row],[Entradas]]-STOCK[[#This Row],[Salidas]]</f>
        <v>2</v>
      </c>
      <c r="M725" s="76">
        <f>STOCK[[#This Row],[Precio Final]]*10%</f>
        <v>2.8</v>
      </c>
      <c r="N725" s="76">
        <v>0</v>
      </c>
      <c r="O725" s="76">
        <v>23</v>
      </c>
      <c r="P725" s="76">
        <v>7.5</v>
      </c>
      <c r="Q725" s="91">
        <v>0</v>
      </c>
      <c r="R725" s="76">
        <v>0</v>
      </c>
      <c r="S725" s="76">
        <v>5</v>
      </c>
      <c r="T725" s="76">
        <f>STOCK[[#This Row],[Costo Unitario (USD)]]+STOCK[[#This Row],[Costo Envío (USD)]]+STOCK[[#This Row],[Comisión 10%]]</f>
        <v>15.3</v>
      </c>
      <c r="U725" s="76">
        <f>STOCK[[#This Row],[Costo total]]*1.5</f>
        <v>22.95</v>
      </c>
      <c r="V725" s="76">
        <v>28</v>
      </c>
      <c r="W725" s="76">
        <f>STOCK[[#This Row],[Precio Final]]-STOCK[[#This Row],[Costo total]]</f>
        <v>12.7</v>
      </c>
      <c r="X725" s="76">
        <f>STOCK[[#This Row],[Ganancia Unitaria]]*STOCK[[#This Row],[Salidas]]</f>
        <v>0</v>
      </c>
      <c r="Y725" s="76" t="s">
        <v>1429</v>
      </c>
      <c r="AA725" s="76">
        <f>STOCK[[#This Row],[Costo total]]*STOCK[[#This Row],[Entradas]]</f>
        <v>30.6</v>
      </c>
      <c r="AB725" s="76">
        <f>STOCK[[#This Row],[Stock Actual]]*STOCK[[#This Row],[Costo total]]</f>
        <v>30.6</v>
      </c>
    </row>
    <row r="726" s="77" customFormat="1" ht="50" hidden="1" customHeight="1" spans="1:28">
      <c r="A726" s="77" t="s">
        <v>1455</v>
      </c>
      <c r="B726" s="6"/>
      <c r="C726" s="77" t="s">
        <v>30</v>
      </c>
      <c r="D726" s="77" t="s">
        <v>202</v>
      </c>
      <c r="E726" s="76" t="s">
        <v>1454</v>
      </c>
      <c r="F726" s="77" t="s">
        <v>44</v>
      </c>
      <c r="G726" s="77" t="s">
        <v>1294</v>
      </c>
      <c r="H726" s="77">
        <f>STOCK[[#This Row],[Precio Final]]</f>
        <v>28</v>
      </c>
      <c r="I726" s="77">
        <f>STOCK[[#This Row],[Precio Venta Ideal (x1.5)]]</f>
        <v>22.95</v>
      </c>
      <c r="J726" s="92">
        <v>2</v>
      </c>
      <c r="K726" s="92">
        <f>SUMIFS(VENTAS[Cantidad],VENTAS[Código del producto Vendido],STOCK[[#This Row],[Code]])</f>
        <v>0</v>
      </c>
      <c r="L726" s="92">
        <f>STOCK[[#This Row],[Entradas]]-STOCK[[#This Row],[Salidas]]</f>
        <v>2</v>
      </c>
      <c r="M726" s="77">
        <f>STOCK[[#This Row],[Precio Final]]*10%</f>
        <v>2.8</v>
      </c>
      <c r="N726" s="77">
        <v>0</v>
      </c>
      <c r="O726" s="77">
        <v>23</v>
      </c>
      <c r="P726" s="77">
        <v>7.5</v>
      </c>
      <c r="Q726" s="92">
        <v>0</v>
      </c>
      <c r="R726" s="77">
        <v>0</v>
      </c>
      <c r="S726" s="77">
        <v>5</v>
      </c>
      <c r="T726" s="76">
        <f>STOCK[[#This Row],[Costo Unitario (USD)]]+STOCK[[#This Row],[Costo Envío (USD)]]+STOCK[[#This Row],[Comisión 10%]]</f>
        <v>15.3</v>
      </c>
      <c r="U726" s="77">
        <f>STOCK[[#This Row],[Costo total]]*1.5</f>
        <v>22.95</v>
      </c>
      <c r="V726" s="77">
        <v>28</v>
      </c>
      <c r="W726" s="77">
        <f>STOCK[[#This Row],[Precio Final]]-STOCK[[#This Row],[Costo total]]</f>
        <v>12.7</v>
      </c>
      <c r="X726" s="77">
        <f>STOCK[[#This Row],[Ganancia Unitaria]]*STOCK[[#This Row],[Salidas]]</f>
        <v>0</v>
      </c>
      <c r="Y726" s="77" t="s">
        <v>1429</v>
      </c>
      <c r="AA726" s="77">
        <f>STOCK[[#This Row],[Costo total]]*STOCK[[#This Row],[Entradas]]</f>
        <v>30.6</v>
      </c>
      <c r="AB726" s="77">
        <f>STOCK[[#This Row],[Stock Actual]]*STOCK[[#This Row],[Costo total]]</f>
        <v>30.6</v>
      </c>
    </row>
    <row r="727" s="76" customFormat="1" ht="50" hidden="1" customHeight="1" spans="1:28">
      <c r="A727" s="76" t="s">
        <v>1456</v>
      </c>
      <c r="B727" s="6"/>
      <c r="C727" s="76" t="s">
        <v>30</v>
      </c>
      <c r="D727" s="76" t="s">
        <v>1012</v>
      </c>
      <c r="E727" s="76" t="s">
        <v>1454</v>
      </c>
      <c r="F727" s="76" t="s">
        <v>38</v>
      </c>
      <c r="G727" s="76" t="s">
        <v>1294</v>
      </c>
      <c r="H727" s="76">
        <f>STOCK[[#This Row],[Precio Final]]</f>
        <v>28</v>
      </c>
      <c r="I727" s="76">
        <f>STOCK[[#This Row],[Precio Venta Ideal (x1.5)]]</f>
        <v>22.95</v>
      </c>
      <c r="J727" s="91">
        <v>2</v>
      </c>
      <c r="K727" s="91">
        <f>SUMIFS(VENTAS[Cantidad],VENTAS[Código del producto Vendido],STOCK[[#This Row],[Code]])</f>
        <v>0</v>
      </c>
      <c r="L727" s="91">
        <f>STOCK[[#This Row],[Entradas]]-STOCK[[#This Row],[Salidas]]</f>
        <v>2</v>
      </c>
      <c r="M727" s="76">
        <f>STOCK[[#This Row],[Precio Final]]*10%</f>
        <v>2.8</v>
      </c>
      <c r="N727" s="76">
        <v>0</v>
      </c>
      <c r="O727" s="76">
        <v>11.5</v>
      </c>
      <c r="P727" s="76">
        <v>7.5</v>
      </c>
      <c r="Q727" s="91">
        <v>0</v>
      </c>
      <c r="R727" s="76">
        <v>0</v>
      </c>
      <c r="S727" s="76">
        <v>5</v>
      </c>
      <c r="T727" s="76">
        <f>STOCK[[#This Row],[Costo Unitario (USD)]]+STOCK[[#This Row],[Costo Envío (USD)]]+STOCK[[#This Row],[Comisión 10%]]</f>
        <v>15.3</v>
      </c>
      <c r="U727" s="76">
        <f>STOCK[[#This Row],[Costo total]]*1.5</f>
        <v>22.95</v>
      </c>
      <c r="V727" s="76">
        <v>28</v>
      </c>
      <c r="W727" s="76">
        <f>STOCK[[#This Row],[Precio Final]]-STOCK[[#This Row],[Costo total]]</f>
        <v>12.7</v>
      </c>
      <c r="X727" s="76">
        <f>STOCK[[#This Row],[Ganancia Unitaria]]*STOCK[[#This Row],[Salidas]]</f>
        <v>0</v>
      </c>
      <c r="Y727" s="76" t="s">
        <v>1429</v>
      </c>
      <c r="AA727" s="76">
        <f>STOCK[[#This Row],[Costo total]]*STOCK[[#This Row],[Entradas]]</f>
        <v>30.6</v>
      </c>
      <c r="AB727" s="76">
        <f>STOCK[[#This Row],[Stock Actual]]*STOCK[[#This Row],[Costo total]]</f>
        <v>30.6</v>
      </c>
    </row>
    <row r="728" s="77" customFormat="1" ht="50" hidden="1" customHeight="1" spans="1:28">
      <c r="A728" s="77" t="s">
        <v>1457</v>
      </c>
      <c r="B728" s="6"/>
      <c r="C728" s="77" t="s">
        <v>30</v>
      </c>
      <c r="D728" s="77" t="s">
        <v>1386</v>
      </c>
      <c r="E728" s="77" t="s">
        <v>1458</v>
      </c>
      <c r="F728" s="77" t="s">
        <v>38</v>
      </c>
      <c r="G728" s="77" t="s">
        <v>702</v>
      </c>
      <c r="H728" s="77">
        <f>STOCK[[#This Row],[Precio Final]]</f>
        <v>32</v>
      </c>
      <c r="I728" s="77">
        <f>STOCK[[#This Row],[Precio Venta Ideal (x1.5)]]</f>
        <v>29.085</v>
      </c>
      <c r="J728" s="92">
        <v>1</v>
      </c>
      <c r="K728" s="92">
        <f>SUMIFS(VENTAS[Cantidad],VENTAS[Código del producto Vendido],STOCK[[#This Row],[Code]])</f>
        <v>0</v>
      </c>
      <c r="L728" s="92">
        <f>STOCK[[#This Row],[Entradas]]-STOCK[[#This Row],[Salidas]]</f>
        <v>1</v>
      </c>
      <c r="M728" s="77">
        <f>STOCK[[#This Row],[Precio Final]]*10%</f>
        <v>3.2</v>
      </c>
      <c r="N728" s="77">
        <v>0</v>
      </c>
      <c r="O728" s="77">
        <v>19.5</v>
      </c>
      <c r="P728" s="77">
        <v>11.19</v>
      </c>
      <c r="Q728" s="92">
        <v>0</v>
      </c>
      <c r="R728" s="77">
        <v>0</v>
      </c>
      <c r="S728" s="77">
        <v>5</v>
      </c>
      <c r="T728" s="76">
        <f>STOCK[[#This Row],[Costo Unitario (USD)]]+STOCK[[#This Row],[Costo Envío (USD)]]+STOCK[[#This Row],[Comisión 10%]]</f>
        <v>19.39</v>
      </c>
      <c r="U728" s="77">
        <f>STOCK[[#This Row],[Costo total]]*1.5</f>
        <v>29.085</v>
      </c>
      <c r="V728" s="77">
        <v>32</v>
      </c>
      <c r="W728" s="77">
        <f>STOCK[[#This Row],[Precio Final]]-STOCK[[#This Row],[Costo total]]</f>
        <v>12.61</v>
      </c>
      <c r="X728" s="77">
        <f>STOCK[[#This Row],[Ganancia Unitaria]]*STOCK[[#This Row],[Salidas]]</f>
        <v>0</v>
      </c>
      <c r="AA728" s="77">
        <f>STOCK[[#This Row],[Costo total]]*STOCK[[#This Row],[Entradas]]</f>
        <v>19.39</v>
      </c>
      <c r="AB728" s="77">
        <f>STOCK[[#This Row],[Stock Actual]]*STOCK[[#This Row],[Costo total]]</f>
        <v>19.39</v>
      </c>
    </row>
    <row r="729" s="76" customFormat="1" ht="50" hidden="1" customHeight="1" spans="1:28">
      <c r="A729" s="76" t="s">
        <v>1459</v>
      </c>
      <c r="B729" s="6"/>
      <c r="C729" s="76" t="s">
        <v>30</v>
      </c>
      <c r="D729" s="77" t="s">
        <v>1386</v>
      </c>
      <c r="E729" s="76" t="s">
        <v>1458</v>
      </c>
      <c r="F729" s="76" t="s">
        <v>47</v>
      </c>
      <c r="G729" s="76" t="s">
        <v>702</v>
      </c>
      <c r="H729" s="76">
        <f>STOCK[[#This Row],[Precio Final]]</f>
        <v>32</v>
      </c>
      <c r="I729" s="76">
        <f>STOCK[[#This Row],[Precio Venta Ideal (x1.5)]]</f>
        <v>29.085</v>
      </c>
      <c r="J729" s="91">
        <v>3</v>
      </c>
      <c r="K729" s="91">
        <f>SUMIFS(VENTAS[Cantidad],VENTAS[Código del producto Vendido],STOCK[[#This Row],[Code]])</f>
        <v>1</v>
      </c>
      <c r="L729" s="91">
        <f>STOCK[[#This Row],[Entradas]]-STOCK[[#This Row],[Salidas]]</f>
        <v>2</v>
      </c>
      <c r="M729" s="76">
        <f>STOCK[[#This Row],[Precio Final]]*10%</f>
        <v>3.2</v>
      </c>
      <c r="N729" s="76">
        <v>0</v>
      </c>
      <c r="O729" s="76">
        <v>39</v>
      </c>
      <c r="P729" s="76">
        <v>11.19</v>
      </c>
      <c r="Q729" s="91">
        <v>0</v>
      </c>
      <c r="R729" s="76">
        <v>0</v>
      </c>
      <c r="S729" s="76">
        <v>5</v>
      </c>
      <c r="T729" s="76">
        <f>STOCK[[#This Row],[Costo Unitario (USD)]]+STOCK[[#This Row],[Costo Envío (USD)]]+STOCK[[#This Row],[Comisión 10%]]</f>
        <v>19.39</v>
      </c>
      <c r="U729" s="76">
        <f>STOCK[[#This Row],[Costo total]]*1.5</f>
        <v>29.085</v>
      </c>
      <c r="V729" s="76">
        <v>32</v>
      </c>
      <c r="W729" s="76">
        <f>STOCK[[#This Row],[Precio Final]]-STOCK[[#This Row],[Costo total]]</f>
        <v>12.61</v>
      </c>
      <c r="X729" s="76">
        <f>STOCK[[#This Row],[Ganancia Unitaria]]*STOCK[[#This Row],[Salidas]]</f>
        <v>12.61</v>
      </c>
      <c r="AA729" s="76">
        <f>STOCK[[#This Row],[Costo total]]*STOCK[[#This Row],[Entradas]]</f>
        <v>58.17</v>
      </c>
      <c r="AB729" s="76">
        <f>STOCK[[#This Row],[Stock Actual]]*STOCK[[#This Row],[Costo total]]</f>
        <v>38.78</v>
      </c>
    </row>
    <row r="730" s="77" customFormat="1" ht="50" hidden="1" customHeight="1" spans="1:28">
      <c r="A730" s="77" t="s">
        <v>1460</v>
      </c>
      <c r="B730" s="6"/>
      <c r="C730" s="77" t="s">
        <v>30</v>
      </c>
      <c r="D730" s="77" t="s">
        <v>1386</v>
      </c>
      <c r="E730" s="77" t="s">
        <v>1458</v>
      </c>
      <c r="F730" s="77" t="s">
        <v>44</v>
      </c>
      <c r="G730" s="77" t="s">
        <v>702</v>
      </c>
      <c r="H730" s="77">
        <f>STOCK[[#This Row],[Precio Final]]</f>
        <v>32</v>
      </c>
      <c r="I730" s="77">
        <f>STOCK[[#This Row],[Precio Venta Ideal (x1.5)]]</f>
        <v>29.085</v>
      </c>
      <c r="J730" s="92">
        <v>2</v>
      </c>
      <c r="K730" s="92">
        <f>SUMIFS(VENTAS[Cantidad],VENTAS[Código del producto Vendido],STOCK[[#This Row],[Code]])</f>
        <v>1</v>
      </c>
      <c r="L730" s="92">
        <f>STOCK[[#This Row],[Entradas]]-STOCK[[#This Row],[Salidas]]</f>
        <v>1</v>
      </c>
      <c r="M730" s="77">
        <f>STOCK[[#This Row],[Precio Final]]*10%</f>
        <v>3.2</v>
      </c>
      <c r="N730" s="77">
        <v>0</v>
      </c>
      <c r="O730" s="77">
        <v>58.5</v>
      </c>
      <c r="P730" s="77">
        <v>11.19</v>
      </c>
      <c r="Q730" s="92">
        <v>0</v>
      </c>
      <c r="R730" s="77">
        <v>0</v>
      </c>
      <c r="S730" s="77">
        <v>5</v>
      </c>
      <c r="T730" s="76">
        <f>STOCK[[#This Row],[Costo Unitario (USD)]]+STOCK[[#This Row],[Costo Envío (USD)]]+STOCK[[#This Row],[Comisión 10%]]</f>
        <v>19.39</v>
      </c>
      <c r="U730" s="77">
        <f>STOCK[[#This Row],[Costo total]]*1.5</f>
        <v>29.085</v>
      </c>
      <c r="V730" s="77">
        <v>32</v>
      </c>
      <c r="W730" s="77">
        <f>STOCK[[#This Row],[Precio Final]]-STOCK[[#This Row],[Costo total]]</f>
        <v>12.61</v>
      </c>
      <c r="X730" s="77">
        <f>STOCK[[#This Row],[Ganancia Unitaria]]*STOCK[[#This Row],[Salidas]]</f>
        <v>12.61</v>
      </c>
      <c r="AA730" s="77">
        <f>STOCK[[#This Row],[Costo total]]*STOCK[[#This Row],[Entradas]]</f>
        <v>38.78</v>
      </c>
      <c r="AB730" s="77">
        <f>STOCK[[#This Row],[Stock Actual]]*STOCK[[#This Row],[Costo total]]</f>
        <v>19.39</v>
      </c>
    </row>
    <row r="731" s="76" customFormat="1" ht="50" hidden="1" customHeight="1" spans="1:28">
      <c r="A731" s="76" t="s">
        <v>1461</v>
      </c>
      <c r="B731" s="6"/>
      <c r="C731" s="76" t="s">
        <v>30</v>
      </c>
      <c r="D731" s="77" t="s">
        <v>1386</v>
      </c>
      <c r="E731" s="76" t="s">
        <v>1458</v>
      </c>
      <c r="F731" s="76" t="s">
        <v>60</v>
      </c>
      <c r="G731" s="76" t="s">
        <v>702</v>
      </c>
      <c r="H731" s="76">
        <f>STOCK[[#This Row],[Precio Final]]</f>
        <v>32</v>
      </c>
      <c r="I731" s="76">
        <f>STOCK[[#This Row],[Precio Venta Ideal (x1.5)]]</f>
        <v>29.085</v>
      </c>
      <c r="J731" s="91">
        <v>3</v>
      </c>
      <c r="K731" s="91">
        <f>SUMIFS(VENTAS[Cantidad],VENTAS[Código del producto Vendido],STOCK[[#This Row],[Code]])</f>
        <v>2</v>
      </c>
      <c r="L731" s="91">
        <f>STOCK[[#This Row],[Entradas]]-STOCK[[#This Row],[Salidas]]</f>
        <v>1</v>
      </c>
      <c r="M731" s="76">
        <f>STOCK[[#This Row],[Precio Final]]*10%</f>
        <v>3.2</v>
      </c>
      <c r="N731" s="76">
        <v>0</v>
      </c>
      <c r="O731" s="76">
        <v>39</v>
      </c>
      <c r="P731" s="76">
        <v>11.19</v>
      </c>
      <c r="Q731" s="91">
        <v>0</v>
      </c>
      <c r="R731" s="76">
        <v>0</v>
      </c>
      <c r="S731" s="76">
        <v>5</v>
      </c>
      <c r="T731" s="76">
        <f>STOCK[[#This Row],[Costo Unitario (USD)]]+STOCK[[#This Row],[Costo Envío (USD)]]+STOCK[[#This Row],[Comisión 10%]]</f>
        <v>19.39</v>
      </c>
      <c r="U731" s="76">
        <f>STOCK[[#This Row],[Costo total]]*1.5</f>
        <v>29.085</v>
      </c>
      <c r="V731" s="76">
        <v>32</v>
      </c>
      <c r="W731" s="76">
        <f>STOCK[[#This Row],[Precio Final]]-STOCK[[#This Row],[Costo total]]</f>
        <v>12.61</v>
      </c>
      <c r="X731" s="76">
        <f>STOCK[[#This Row],[Ganancia Unitaria]]*STOCK[[#This Row],[Salidas]]</f>
        <v>25.22</v>
      </c>
      <c r="AA731" s="76">
        <f>STOCK[[#This Row],[Costo total]]*STOCK[[#This Row],[Entradas]]</f>
        <v>58.17</v>
      </c>
      <c r="AB731" s="76">
        <f>STOCK[[#This Row],[Stock Actual]]*STOCK[[#This Row],[Costo total]]</f>
        <v>19.39</v>
      </c>
    </row>
    <row r="732" s="77" customFormat="1" ht="50" hidden="1" customHeight="1" spans="1:28">
      <c r="A732" s="77" t="s">
        <v>1462</v>
      </c>
      <c r="B732" s="6"/>
      <c r="C732" s="77" t="s">
        <v>30</v>
      </c>
      <c r="D732" s="77" t="s">
        <v>1386</v>
      </c>
      <c r="E732" s="77" t="s">
        <v>1463</v>
      </c>
      <c r="F732" s="77" t="s">
        <v>60</v>
      </c>
      <c r="G732" s="77" t="s">
        <v>702</v>
      </c>
      <c r="H732" s="77">
        <f>STOCK[[#This Row],[Precio Final]]</f>
        <v>35</v>
      </c>
      <c r="I732" s="77">
        <f>STOCK[[#This Row],[Precio Venta Ideal (x1.5)]]</f>
        <v>35.25</v>
      </c>
      <c r="J732" s="92">
        <v>1</v>
      </c>
      <c r="K732" s="92">
        <f>SUMIFS(VENTAS[Cantidad],VENTAS[Código del producto Vendido],STOCK[[#This Row],[Code]])</f>
        <v>0</v>
      </c>
      <c r="L732" s="92">
        <f>STOCK[[#This Row],[Entradas]]-STOCK[[#This Row],[Salidas]]</f>
        <v>1</v>
      </c>
      <c r="M732" s="77">
        <f>STOCK[[#This Row],[Precio Final]]*10%</f>
        <v>3.5</v>
      </c>
      <c r="N732" s="77">
        <v>0</v>
      </c>
      <c r="O732" s="77">
        <v>0</v>
      </c>
      <c r="P732" s="77">
        <v>15</v>
      </c>
      <c r="Q732" s="92">
        <v>0</v>
      </c>
      <c r="R732" s="77">
        <v>0</v>
      </c>
      <c r="S732" s="77">
        <v>5</v>
      </c>
      <c r="T732" s="76">
        <f>STOCK[[#This Row],[Costo Unitario (USD)]]+STOCK[[#This Row],[Costo Envío (USD)]]+STOCK[[#This Row],[Comisión 10%]]</f>
        <v>23.5</v>
      </c>
      <c r="U732" s="77">
        <f>STOCK[[#This Row],[Costo total]]*1.5</f>
        <v>35.25</v>
      </c>
      <c r="V732" s="77">
        <v>35</v>
      </c>
      <c r="W732" s="77">
        <f>STOCK[[#This Row],[Precio Final]]-STOCK[[#This Row],[Costo total]]</f>
        <v>11.5</v>
      </c>
      <c r="X732" s="77">
        <f>STOCK[[#This Row],[Ganancia Unitaria]]*STOCK[[#This Row],[Salidas]]</f>
        <v>0</v>
      </c>
      <c r="AA732" s="77">
        <f>STOCK[[#This Row],[Costo total]]*STOCK[[#This Row],[Entradas]]</f>
        <v>23.5</v>
      </c>
      <c r="AB732" s="77">
        <f>STOCK[[#This Row],[Stock Actual]]*STOCK[[#This Row],[Costo total]]</f>
        <v>23.5</v>
      </c>
    </row>
    <row r="733" s="76" customFormat="1" ht="50" hidden="1" customHeight="1" spans="1:28">
      <c r="A733" s="76" t="s">
        <v>1464</v>
      </c>
      <c r="B733" s="6"/>
      <c r="C733" s="76" t="s">
        <v>30</v>
      </c>
      <c r="D733" s="77" t="s">
        <v>1386</v>
      </c>
      <c r="E733" s="76" t="s">
        <v>1465</v>
      </c>
      <c r="F733" s="76" t="s">
        <v>1466</v>
      </c>
      <c r="G733" s="76" t="s">
        <v>702</v>
      </c>
      <c r="H733" s="76">
        <f>STOCK[[#This Row],[Precio Final]]</f>
        <v>20</v>
      </c>
      <c r="I733" s="76">
        <f>STOCK[[#This Row],[Precio Venta Ideal (x1.5)]]</f>
        <v>28.5</v>
      </c>
      <c r="J733" s="91">
        <v>5</v>
      </c>
      <c r="K733" s="91">
        <f>SUMIFS(VENTAS[Cantidad],VENTAS[Código del producto Vendido],STOCK[[#This Row],[Code]])</f>
        <v>2</v>
      </c>
      <c r="L733" s="91">
        <f>STOCK[[#This Row],[Entradas]]-STOCK[[#This Row],[Salidas]]</f>
        <v>3</v>
      </c>
      <c r="M733" s="76">
        <f>STOCK[[#This Row],[Precio Final]]*10%</f>
        <v>2</v>
      </c>
      <c r="N733" s="76">
        <v>0</v>
      </c>
      <c r="O733" s="76">
        <v>17</v>
      </c>
      <c r="P733" s="76">
        <v>12</v>
      </c>
      <c r="Q733" s="91">
        <v>0</v>
      </c>
      <c r="R733" s="76">
        <v>0</v>
      </c>
      <c r="S733" s="76">
        <v>5</v>
      </c>
      <c r="T733" s="76">
        <f>STOCK[[#This Row],[Costo Unitario (USD)]]+STOCK[[#This Row],[Costo Envío (USD)]]+STOCK[[#This Row],[Comisión 10%]]</f>
        <v>19</v>
      </c>
      <c r="U733" s="76">
        <f>STOCK[[#This Row],[Costo total]]*1.5</f>
        <v>28.5</v>
      </c>
      <c r="V733" s="76">
        <v>20</v>
      </c>
      <c r="W733" s="76">
        <f>STOCK[[#This Row],[Precio Final]]-STOCK[[#This Row],[Costo total]]</f>
        <v>1</v>
      </c>
      <c r="X733" s="76">
        <f>STOCK[[#This Row],[Ganancia Unitaria]]*STOCK[[#This Row],[Salidas]]</f>
        <v>2</v>
      </c>
      <c r="AA733" s="76">
        <f>STOCK[[#This Row],[Costo total]]*STOCK[[#This Row],[Entradas]]</f>
        <v>95</v>
      </c>
      <c r="AB733" s="76">
        <f>STOCK[[#This Row],[Stock Actual]]*STOCK[[#This Row],[Costo total]]</f>
        <v>57</v>
      </c>
    </row>
    <row r="734" s="77" customFormat="1" ht="50" hidden="1" customHeight="1" spans="1:28">
      <c r="A734" s="77" t="s">
        <v>1467</v>
      </c>
      <c r="B734" s="6"/>
      <c r="C734" s="77" t="s">
        <v>30</v>
      </c>
      <c r="D734" s="77" t="s">
        <v>514</v>
      </c>
      <c r="E734" s="77" t="s">
        <v>1468</v>
      </c>
      <c r="F734" s="77" t="s">
        <v>1469</v>
      </c>
      <c r="G734" s="77" t="s">
        <v>34</v>
      </c>
      <c r="H734" s="77">
        <f>STOCK[[#This Row],[Precio Final]]</f>
        <v>35</v>
      </c>
      <c r="I734" s="77">
        <f>STOCK[[#This Row],[Precio Venta Ideal (x1.5)]]</f>
        <v>41.25</v>
      </c>
      <c r="J734" s="92">
        <v>1</v>
      </c>
      <c r="K734" s="92">
        <f>SUMIFS(VENTAS[Cantidad],VENTAS[Código del producto Vendido],STOCK[[#This Row],[Code]])</f>
        <v>1</v>
      </c>
      <c r="L734" s="92">
        <f>STOCK[[#This Row],[Entradas]]-STOCK[[#This Row],[Salidas]]</f>
        <v>0</v>
      </c>
      <c r="M734" s="77">
        <f>STOCK[[#This Row],[Precio Final]]*10%</f>
        <v>3.5</v>
      </c>
      <c r="N734" s="77">
        <v>0</v>
      </c>
      <c r="O734" s="77">
        <v>0</v>
      </c>
      <c r="P734" s="77">
        <v>19</v>
      </c>
      <c r="Q734" s="92">
        <v>0</v>
      </c>
      <c r="R734" s="77">
        <v>0</v>
      </c>
      <c r="S734" s="77">
        <v>5</v>
      </c>
      <c r="T734" s="76">
        <f>STOCK[[#This Row],[Costo Unitario (USD)]]+STOCK[[#This Row],[Costo Envío (USD)]]+STOCK[[#This Row],[Comisión 10%]]</f>
        <v>27.5</v>
      </c>
      <c r="U734" s="77">
        <f>STOCK[[#This Row],[Costo total]]*1.5</f>
        <v>41.25</v>
      </c>
      <c r="V734" s="77">
        <v>35</v>
      </c>
      <c r="W734" s="77">
        <f>STOCK[[#This Row],[Precio Final]]-STOCK[[#This Row],[Costo total]]</f>
        <v>7.5</v>
      </c>
      <c r="X734" s="77">
        <f>STOCK[[#This Row],[Ganancia Unitaria]]*STOCK[[#This Row],[Salidas]]</f>
        <v>7.5</v>
      </c>
      <c r="Y734" s="77" t="s">
        <v>1470</v>
      </c>
      <c r="AA734" s="77">
        <f>STOCK[[#This Row],[Costo total]]*STOCK[[#This Row],[Entradas]]</f>
        <v>27.5</v>
      </c>
      <c r="AB734" s="77">
        <f>STOCK[[#This Row],[Stock Actual]]*STOCK[[#This Row],[Costo total]]</f>
        <v>0</v>
      </c>
    </row>
    <row r="735" s="76" customFormat="1" ht="50" hidden="1" customHeight="1" spans="1:28">
      <c r="A735" s="76" t="s">
        <v>1471</v>
      </c>
      <c r="B735" s="6"/>
      <c r="C735" s="76" t="s">
        <v>30</v>
      </c>
      <c r="D735" s="76" t="s">
        <v>151</v>
      </c>
      <c r="E735" s="76" t="s">
        <v>1472</v>
      </c>
      <c r="F735" s="76" t="s">
        <v>60</v>
      </c>
      <c r="G735" s="76" t="s">
        <v>34</v>
      </c>
      <c r="H735" s="76">
        <f>STOCK[[#This Row],[Precio Final]]</f>
        <v>13</v>
      </c>
      <c r="I735" s="76">
        <f>STOCK[[#This Row],[Precio Venta Ideal (x1.5)]]</f>
        <v>18.45</v>
      </c>
      <c r="J735" s="91">
        <v>1</v>
      </c>
      <c r="K735" s="91">
        <f>SUMIFS(VENTAS[Cantidad],VENTAS[Código del producto Vendido],STOCK[[#This Row],[Code]])</f>
        <v>1</v>
      </c>
      <c r="L735" s="91">
        <f>STOCK[[#This Row],[Entradas]]-STOCK[[#This Row],[Salidas]]</f>
        <v>0</v>
      </c>
      <c r="M735" s="76">
        <f>STOCK[[#This Row],[Precio Final]]*10%</f>
        <v>1.3</v>
      </c>
      <c r="N735" s="76">
        <v>0</v>
      </c>
      <c r="O735" s="76">
        <v>0</v>
      </c>
      <c r="P735" s="76">
        <v>6</v>
      </c>
      <c r="Q735" s="91">
        <v>0</v>
      </c>
      <c r="R735" s="76">
        <v>0</v>
      </c>
      <c r="S735" s="76">
        <v>5</v>
      </c>
      <c r="T735" s="76">
        <f>STOCK[[#This Row],[Costo Unitario (USD)]]+STOCK[[#This Row],[Costo Envío (USD)]]+STOCK[[#This Row],[Comisión 10%]]</f>
        <v>12.3</v>
      </c>
      <c r="U735" s="76">
        <f>STOCK[[#This Row],[Costo total]]*1.5</f>
        <v>18.45</v>
      </c>
      <c r="V735" s="76">
        <v>13</v>
      </c>
      <c r="W735" s="76">
        <f>STOCK[[#This Row],[Precio Final]]-STOCK[[#This Row],[Costo total]]</f>
        <v>0.699999999999999</v>
      </c>
      <c r="X735" s="76">
        <f>STOCK[[#This Row],[Ganancia Unitaria]]*STOCK[[#This Row],[Salidas]]</f>
        <v>0.699999999999999</v>
      </c>
      <c r="Y735" s="76" t="s">
        <v>1470</v>
      </c>
      <c r="AA735" s="76">
        <f>STOCK[[#This Row],[Costo total]]*STOCK[[#This Row],[Entradas]]</f>
        <v>12.3</v>
      </c>
      <c r="AB735" s="76">
        <f>STOCK[[#This Row],[Stock Actual]]*STOCK[[#This Row],[Costo total]]</f>
        <v>0</v>
      </c>
    </row>
    <row r="736" s="77" customFormat="1" ht="50" hidden="1" customHeight="1" spans="1:28">
      <c r="A736" s="77" t="s">
        <v>1473</v>
      </c>
      <c r="B736" s="6"/>
      <c r="C736" s="77" t="s">
        <v>30</v>
      </c>
      <c r="D736" s="77" t="s">
        <v>151</v>
      </c>
      <c r="E736" s="77" t="s">
        <v>1474</v>
      </c>
      <c r="F736" s="77" t="s">
        <v>60</v>
      </c>
      <c r="G736" s="77" t="s">
        <v>34</v>
      </c>
      <c r="H736" s="77">
        <f>STOCK[[#This Row],[Precio Final]]</f>
        <v>25</v>
      </c>
      <c r="I736" s="77">
        <f>STOCK[[#This Row],[Precio Venta Ideal (x1.5)]]</f>
        <v>36.75</v>
      </c>
      <c r="J736" s="92">
        <v>0</v>
      </c>
      <c r="K736" s="92">
        <f>SUMIFS(VENTAS[Cantidad],VENTAS[Código del producto Vendido],STOCK[[#This Row],[Code]])</f>
        <v>0</v>
      </c>
      <c r="L736" s="92">
        <f>STOCK[[#This Row],[Entradas]]-STOCK[[#This Row],[Salidas]]</f>
        <v>0</v>
      </c>
      <c r="M736" s="77">
        <f>STOCK[[#This Row],[Precio Final]]*10%</f>
        <v>2.5</v>
      </c>
      <c r="N736" s="77">
        <v>0</v>
      </c>
      <c r="O736" s="77">
        <v>0</v>
      </c>
      <c r="P736" s="77">
        <v>17</v>
      </c>
      <c r="Q736" s="92">
        <v>0</v>
      </c>
      <c r="R736" s="77">
        <v>0</v>
      </c>
      <c r="S736" s="77">
        <v>5</v>
      </c>
      <c r="T736" s="76">
        <f>STOCK[[#This Row],[Costo Unitario (USD)]]+STOCK[[#This Row],[Costo Envío (USD)]]+STOCK[[#This Row],[Comisión 10%]]</f>
        <v>24.5</v>
      </c>
      <c r="U736" s="77">
        <f>STOCK[[#This Row],[Costo total]]*1.5</f>
        <v>36.75</v>
      </c>
      <c r="V736" s="77">
        <v>25</v>
      </c>
      <c r="W736" s="77">
        <f>STOCK[[#This Row],[Precio Final]]-STOCK[[#This Row],[Costo total]]</f>
        <v>0.5</v>
      </c>
      <c r="X736" s="77">
        <f>STOCK[[#This Row],[Ganancia Unitaria]]*STOCK[[#This Row],[Salidas]]</f>
        <v>0</v>
      </c>
      <c r="Y736" s="77" t="s">
        <v>1470</v>
      </c>
      <c r="AA736" s="77">
        <f>STOCK[[#This Row],[Costo total]]*STOCK[[#This Row],[Entradas]]</f>
        <v>0</v>
      </c>
      <c r="AB736" s="77">
        <f>STOCK[[#This Row],[Stock Actual]]*STOCK[[#This Row],[Costo total]]</f>
        <v>0</v>
      </c>
    </row>
    <row r="737" s="76" customFormat="1" ht="50" hidden="1" customHeight="1" spans="1:28">
      <c r="A737" s="76" t="s">
        <v>1475</v>
      </c>
      <c r="B737" s="6"/>
      <c r="C737" s="76" t="s">
        <v>30</v>
      </c>
      <c r="D737" s="76" t="s">
        <v>151</v>
      </c>
      <c r="E737" s="76" t="s">
        <v>1476</v>
      </c>
      <c r="F737" s="76" t="s">
        <v>60</v>
      </c>
      <c r="G737" s="76" t="s">
        <v>34</v>
      </c>
      <c r="H737" s="76">
        <f>STOCK[[#This Row],[Precio Final]]</f>
        <v>12</v>
      </c>
      <c r="I737" s="76">
        <f>STOCK[[#This Row],[Precio Venta Ideal (x1.5)]]</f>
        <v>18.3</v>
      </c>
      <c r="J737" s="91">
        <v>1</v>
      </c>
      <c r="K737" s="91">
        <f>SUMIFS(VENTAS[Cantidad],VENTAS[Código del producto Vendido],STOCK[[#This Row],[Code]])</f>
        <v>1</v>
      </c>
      <c r="L737" s="91">
        <f>STOCK[[#This Row],[Entradas]]-STOCK[[#This Row],[Salidas]]</f>
        <v>0</v>
      </c>
      <c r="M737" s="76">
        <f>STOCK[[#This Row],[Precio Final]]*10%</f>
        <v>1.2</v>
      </c>
      <c r="N737" s="76">
        <v>0</v>
      </c>
      <c r="O737" s="76">
        <v>0</v>
      </c>
      <c r="P737" s="76">
        <v>6</v>
      </c>
      <c r="Q737" s="91">
        <v>0</v>
      </c>
      <c r="R737" s="76">
        <v>0</v>
      </c>
      <c r="S737" s="76">
        <v>5</v>
      </c>
      <c r="T737" s="76">
        <f>STOCK[[#This Row],[Costo Unitario (USD)]]+STOCK[[#This Row],[Costo Envío (USD)]]+STOCK[[#This Row],[Comisión 10%]]</f>
        <v>12.2</v>
      </c>
      <c r="U737" s="76">
        <f>STOCK[[#This Row],[Costo total]]*1.5</f>
        <v>18.3</v>
      </c>
      <c r="V737" s="76">
        <v>12</v>
      </c>
      <c r="W737" s="76">
        <f>STOCK[[#This Row],[Precio Final]]-STOCK[[#This Row],[Costo total]]</f>
        <v>-0.199999999999999</v>
      </c>
      <c r="X737" s="76">
        <f>STOCK[[#This Row],[Ganancia Unitaria]]*STOCK[[#This Row],[Salidas]]</f>
        <v>-0.199999999999999</v>
      </c>
      <c r="Y737" s="76" t="s">
        <v>1470</v>
      </c>
      <c r="AA737" s="76">
        <f>STOCK[[#This Row],[Costo total]]*STOCK[[#This Row],[Entradas]]</f>
        <v>12.2</v>
      </c>
      <c r="AB737" s="76">
        <f>STOCK[[#This Row],[Stock Actual]]*STOCK[[#This Row],[Costo total]]</f>
        <v>0</v>
      </c>
    </row>
    <row r="738" s="77" customFormat="1" ht="50" hidden="1" customHeight="1" spans="1:28">
      <c r="A738" s="77" t="s">
        <v>1477</v>
      </c>
      <c r="B738" s="6"/>
      <c r="C738" s="77" t="s">
        <v>30</v>
      </c>
      <c r="D738" s="77" t="s">
        <v>151</v>
      </c>
      <c r="E738" s="77" t="s">
        <v>1478</v>
      </c>
      <c r="F738" s="77" t="s">
        <v>47</v>
      </c>
      <c r="G738" s="77" t="s">
        <v>34</v>
      </c>
      <c r="H738" s="77">
        <f>STOCK[[#This Row],[Precio Final]]</f>
        <v>30</v>
      </c>
      <c r="I738" s="77">
        <f>STOCK[[#This Row],[Precio Venta Ideal (x1.5)]]</f>
        <v>32.25</v>
      </c>
      <c r="J738" s="92">
        <v>1</v>
      </c>
      <c r="K738" s="92">
        <f>SUMIFS(VENTAS[Cantidad],VENTAS[Código del producto Vendido],STOCK[[#This Row],[Code]])</f>
        <v>1</v>
      </c>
      <c r="L738" s="92">
        <f>STOCK[[#This Row],[Entradas]]-STOCK[[#This Row],[Salidas]]</f>
        <v>0</v>
      </c>
      <c r="M738" s="77">
        <f>STOCK[[#This Row],[Precio Final]]*10%</f>
        <v>3</v>
      </c>
      <c r="N738" s="77">
        <v>0</v>
      </c>
      <c r="O738" s="77">
        <v>0</v>
      </c>
      <c r="P738" s="77">
        <v>13.5</v>
      </c>
      <c r="Q738" s="92">
        <v>0</v>
      </c>
      <c r="R738" s="77">
        <v>0</v>
      </c>
      <c r="S738" s="77">
        <v>5</v>
      </c>
      <c r="T738" s="76">
        <f>STOCK[[#This Row],[Costo Unitario (USD)]]+STOCK[[#This Row],[Costo Envío (USD)]]+STOCK[[#This Row],[Comisión 10%]]</f>
        <v>21.5</v>
      </c>
      <c r="U738" s="77">
        <f>STOCK[[#This Row],[Costo total]]*1.5</f>
        <v>32.25</v>
      </c>
      <c r="V738" s="77">
        <v>30</v>
      </c>
      <c r="W738" s="77">
        <f>STOCK[[#This Row],[Precio Final]]-STOCK[[#This Row],[Costo total]]</f>
        <v>8.5</v>
      </c>
      <c r="X738" s="77">
        <f>STOCK[[#This Row],[Ganancia Unitaria]]*STOCK[[#This Row],[Salidas]]</f>
        <v>8.5</v>
      </c>
      <c r="Y738" s="77" t="s">
        <v>1470</v>
      </c>
      <c r="AA738" s="77">
        <f>STOCK[[#This Row],[Costo total]]*STOCK[[#This Row],[Entradas]]</f>
        <v>21.5</v>
      </c>
      <c r="AB738" s="77">
        <f>STOCK[[#This Row],[Stock Actual]]*STOCK[[#This Row],[Costo total]]</f>
        <v>0</v>
      </c>
    </row>
    <row r="739" s="76" customFormat="1" ht="50" hidden="1" customHeight="1" spans="1:28">
      <c r="A739" s="76" t="s">
        <v>1479</v>
      </c>
      <c r="B739" s="6"/>
      <c r="C739" s="76" t="s">
        <v>30</v>
      </c>
      <c r="D739" s="76" t="s">
        <v>1480</v>
      </c>
      <c r="E739" s="76" t="s">
        <v>1481</v>
      </c>
      <c r="F739" s="76" t="s">
        <v>1482</v>
      </c>
      <c r="G739" s="76" t="s">
        <v>34</v>
      </c>
      <c r="H739" s="76">
        <f>STOCK[[#This Row],[Precio Final]]</f>
        <v>50</v>
      </c>
      <c r="I739" s="76">
        <f>STOCK[[#This Row],[Precio Venta Ideal (x1.5)]]</f>
        <v>52.5</v>
      </c>
      <c r="J739" s="91">
        <v>1</v>
      </c>
      <c r="K739" s="91">
        <f>SUMIFS(VENTAS[Cantidad],VENTAS[Código del producto Vendido],STOCK[[#This Row],[Code]])</f>
        <v>1</v>
      </c>
      <c r="L739" s="91">
        <f>STOCK[[#This Row],[Entradas]]-STOCK[[#This Row],[Salidas]]</f>
        <v>0</v>
      </c>
      <c r="M739" s="76">
        <f>STOCK[[#This Row],[Precio Final]]*10%</f>
        <v>5</v>
      </c>
      <c r="N739" s="76">
        <v>0</v>
      </c>
      <c r="O739" s="76">
        <v>0</v>
      </c>
      <c r="P739" s="76">
        <v>25</v>
      </c>
      <c r="Q739" s="91">
        <v>0</v>
      </c>
      <c r="R739" s="76">
        <v>0</v>
      </c>
      <c r="S739" s="76">
        <v>5</v>
      </c>
      <c r="T739" s="76">
        <f>STOCK[[#This Row],[Costo Unitario (USD)]]+STOCK[[#This Row],[Costo Envío (USD)]]+STOCK[[#This Row],[Comisión 10%]]</f>
        <v>35</v>
      </c>
      <c r="U739" s="76">
        <f>STOCK[[#This Row],[Costo total]]*1.5</f>
        <v>52.5</v>
      </c>
      <c r="V739" s="76">
        <v>50</v>
      </c>
      <c r="W739" s="76">
        <f>STOCK[[#This Row],[Precio Final]]-STOCK[[#This Row],[Costo total]]</f>
        <v>15</v>
      </c>
      <c r="X739" s="76">
        <f>STOCK[[#This Row],[Ganancia Unitaria]]*STOCK[[#This Row],[Salidas]]</f>
        <v>15</v>
      </c>
      <c r="Y739" s="76" t="s">
        <v>1470</v>
      </c>
      <c r="AA739" s="76">
        <f>STOCK[[#This Row],[Costo total]]*STOCK[[#This Row],[Entradas]]</f>
        <v>35</v>
      </c>
      <c r="AB739" s="76">
        <f>STOCK[[#This Row],[Stock Actual]]*STOCK[[#This Row],[Costo total]]</f>
        <v>0</v>
      </c>
    </row>
    <row r="740" s="77" customFormat="1" ht="50" hidden="1" customHeight="1" spans="1:28">
      <c r="A740" s="77" t="s">
        <v>1483</v>
      </c>
      <c r="B740" s="6"/>
      <c r="C740" s="77" t="s">
        <v>30</v>
      </c>
      <c r="D740" s="77" t="s">
        <v>514</v>
      </c>
      <c r="E740" s="77" t="s">
        <v>1484</v>
      </c>
      <c r="F740" s="77" t="s">
        <v>539</v>
      </c>
      <c r="G740" s="77" t="s">
        <v>34</v>
      </c>
      <c r="H740" s="77">
        <f>STOCK[[#This Row],[Precio Final]]</f>
        <v>40</v>
      </c>
      <c r="I740" s="77">
        <f>STOCK[[#This Row],[Precio Venta Ideal (x1.5)]]</f>
        <v>41.25</v>
      </c>
      <c r="J740" s="92">
        <v>1</v>
      </c>
      <c r="K740" s="92">
        <f>SUMIFS(VENTAS[Cantidad],VENTAS[Código del producto Vendido],STOCK[[#This Row],[Code]])</f>
        <v>1</v>
      </c>
      <c r="L740" s="92">
        <f>STOCK[[#This Row],[Entradas]]-STOCK[[#This Row],[Salidas]]</f>
        <v>0</v>
      </c>
      <c r="M740" s="77">
        <f>STOCK[[#This Row],[Precio Final]]*10%</f>
        <v>4</v>
      </c>
      <c r="N740" s="77">
        <v>0</v>
      </c>
      <c r="O740" s="77">
        <v>0</v>
      </c>
      <c r="P740" s="77">
        <v>18.5</v>
      </c>
      <c r="Q740" s="92">
        <v>0</v>
      </c>
      <c r="R740" s="77">
        <v>0</v>
      </c>
      <c r="S740" s="77">
        <v>5</v>
      </c>
      <c r="T740" s="76">
        <f>STOCK[[#This Row],[Costo Unitario (USD)]]+STOCK[[#This Row],[Costo Envío (USD)]]+STOCK[[#This Row],[Comisión 10%]]</f>
        <v>27.5</v>
      </c>
      <c r="U740" s="77">
        <f>STOCK[[#This Row],[Costo total]]*1.5</f>
        <v>41.25</v>
      </c>
      <c r="V740" s="77">
        <v>40</v>
      </c>
      <c r="W740" s="77">
        <f>STOCK[[#This Row],[Precio Final]]-STOCK[[#This Row],[Costo total]]</f>
        <v>12.5</v>
      </c>
      <c r="X740" s="77">
        <f>STOCK[[#This Row],[Ganancia Unitaria]]*STOCK[[#This Row],[Salidas]]</f>
        <v>12.5</v>
      </c>
      <c r="Y740" s="77" t="s">
        <v>1470</v>
      </c>
      <c r="AA740" s="77">
        <f>STOCK[[#This Row],[Costo total]]*STOCK[[#This Row],[Entradas]]</f>
        <v>27.5</v>
      </c>
      <c r="AB740" s="77">
        <f>STOCK[[#This Row],[Stock Actual]]*STOCK[[#This Row],[Costo total]]</f>
        <v>0</v>
      </c>
    </row>
    <row r="741" s="76" customFormat="1" ht="50" hidden="1" customHeight="1" spans="1:28">
      <c r="A741" s="76" t="s">
        <v>1485</v>
      </c>
      <c r="B741" s="6"/>
      <c r="C741" s="76" t="s">
        <v>30</v>
      </c>
      <c r="D741" s="76" t="s">
        <v>151</v>
      </c>
      <c r="E741" s="76" t="s">
        <v>1486</v>
      </c>
      <c r="F741" s="76" t="s">
        <v>44</v>
      </c>
      <c r="G741" s="76" t="s">
        <v>34</v>
      </c>
      <c r="H741" s="76">
        <f>STOCK[[#This Row],[Precio Final]]</f>
        <v>35</v>
      </c>
      <c r="I741" s="76">
        <f>STOCK[[#This Row],[Precio Venta Ideal (x1.5)]]</f>
        <v>36.15</v>
      </c>
      <c r="J741" s="91">
        <v>1</v>
      </c>
      <c r="K741" s="91">
        <f>SUMIFS(VENTAS[Cantidad],VENTAS[Código del producto Vendido],STOCK[[#This Row],[Code]])</f>
        <v>1</v>
      </c>
      <c r="L741" s="91">
        <f>STOCK[[#This Row],[Entradas]]-STOCK[[#This Row],[Salidas]]</f>
        <v>0</v>
      </c>
      <c r="M741" s="76">
        <f>STOCK[[#This Row],[Precio Final]]*10%</f>
        <v>3.5</v>
      </c>
      <c r="N741" s="76">
        <v>0</v>
      </c>
      <c r="O741" s="76">
        <v>0</v>
      </c>
      <c r="P741" s="76">
        <v>15.6</v>
      </c>
      <c r="Q741" s="91">
        <v>0</v>
      </c>
      <c r="R741" s="76">
        <v>0</v>
      </c>
      <c r="S741" s="76">
        <v>5</v>
      </c>
      <c r="T741" s="76">
        <f>STOCK[[#This Row],[Costo Unitario (USD)]]+STOCK[[#This Row],[Costo Envío (USD)]]+STOCK[[#This Row],[Comisión 10%]]</f>
        <v>24.1</v>
      </c>
      <c r="U741" s="76">
        <f>STOCK[[#This Row],[Costo total]]*1.5</f>
        <v>36.15</v>
      </c>
      <c r="V741" s="76">
        <v>35</v>
      </c>
      <c r="W741" s="76">
        <f>STOCK[[#This Row],[Precio Final]]-STOCK[[#This Row],[Costo total]]</f>
        <v>10.9</v>
      </c>
      <c r="X741" s="76">
        <f>STOCK[[#This Row],[Ganancia Unitaria]]*STOCK[[#This Row],[Salidas]]</f>
        <v>10.9</v>
      </c>
      <c r="Y741" s="76" t="s">
        <v>1470</v>
      </c>
      <c r="AA741" s="76">
        <f>STOCK[[#This Row],[Costo total]]*STOCK[[#This Row],[Entradas]]</f>
        <v>24.1</v>
      </c>
      <c r="AB741" s="76">
        <f>STOCK[[#This Row],[Stock Actual]]*STOCK[[#This Row],[Costo total]]</f>
        <v>0</v>
      </c>
    </row>
    <row r="742" s="77" customFormat="1" ht="50" hidden="1" customHeight="1" spans="1:28">
      <c r="A742" s="77" t="s">
        <v>1487</v>
      </c>
      <c r="B742" s="6"/>
      <c r="C742" s="77" t="s">
        <v>30</v>
      </c>
      <c r="D742" s="77" t="s">
        <v>151</v>
      </c>
      <c r="E742" s="77" t="s">
        <v>1488</v>
      </c>
      <c r="F742" s="77" t="s">
        <v>1045</v>
      </c>
      <c r="G742" s="77" t="s">
        <v>34</v>
      </c>
      <c r="H742" s="77">
        <f>STOCK[[#This Row],[Precio Final]]</f>
        <v>20</v>
      </c>
      <c r="I742" s="77">
        <f>STOCK[[#This Row],[Precio Venta Ideal (x1.5)]]</f>
        <v>25.5</v>
      </c>
      <c r="J742" s="92">
        <v>1</v>
      </c>
      <c r="K742" s="92">
        <f>SUMIFS(VENTAS[Cantidad],VENTAS[Código del producto Vendido],STOCK[[#This Row],[Code]])</f>
        <v>2</v>
      </c>
      <c r="L742" s="92">
        <f>STOCK[[#This Row],[Entradas]]-STOCK[[#This Row],[Salidas]]</f>
        <v>-1</v>
      </c>
      <c r="M742" s="77">
        <f>STOCK[[#This Row],[Precio Final]]*10%</f>
        <v>2</v>
      </c>
      <c r="N742" s="77">
        <v>0</v>
      </c>
      <c r="O742" s="77">
        <v>0</v>
      </c>
      <c r="P742" s="77">
        <v>13.5</v>
      </c>
      <c r="Q742" s="92">
        <v>0</v>
      </c>
      <c r="R742" s="77">
        <v>0</v>
      </c>
      <c r="S742" s="77">
        <v>1.5</v>
      </c>
      <c r="T742" s="76">
        <f>STOCK[[#This Row],[Costo Unitario (USD)]]+STOCK[[#This Row],[Costo Envío (USD)]]+STOCK[[#This Row],[Comisión 10%]]</f>
        <v>17</v>
      </c>
      <c r="U742" s="77">
        <f>STOCK[[#This Row],[Costo total]]*1.5</f>
        <v>25.5</v>
      </c>
      <c r="V742" s="77">
        <v>20</v>
      </c>
      <c r="W742" s="77">
        <f>STOCK[[#This Row],[Precio Final]]-STOCK[[#This Row],[Costo total]]</f>
        <v>3</v>
      </c>
      <c r="X742" s="77">
        <f>STOCK[[#This Row],[Ganancia Unitaria]]*STOCK[[#This Row],[Salidas]]</f>
        <v>6</v>
      </c>
      <c r="Y742" s="77" t="s">
        <v>1470</v>
      </c>
      <c r="AA742" s="77">
        <f>STOCK[[#This Row],[Costo total]]*STOCK[[#This Row],[Entradas]]</f>
        <v>17</v>
      </c>
      <c r="AB742" s="77">
        <f>STOCK[[#This Row],[Stock Actual]]*STOCK[[#This Row],[Costo total]]</f>
        <v>-17</v>
      </c>
    </row>
    <row r="743" s="76" customFormat="1" ht="50" hidden="1" customHeight="1" spans="1:28">
      <c r="A743" s="76" t="s">
        <v>1489</v>
      </c>
      <c r="B743" s="6"/>
      <c r="C743" s="76" t="s">
        <v>30</v>
      </c>
      <c r="D743" s="76" t="s">
        <v>151</v>
      </c>
      <c r="E743" s="76" t="s">
        <v>1490</v>
      </c>
      <c r="F743" s="76" t="s">
        <v>47</v>
      </c>
      <c r="G743" s="76" t="s">
        <v>34</v>
      </c>
      <c r="H743" s="76">
        <f>STOCK[[#This Row],[Precio Final]]</f>
        <v>13</v>
      </c>
      <c r="I743" s="76">
        <f>STOCK[[#This Row],[Precio Venta Ideal (x1.5)]]</f>
        <v>13.2</v>
      </c>
      <c r="J743" s="91">
        <v>1</v>
      </c>
      <c r="K743" s="91">
        <f>SUMIFS(VENTAS[Cantidad],VENTAS[Código del producto Vendido],STOCK[[#This Row],[Code]])</f>
        <v>1</v>
      </c>
      <c r="L743" s="91">
        <f>STOCK[[#This Row],[Entradas]]-STOCK[[#This Row],[Salidas]]</f>
        <v>0</v>
      </c>
      <c r="M743" s="76">
        <f>STOCK[[#This Row],[Precio Final]]*10%</f>
        <v>1.3</v>
      </c>
      <c r="N743" s="76">
        <v>0</v>
      </c>
      <c r="O743" s="76">
        <v>0</v>
      </c>
      <c r="P743" s="76">
        <v>6</v>
      </c>
      <c r="Q743" s="91">
        <v>0</v>
      </c>
      <c r="R743" s="76">
        <v>0</v>
      </c>
      <c r="S743" s="76">
        <v>1.5</v>
      </c>
      <c r="T743" s="76">
        <f>STOCK[[#This Row],[Costo Unitario (USD)]]+STOCK[[#This Row],[Costo Envío (USD)]]+STOCK[[#This Row],[Comisión 10%]]</f>
        <v>8.8</v>
      </c>
      <c r="U743" s="76">
        <f>STOCK[[#This Row],[Costo total]]*1.5</f>
        <v>13.2</v>
      </c>
      <c r="V743" s="76">
        <v>13</v>
      </c>
      <c r="W743" s="76">
        <f>STOCK[[#This Row],[Precio Final]]-STOCK[[#This Row],[Costo total]]</f>
        <v>4.2</v>
      </c>
      <c r="X743" s="76">
        <f>STOCK[[#This Row],[Ganancia Unitaria]]*STOCK[[#This Row],[Salidas]]</f>
        <v>4.2</v>
      </c>
      <c r="Y743" s="76" t="s">
        <v>1470</v>
      </c>
      <c r="AA743" s="76">
        <f>STOCK[[#This Row],[Costo total]]*STOCK[[#This Row],[Entradas]]</f>
        <v>8.8</v>
      </c>
      <c r="AB743" s="76">
        <f>STOCK[[#This Row],[Stock Actual]]*STOCK[[#This Row],[Costo total]]</f>
        <v>0</v>
      </c>
    </row>
    <row r="744" s="77" customFormat="1" ht="50" hidden="1" customHeight="1" spans="1:28">
      <c r="A744" s="77" t="s">
        <v>1491</v>
      </c>
      <c r="B744" s="6"/>
      <c r="C744" s="77" t="s">
        <v>30</v>
      </c>
      <c r="D744" s="77" t="s">
        <v>173</v>
      </c>
      <c r="E744" s="77" t="s">
        <v>1492</v>
      </c>
      <c r="F744" s="77" t="s">
        <v>60</v>
      </c>
      <c r="G744" s="77" t="s">
        <v>34</v>
      </c>
      <c r="H744" s="77">
        <f>STOCK[[#This Row],[Precio Final]]</f>
        <v>12</v>
      </c>
      <c r="I744" s="77">
        <f>STOCK[[#This Row],[Precio Venta Ideal (x1.5)]]</f>
        <v>11.55</v>
      </c>
      <c r="J744" s="92">
        <v>2</v>
      </c>
      <c r="K744" s="92">
        <f>SUMIFS(VENTAS[Cantidad],VENTAS[Código del producto Vendido],STOCK[[#This Row],[Code]])</f>
        <v>0</v>
      </c>
      <c r="L744" s="92">
        <f>STOCK[[#This Row],[Entradas]]-STOCK[[#This Row],[Salidas]]</f>
        <v>2</v>
      </c>
      <c r="M744" s="77">
        <f>STOCK[[#This Row],[Precio Final]]*10%</f>
        <v>1.2</v>
      </c>
      <c r="N744" s="77">
        <v>0</v>
      </c>
      <c r="O744" s="77">
        <v>0</v>
      </c>
      <c r="P744" s="77">
        <v>5</v>
      </c>
      <c r="Q744" s="92">
        <v>0</v>
      </c>
      <c r="R744" s="77">
        <v>0</v>
      </c>
      <c r="S744" s="77">
        <v>1.5</v>
      </c>
      <c r="T744" s="76">
        <f>STOCK[[#This Row],[Costo Unitario (USD)]]+STOCK[[#This Row],[Costo Envío (USD)]]+STOCK[[#This Row],[Comisión 10%]]</f>
        <v>7.7</v>
      </c>
      <c r="U744" s="77">
        <f>STOCK[[#This Row],[Costo total]]*1.5</f>
        <v>11.55</v>
      </c>
      <c r="V744" s="77">
        <v>12</v>
      </c>
      <c r="W744" s="77">
        <f>STOCK[[#This Row],[Precio Final]]-STOCK[[#This Row],[Costo total]]</f>
        <v>4.3</v>
      </c>
      <c r="X744" s="77">
        <f>STOCK[[#This Row],[Ganancia Unitaria]]*STOCK[[#This Row],[Salidas]]</f>
        <v>0</v>
      </c>
      <c r="Y744" s="77" t="s">
        <v>1470</v>
      </c>
      <c r="AA744" s="77">
        <f>STOCK[[#This Row],[Costo total]]*STOCK[[#This Row],[Entradas]]</f>
        <v>15.4</v>
      </c>
      <c r="AB744" s="77">
        <f>STOCK[[#This Row],[Stock Actual]]*STOCK[[#This Row],[Costo total]]</f>
        <v>15.4</v>
      </c>
    </row>
    <row r="745" s="76" customFormat="1" ht="50" hidden="1" customHeight="1" spans="1:28">
      <c r="A745" s="76" t="s">
        <v>1493</v>
      </c>
      <c r="B745" s="6"/>
      <c r="C745" s="76" t="s">
        <v>30</v>
      </c>
      <c r="D745" s="76" t="s">
        <v>151</v>
      </c>
      <c r="E745" s="76" t="s">
        <v>1494</v>
      </c>
      <c r="F745" s="76" t="s">
        <v>40</v>
      </c>
      <c r="G745" s="76" t="s">
        <v>34</v>
      </c>
      <c r="H745" s="76">
        <f>STOCK[[#This Row],[Precio Final]]</f>
        <v>35</v>
      </c>
      <c r="I745" s="76">
        <f>STOCK[[#This Row],[Precio Venta Ideal (x1.5)]]</f>
        <v>40.5</v>
      </c>
      <c r="J745" s="91">
        <v>0</v>
      </c>
      <c r="K745" s="91">
        <f>SUMIFS(VENTAS[Cantidad],VENTAS[Código del producto Vendido],STOCK[[#This Row],[Code]])</f>
        <v>0</v>
      </c>
      <c r="L745" s="91">
        <f>STOCK[[#This Row],[Entradas]]-STOCK[[#This Row],[Salidas]]</f>
        <v>0</v>
      </c>
      <c r="M745" s="76">
        <f>STOCK[[#This Row],[Precio Final]]*10%</f>
        <v>3.5</v>
      </c>
      <c r="N745" s="76">
        <v>0</v>
      </c>
      <c r="O745" s="76">
        <v>0</v>
      </c>
      <c r="P745" s="76">
        <v>22</v>
      </c>
      <c r="Q745" s="91">
        <v>0</v>
      </c>
      <c r="R745" s="76">
        <v>0</v>
      </c>
      <c r="S745" s="76">
        <v>1.5</v>
      </c>
      <c r="T745" s="76">
        <f>STOCK[[#This Row],[Costo Unitario (USD)]]+STOCK[[#This Row],[Costo Envío (USD)]]+STOCK[[#This Row],[Comisión 10%]]</f>
        <v>27</v>
      </c>
      <c r="U745" s="76">
        <f>STOCK[[#This Row],[Costo total]]*1.5</f>
        <v>40.5</v>
      </c>
      <c r="V745" s="76">
        <v>35</v>
      </c>
      <c r="W745" s="76">
        <f>STOCK[[#This Row],[Precio Final]]-STOCK[[#This Row],[Costo total]]</f>
        <v>8</v>
      </c>
      <c r="X745" s="76">
        <f>STOCK[[#This Row],[Ganancia Unitaria]]*STOCK[[#This Row],[Salidas]]</f>
        <v>0</v>
      </c>
      <c r="Y745" s="76" t="s">
        <v>1470</v>
      </c>
      <c r="AA745" s="76">
        <f>STOCK[[#This Row],[Costo total]]*STOCK[[#This Row],[Entradas]]</f>
        <v>0</v>
      </c>
      <c r="AB745" s="76">
        <f>STOCK[[#This Row],[Stock Actual]]*STOCK[[#This Row],[Costo total]]</f>
        <v>0</v>
      </c>
    </row>
    <row r="746" s="77" customFormat="1" ht="50" hidden="1" customHeight="1" spans="1:28">
      <c r="A746" s="77" t="s">
        <v>1495</v>
      </c>
      <c r="B746" s="6"/>
      <c r="C746" s="77" t="s">
        <v>30</v>
      </c>
      <c r="D746" s="77" t="s">
        <v>151</v>
      </c>
      <c r="E746" s="77" t="s">
        <v>1496</v>
      </c>
      <c r="F746" s="77" t="s">
        <v>40</v>
      </c>
      <c r="G746" s="77" t="s">
        <v>34</v>
      </c>
      <c r="H746" s="77">
        <f>STOCK[[#This Row],[Precio Final]]</f>
        <v>40</v>
      </c>
      <c r="I746" s="77">
        <f>STOCK[[#This Row],[Precio Venta Ideal (x1.5)]]</f>
        <v>47.25</v>
      </c>
      <c r="J746" s="92">
        <v>0</v>
      </c>
      <c r="K746" s="92">
        <f>SUMIFS(VENTAS[Cantidad],VENTAS[Código del producto Vendido],STOCK[[#This Row],[Code]])</f>
        <v>0</v>
      </c>
      <c r="L746" s="92">
        <f>STOCK[[#This Row],[Entradas]]-STOCK[[#This Row],[Salidas]]</f>
        <v>0</v>
      </c>
      <c r="M746" s="77">
        <f>STOCK[[#This Row],[Precio Final]]*10%</f>
        <v>4</v>
      </c>
      <c r="N746" s="77">
        <v>0</v>
      </c>
      <c r="O746" s="77">
        <v>0</v>
      </c>
      <c r="P746" s="77">
        <v>26</v>
      </c>
      <c r="Q746" s="92">
        <v>0</v>
      </c>
      <c r="R746" s="77">
        <v>0</v>
      </c>
      <c r="S746" s="77">
        <v>1.5</v>
      </c>
      <c r="T746" s="76">
        <f>STOCK[[#This Row],[Costo Unitario (USD)]]+STOCK[[#This Row],[Costo Envío (USD)]]+STOCK[[#This Row],[Comisión 10%]]</f>
        <v>31.5</v>
      </c>
      <c r="U746" s="77">
        <f>STOCK[[#This Row],[Costo total]]*1.5</f>
        <v>47.25</v>
      </c>
      <c r="V746" s="77">
        <v>40</v>
      </c>
      <c r="W746" s="77">
        <f>STOCK[[#This Row],[Precio Final]]-STOCK[[#This Row],[Costo total]]</f>
        <v>8.5</v>
      </c>
      <c r="X746" s="77">
        <f>STOCK[[#This Row],[Ganancia Unitaria]]*STOCK[[#This Row],[Salidas]]</f>
        <v>0</v>
      </c>
      <c r="Y746" s="77" t="s">
        <v>1470</v>
      </c>
      <c r="AA746" s="77">
        <f>STOCK[[#This Row],[Costo total]]*STOCK[[#This Row],[Entradas]]</f>
        <v>0</v>
      </c>
      <c r="AB746" s="77">
        <f>STOCK[[#This Row],[Stock Actual]]*STOCK[[#This Row],[Costo total]]</f>
        <v>0</v>
      </c>
    </row>
    <row r="747" s="76" customFormat="1" ht="50" hidden="1" customHeight="1" spans="2:28">
      <c r="B747" s="6"/>
      <c r="H747" s="76">
        <f>STOCK[[#This Row],[Precio Final]]</f>
        <v>0</v>
      </c>
      <c r="I747" s="76">
        <f>STOCK[[#This Row],[Precio Venta Ideal (x1.5)]]</f>
        <v>0</v>
      </c>
      <c r="J747" s="91"/>
      <c r="K747" s="91">
        <f>SUMIFS(VENTAS[Cantidad],VENTAS[Código del producto Vendido],STOCK[[#This Row],[Code]])</f>
        <v>0</v>
      </c>
      <c r="L747" s="91">
        <f>STOCK[[#This Row],[Entradas]]-STOCK[[#This Row],[Salidas]]</f>
        <v>0</v>
      </c>
      <c r="M747" s="76">
        <f>STOCK[[#This Row],[Precio Final]]*10%</f>
        <v>0</v>
      </c>
      <c r="Q747" s="91">
        <v>0</v>
      </c>
      <c r="R747" s="76">
        <v>0</v>
      </c>
      <c r="T747" s="76">
        <f>STOCK[[#This Row],[Costo Unitario (USD)]]+STOCK[[#This Row],[Costo Envío (USD)]]+STOCK[[#This Row],[Comisión 10%]]</f>
        <v>0</v>
      </c>
      <c r="U747" s="76">
        <f>STOCK[[#This Row],[Costo total]]*1.5</f>
        <v>0</v>
      </c>
      <c r="W747" s="76">
        <f>STOCK[[#This Row],[Precio Final]]-STOCK[[#This Row],[Costo total]]</f>
        <v>0</v>
      </c>
      <c r="X747" s="76">
        <f>STOCK[[#This Row],[Ganancia Unitaria]]*STOCK[[#This Row],[Salidas]]</f>
        <v>0</v>
      </c>
      <c r="AA747" s="76">
        <f>STOCK[[#This Row],[Costo total]]*STOCK[[#This Row],[Entradas]]</f>
        <v>0</v>
      </c>
      <c r="AB747" s="76">
        <f>STOCK[[#This Row],[Stock Actual]]*STOCK[[#This Row],[Costo total]]</f>
        <v>0</v>
      </c>
    </row>
    <row r="748" s="77" customFormat="1" ht="50" hidden="1" customHeight="1" spans="1:28">
      <c r="A748" s="77" t="s">
        <v>1497</v>
      </c>
      <c r="B748" s="6"/>
      <c r="C748" s="77" t="s">
        <v>30</v>
      </c>
      <c r="D748" s="77" t="s">
        <v>246</v>
      </c>
      <c r="E748" s="77" t="s">
        <v>1498</v>
      </c>
      <c r="F748" s="77" t="s">
        <v>81</v>
      </c>
      <c r="G748" s="77" t="s">
        <v>34</v>
      </c>
      <c r="H748" s="77">
        <f>STOCK[[#This Row],[Precio Final]]</f>
        <v>13</v>
      </c>
      <c r="I748" s="77">
        <f>STOCK[[#This Row],[Precio Venta Ideal (x1.5)]]</f>
        <v>13.2</v>
      </c>
      <c r="J748" s="92">
        <v>1</v>
      </c>
      <c r="K748" s="92">
        <f>SUMIFS(VENTAS[Cantidad],VENTAS[Código del producto Vendido],STOCK[[#This Row],[Code]])</f>
        <v>1</v>
      </c>
      <c r="L748" s="92">
        <f>STOCK[[#This Row],[Entradas]]-STOCK[[#This Row],[Salidas]]</f>
        <v>0</v>
      </c>
      <c r="M748" s="77">
        <f>STOCK[[#This Row],[Precio Final]]*10%</f>
        <v>1.3</v>
      </c>
      <c r="N748" s="77">
        <v>0</v>
      </c>
      <c r="O748" s="77">
        <v>0</v>
      </c>
      <c r="P748" s="77">
        <v>6</v>
      </c>
      <c r="Q748" s="92">
        <v>0</v>
      </c>
      <c r="R748" s="77">
        <v>0</v>
      </c>
      <c r="S748" s="77">
        <v>1.5</v>
      </c>
      <c r="T748" s="76">
        <f>STOCK[[#This Row],[Costo Unitario (USD)]]+STOCK[[#This Row],[Costo Envío (USD)]]+STOCK[[#This Row],[Comisión 10%]]</f>
        <v>8.8</v>
      </c>
      <c r="U748" s="77">
        <f>STOCK[[#This Row],[Costo total]]*1.5</f>
        <v>13.2</v>
      </c>
      <c r="V748" s="77">
        <v>13</v>
      </c>
      <c r="W748" s="77">
        <f>STOCK[[#This Row],[Precio Final]]-STOCK[[#This Row],[Costo total]]</f>
        <v>4.2</v>
      </c>
      <c r="X748" s="77">
        <f>STOCK[[#This Row],[Ganancia Unitaria]]*STOCK[[#This Row],[Salidas]]</f>
        <v>4.2</v>
      </c>
      <c r="Y748" s="77" t="s">
        <v>1470</v>
      </c>
      <c r="AA748" s="77">
        <f>STOCK[[#This Row],[Costo total]]*STOCK[[#This Row],[Entradas]]</f>
        <v>8.8</v>
      </c>
      <c r="AB748" s="77">
        <f>STOCK[[#This Row],[Stock Actual]]*STOCK[[#This Row],[Costo total]]</f>
        <v>0</v>
      </c>
    </row>
    <row r="749" s="76" customFormat="1" ht="50" hidden="1" customHeight="1" spans="1:28">
      <c r="A749" s="76" t="s">
        <v>1499</v>
      </c>
      <c r="B749" s="6"/>
      <c r="C749" s="76" t="s">
        <v>30</v>
      </c>
      <c r="D749" s="76" t="s">
        <v>151</v>
      </c>
      <c r="E749" s="76" t="s">
        <v>1476</v>
      </c>
      <c r="F749" s="76" t="s">
        <v>539</v>
      </c>
      <c r="G749" s="76" t="s">
        <v>34</v>
      </c>
      <c r="H749" s="76">
        <f>STOCK[[#This Row],[Precio Final]]</f>
        <v>13</v>
      </c>
      <c r="I749" s="76">
        <f>STOCK[[#This Row],[Precio Venta Ideal (x1.5)]]</f>
        <v>13.2</v>
      </c>
      <c r="J749" s="91">
        <v>0</v>
      </c>
      <c r="K749" s="91">
        <f>SUMIFS(VENTAS[Cantidad],VENTAS[Código del producto Vendido],STOCK[[#This Row],[Code]])</f>
        <v>0</v>
      </c>
      <c r="L749" s="91">
        <f>STOCK[[#This Row],[Entradas]]-STOCK[[#This Row],[Salidas]]</f>
        <v>0</v>
      </c>
      <c r="M749" s="76">
        <f>STOCK[[#This Row],[Precio Final]]*10%</f>
        <v>1.3</v>
      </c>
      <c r="N749" s="76">
        <v>0</v>
      </c>
      <c r="O749" s="76">
        <v>0</v>
      </c>
      <c r="P749" s="76">
        <v>6</v>
      </c>
      <c r="Q749" s="91">
        <v>0</v>
      </c>
      <c r="R749" s="76">
        <v>0</v>
      </c>
      <c r="S749" s="76">
        <v>1.5</v>
      </c>
      <c r="T749" s="76">
        <f>STOCK[[#This Row],[Costo Unitario (USD)]]+STOCK[[#This Row],[Costo Envío (USD)]]+STOCK[[#This Row],[Comisión 10%]]</f>
        <v>8.8</v>
      </c>
      <c r="U749" s="76">
        <f>STOCK[[#This Row],[Costo total]]*1.5</f>
        <v>13.2</v>
      </c>
      <c r="V749" s="76">
        <v>13</v>
      </c>
      <c r="W749" s="76">
        <f>STOCK[[#This Row],[Precio Final]]-STOCK[[#This Row],[Costo total]]</f>
        <v>4.2</v>
      </c>
      <c r="X749" s="76">
        <f>STOCK[[#This Row],[Ganancia Unitaria]]*STOCK[[#This Row],[Salidas]]</f>
        <v>0</v>
      </c>
      <c r="Y749" s="76" t="s">
        <v>1470</v>
      </c>
      <c r="AA749" s="76">
        <f>STOCK[[#This Row],[Costo total]]*STOCK[[#This Row],[Entradas]]</f>
        <v>0</v>
      </c>
      <c r="AB749" s="76">
        <f>STOCK[[#This Row],[Stock Actual]]*STOCK[[#This Row],[Costo total]]</f>
        <v>0</v>
      </c>
    </row>
    <row r="750" s="77" customFormat="1" ht="50" hidden="1" customHeight="1" spans="1:28">
      <c r="A750" s="77" t="s">
        <v>1500</v>
      </c>
      <c r="B750" s="6"/>
      <c r="C750" s="77" t="s">
        <v>30</v>
      </c>
      <c r="D750" s="77" t="s">
        <v>151</v>
      </c>
      <c r="E750" s="77" t="s">
        <v>1501</v>
      </c>
      <c r="F750" s="77" t="s">
        <v>47</v>
      </c>
      <c r="G750" s="77" t="s">
        <v>34</v>
      </c>
      <c r="H750" s="77">
        <f>STOCK[[#This Row],[Precio Final]]</f>
        <v>25</v>
      </c>
      <c r="I750" s="77">
        <f>STOCK[[#This Row],[Precio Venta Ideal (x1.5)]]</f>
        <v>24</v>
      </c>
      <c r="J750" s="92">
        <v>1</v>
      </c>
      <c r="K750" s="92">
        <f>SUMIFS(VENTAS[Cantidad],VENTAS[Código del producto Vendido],STOCK[[#This Row],[Code]])</f>
        <v>1</v>
      </c>
      <c r="L750" s="92">
        <f>STOCK[[#This Row],[Entradas]]-STOCK[[#This Row],[Salidas]]</f>
        <v>0</v>
      </c>
      <c r="M750" s="77">
        <f>STOCK[[#This Row],[Precio Final]]*10%</f>
        <v>2.5</v>
      </c>
      <c r="N750" s="77">
        <v>0</v>
      </c>
      <c r="O750" s="77">
        <v>0</v>
      </c>
      <c r="P750" s="77">
        <v>12</v>
      </c>
      <c r="Q750" s="92">
        <v>0</v>
      </c>
      <c r="R750" s="77">
        <v>0</v>
      </c>
      <c r="S750" s="77">
        <v>1.5</v>
      </c>
      <c r="T750" s="76">
        <f>STOCK[[#This Row],[Costo Unitario (USD)]]+STOCK[[#This Row],[Costo Envío (USD)]]+STOCK[[#This Row],[Comisión 10%]]</f>
        <v>16</v>
      </c>
      <c r="U750" s="77">
        <f>STOCK[[#This Row],[Costo total]]*1.5</f>
        <v>24</v>
      </c>
      <c r="V750" s="77">
        <v>25</v>
      </c>
      <c r="W750" s="77">
        <f>STOCK[[#This Row],[Precio Final]]-STOCK[[#This Row],[Costo total]]</f>
        <v>9</v>
      </c>
      <c r="X750" s="77">
        <f>STOCK[[#This Row],[Ganancia Unitaria]]*STOCK[[#This Row],[Salidas]]</f>
        <v>9</v>
      </c>
      <c r="Y750" s="77" t="s">
        <v>1470</v>
      </c>
      <c r="AA750" s="77">
        <f>STOCK[[#This Row],[Costo total]]*STOCK[[#This Row],[Entradas]]</f>
        <v>16</v>
      </c>
      <c r="AB750" s="77">
        <f>STOCK[[#This Row],[Stock Actual]]*STOCK[[#This Row],[Costo total]]</f>
        <v>0</v>
      </c>
    </row>
    <row r="751" s="76" customFormat="1" ht="50" hidden="1" customHeight="1" spans="1:28">
      <c r="A751" s="76" t="s">
        <v>1502</v>
      </c>
      <c r="B751" s="6"/>
      <c r="C751" s="76" t="s">
        <v>30</v>
      </c>
      <c r="D751" s="76" t="s">
        <v>151</v>
      </c>
      <c r="E751" s="76" t="s">
        <v>1481</v>
      </c>
      <c r="F751" s="76" t="s">
        <v>38</v>
      </c>
      <c r="G751" s="76" t="s">
        <v>34</v>
      </c>
      <c r="H751" s="76">
        <f>STOCK[[#This Row],[Precio Final]]</f>
        <v>50</v>
      </c>
      <c r="I751" s="76">
        <f>STOCK[[#This Row],[Precio Venta Ideal (x1.5)]]</f>
        <v>47.25</v>
      </c>
      <c r="J751" s="91">
        <v>0</v>
      </c>
      <c r="K751" s="91">
        <f>SUMIFS(VENTAS[Cantidad],VENTAS[Código del producto Vendido],STOCK[[#This Row],[Code]])</f>
        <v>0</v>
      </c>
      <c r="L751" s="91">
        <f>STOCK[[#This Row],[Entradas]]-STOCK[[#This Row],[Salidas]]</f>
        <v>0</v>
      </c>
      <c r="M751" s="76">
        <f>STOCK[[#This Row],[Precio Final]]*10%</f>
        <v>5</v>
      </c>
      <c r="N751" s="76">
        <v>0</v>
      </c>
      <c r="O751" s="76">
        <v>0</v>
      </c>
      <c r="P751" s="76">
        <v>25</v>
      </c>
      <c r="Q751" s="91">
        <v>0</v>
      </c>
      <c r="R751" s="76">
        <v>0</v>
      </c>
      <c r="S751" s="76">
        <v>1.5</v>
      </c>
      <c r="T751" s="76">
        <f>STOCK[[#This Row],[Costo Unitario (USD)]]+STOCK[[#This Row],[Costo Envío (USD)]]+STOCK[[#This Row],[Comisión 10%]]</f>
        <v>31.5</v>
      </c>
      <c r="U751" s="76">
        <f>STOCK[[#This Row],[Costo total]]*1.5</f>
        <v>47.25</v>
      </c>
      <c r="V751" s="76">
        <v>50</v>
      </c>
      <c r="W751" s="76">
        <f>STOCK[[#This Row],[Precio Final]]-STOCK[[#This Row],[Costo total]]</f>
        <v>18.5</v>
      </c>
      <c r="X751" s="76">
        <f>STOCK[[#This Row],[Ganancia Unitaria]]*STOCK[[#This Row],[Salidas]]</f>
        <v>0</v>
      </c>
      <c r="Y751" s="76" t="s">
        <v>1470</v>
      </c>
      <c r="AA751" s="76">
        <f>STOCK[[#This Row],[Costo total]]*STOCK[[#This Row],[Entradas]]</f>
        <v>0</v>
      </c>
      <c r="AB751" s="76">
        <f>STOCK[[#This Row],[Stock Actual]]*STOCK[[#This Row],[Costo total]]</f>
        <v>0</v>
      </c>
    </row>
    <row r="752" s="77" customFormat="1" ht="50" hidden="1" customHeight="1" spans="1:28">
      <c r="A752" s="77" t="s">
        <v>1503</v>
      </c>
      <c r="B752" s="6"/>
      <c r="C752" s="77" t="s">
        <v>30</v>
      </c>
      <c r="D752" s="77" t="s">
        <v>173</v>
      </c>
      <c r="E752" s="77" t="s">
        <v>1169</v>
      </c>
      <c r="F752" s="77" t="s">
        <v>210</v>
      </c>
      <c r="G752" s="77" t="s">
        <v>34</v>
      </c>
      <c r="H752" s="77">
        <f>STOCK[[#This Row],[Precio Final]]</f>
        <v>13</v>
      </c>
      <c r="I752" s="77">
        <f>STOCK[[#This Row],[Precio Venta Ideal (x1.5)]]</f>
        <v>13.2</v>
      </c>
      <c r="J752" s="92">
        <v>3</v>
      </c>
      <c r="K752" s="92">
        <f>SUMIFS(VENTAS[Cantidad],VENTAS[Código del producto Vendido],STOCK[[#This Row],[Code]])</f>
        <v>3</v>
      </c>
      <c r="L752" s="92">
        <f>STOCK[[#This Row],[Entradas]]-STOCK[[#This Row],[Salidas]]</f>
        <v>0</v>
      </c>
      <c r="M752" s="77">
        <f>STOCK[[#This Row],[Precio Final]]*10%</f>
        <v>1.3</v>
      </c>
      <c r="N752" s="77">
        <v>0</v>
      </c>
      <c r="O752" s="77">
        <v>0</v>
      </c>
      <c r="P752" s="77">
        <v>6</v>
      </c>
      <c r="Q752" s="92">
        <v>0</v>
      </c>
      <c r="R752" s="77">
        <v>0</v>
      </c>
      <c r="S752" s="77">
        <v>1.5</v>
      </c>
      <c r="T752" s="76">
        <f>STOCK[[#This Row],[Costo Unitario (USD)]]+STOCK[[#This Row],[Costo Envío (USD)]]+STOCK[[#This Row],[Comisión 10%]]</f>
        <v>8.8</v>
      </c>
      <c r="U752" s="77">
        <f>STOCK[[#This Row],[Costo total]]*1.5</f>
        <v>13.2</v>
      </c>
      <c r="V752" s="77">
        <v>13</v>
      </c>
      <c r="W752" s="77">
        <f>STOCK[[#This Row],[Precio Final]]-STOCK[[#This Row],[Costo total]]</f>
        <v>4.2</v>
      </c>
      <c r="X752" s="77">
        <f>STOCK[[#This Row],[Ganancia Unitaria]]*STOCK[[#This Row],[Salidas]]</f>
        <v>12.6</v>
      </c>
      <c r="Y752" s="77" t="s">
        <v>1470</v>
      </c>
      <c r="AA752" s="77">
        <f>STOCK[[#This Row],[Costo total]]*STOCK[[#This Row],[Entradas]]</f>
        <v>26.4</v>
      </c>
      <c r="AB752" s="77">
        <f>STOCK[[#This Row],[Stock Actual]]*STOCK[[#This Row],[Costo total]]</f>
        <v>0</v>
      </c>
    </row>
    <row r="753" s="76" customFormat="1" ht="50" hidden="1" customHeight="1" spans="1:28">
      <c r="A753" s="76" t="s">
        <v>1504</v>
      </c>
      <c r="B753" s="6"/>
      <c r="C753" s="76" t="s">
        <v>30</v>
      </c>
      <c r="D753" s="76" t="s">
        <v>42</v>
      </c>
      <c r="E753" s="76" t="s">
        <v>1505</v>
      </c>
      <c r="F753" s="76" t="s">
        <v>38</v>
      </c>
      <c r="G753" s="76" t="s">
        <v>34</v>
      </c>
      <c r="H753" s="76">
        <f>STOCK[[#This Row],[Precio Final]]</f>
        <v>25</v>
      </c>
      <c r="I753" s="76">
        <f>STOCK[[#This Row],[Precio Venta Ideal (x1.5)]]</f>
        <v>21</v>
      </c>
      <c r="J753" s="91">
        <v>1</v>
      </c>
      <c r="K753" s="91">
        <f>SUMIFS(VENTAS[Cantidad],VENTAS[Código del producto Vendido],STOCK[[#This Row],[Code]])</f>
        <v>1</v>
      </c>
      <c r="L753" s="91">
        <f>STOCK[[#This Row],[Entradas]]-STOCK[[#This Row],[Salidas]]</f>
        <v>0</v>
      </c>
      <c r="M753" s="76">
        <f>STOCK[[#This Row],[Precio Final]]*10%</f>
        <v>2.5</v>
      </c>
      <c r="N753" s="76">
        <v>0</v>
      </c>
      <c r="O753" s="76">
        <v>0</v>
      </c>
      <c r="P753" s="76">
        <v>10</v>
      </c>
      <c r="Q753" s="91">
        <v>0</v>
      </c>
      <c r="R753" s="76">
        <v>0</v>
      </c>
      <c r="S753" s="76">
        <v>1.5</v>
      </c>
      <c r="T753" s="76">
        <f>STOCK[[#This Row],[Costo Unitario (USD)]]+STOCK[[#This Row],[Costo Envío (USD)]]+STOCK[[#This Row],[Comisión 10%]]</f>
        <v>14</v>
      </c>
      <c r="U753" s="76">
        <f>STOCK[[#This Row],[Costo total]]*1.5</f>
        <v>21</v>
      </c>
      <c r="V753" s="76">
        <v>25</v>
      </c>
      <c r="W753" s="76">
        <f>STOCK[[#This Row],[Precio Final]]-STOCK[[#This Row],[Costo total]]</f>
        <v>11</v>
      </c>
      <c r="X753" s="76">
        <f>STOCK[[#This Row],[Ganancia Unitaria]]*STOCK[[#This Row],[Salidas]]</f>
        <v>11</v>
      </c>
      <c r="Y753" s="76" t="s">
        <v>1470</v>
      </c>
      <c r="AA753" s="76">
        <f>STOCK[[#This Row],[Costo total]]*STOCK[[#This Row],[Entradas]]</f>
        <v>14</v>
      </c>
      <c r="AB753" s="76">
        <f>STOCK[[#This Row],[Stock Actual]]*STOCK[[#This Row],[Costo total]]</f>
        <v>0</v>
      </c>
    </row>
    <row r="754" s="77" customFormat="1" ht="50" hidden="1" customHeight="1" spans="1:28">
      <c r="A754" s="77" t="s">
        <v>1506</v>
      </c>
      <c r="B754" s="6"/>
      <c r="C754" s="77" t="s">
        <v>30</v>
      </c>
      <c r="D754" s="77" t="s">
        <v>173</v>
      </c>
      <c r="E754" s="77" t="s">
        <v>1476</v>
      </c>
      <c r="F754" s="77" t="s">
        <v>47</v>
      </c>
      <c r="G754" s="77" t="s">
        <v>34</v>
      </c>
      <c r="H754" s="77">
        <f>STOCK[[#This Row],[Precio Final]]</f>
        <v>6</v>
      </c>
      <c r="I754" s="77">
        <f>STOCK[[#This Row],[Precio Venta Ideal (x1.5)]]</f>
        <v>3.15</v>
      </c>
      <c r="J754" s="92">
        <v>1</v>
      </c>
      <c r="K754" s="92">
        <f>SUMIFS(VENTAS[Cantidad],VENTAS[Código del producto Vendido],STOCK[[#This Row],[Code]])</f>
        <v>1</v>
      </c>
      <c r="L754" s="92">
        <f>STOCK[[#This Row],[Entradas]]-STOCK[[#This Row],[Salidas]]</f>
        <v>0</v>
      </c>
      <c r="M754" s="77">
        <f>STOCK[[#This Row],[Precio Final]]*10%</f>
        <v>0.6</v>
      </c>
      <c r="N754" s="77">
        <v>0</v>
      </c>
      <c r="O754" s="77">
        <v>0</v>
      </c>
      <c r="P754" s="77">
        <v>0</v>
      </c>
      <c r="Q754" s="92">
        <v>0</v>
      </c>
      <c r="R754" s="77">
        <v>0</v>
      </c>
      <c r="S754" s="77">
        <v>1.5</v>
      </c>
      <c r="T754" s="76">
        <f>STOCK[[#This Row],[Costo Unitario (USD)]]+STOCK[[#This Row],[Costo Envío (USD)]]+STOCK[[#This Row],[Comisión 10%]]</f>
        <v>2.1</v>
      </c>
      <c r="U754" s="77">
        <f>STOCK[[#This Row],[Costo total]]*1.5</f>
        <v>3.15</v>
      </c>
      <c r="V754" s="77">
        <v>6</v>
      </c>
      <c r="W754" s="77">
        <f>STOCK[[#This Row],[Precio Final]]-STOCK[[#This Row],[Costo total]]</f>
        <v>3.9</v>
      </c>
      <c r="X754" s="77">
        <f>STOCK[[#This Row],[Ganancia Unitaria]]*STOCK[[#This Row],[Salidas]]</f>
        <v>3.9</v>
      </c>
      <c r="Y754" s="77" t="s">
        <v>1470</v>
      </c>
      <c r="AA754" s="77">
        <f>STOCK[[#This Row],[Costo total]]*STOCK[[#This Row],[Entradas]]</f>
        <v>2.1</v>
      </c>
      <c r="AB754" s="77">
        <f>STOCK[[#This Row],[Stock Actual]]*STOCK[[#This Row],[Costo total]]</f>
        <v>0</v>
      </c>
    </row>
    <row r="755" s="76" customFormat="1" ht="50" hidden="1" customHeight="1" spans="1:28">
      <c r="A755" s="76" t="s">
        <v>1507</v>
      </c>
      <c r="B755" s="6"/>
      <c r="C755" s="76" t="s">
        <v>30</v>
      </c>
      <c r="D755" s="76" t="s">
        <v>151</v>
      </c>
      <c r="E755" s="76" t="s">
        <v>1508</v>
      </c>
      <c r="F755" s="76" t="s">
        <v>210</v>
      </c>
      <c r="G755" s="76" t="s">
        <v>34</v>
      </c>
      <c r="H755" s="76">
        <f>STOCK[[#This Row],[Precio Final]]</f>
        <v>30</v>
      </c>
      <c r="I755" s="76">
        <f>STOCK[[#This Row],[Precio Venta Ideal (x1.5)]]</f>
        <v>29.25</v>
      </c>
      <c r="J755" s="91">
        <v>1</v>
      </c>
      <c r="K755" s="91">
        <f>SUMIFS(VENTAS[Cantidad],VENTAS[Código del producto Vendido],STOCK[[#This Row],[Code]])</f>
        <v>1</v>
      </c>
      <c r="L755" s="91">
        <f>STOCK[[#This Row],[Entradas]]-STOCK[[#This Row],[Salidas]]</f>
        <v>0</v>
      </c>
      <c r="M755" s="76">
        <f>STOCK[[#This Row],[Precio Final]]*10%</f>
        <v>3</v>
      </c>
      <c r="N755" s="76">
        <v>0</v>
      </c>
      <c r="O755" s="76">
        <v>0</v>
      </c>
      <c r="P755" s="76">
        <v>15</v>
      </c>
      <c r="Q755" s="91">
        <v>0</v>
      </c>
      <c r="R755" s="76">
        <v>0</v>
      </c>
      <c r="S755" s="76">
        <v>1.5</v>
      </c>
      <c r="T755" s="76">
        <f>STOCK[[#This Row],[Costo Unitario (USD)]]+STOCK[[#This Row],[Costo Envío (USD)]]+STOCK[[#This Row],[Comisión 10%]]</f>
        <v>19.5</v>
      </c>
      <c r="U755" s="76">
        <f>STOCK[[#This Row],[Costo total]]*1.5</f>
        <v>29.25</v>
      </c>
      <c r="V755" s="76">
        <v>30</v>
      </c>
      <c r="W755" s="76">
        <f>STOCK[[#This Row],[Precio Final]]-STOCK[[#This Row],[Costo total]]</f>
        <v>10.5</v>
      </c>
      <c r="X755" s="76">
        <f>STOCK[[#This Row],[Ganancia Unitaria]]*STOCK[[#This Row],[Salidas]]</f>
        <v>10.5</v>
      </c>
      <c r="Y755" s="76" t="s">
        <v>1470</v>
      </c>
      <c r="AA755" s="76">
        <f>STOCK[[#This Row],[Costo total]]*STOCK[[#This Row],[Entradas]]</f>
        <v>19.5</v>
      </c>
      <c r="AB755" s="76">
        <f>STOCK[[#This Row],[Stock Actual]]*STOCK[[#This Row],[Costo total]]</f>
        <v>0</v>
      </c>
    </row>
    <row r="756" s="77" customFormat="1" ht="50" hidden="1" customHeight="1" spans="1:28">
      <c r="A756" s="77" t="s">
        <v>1509</v>
      </c>
      <c r="B756" s="6"/>
      <c r="C756" s="77" t="s">
        <v>30</v>
      </c>
      <c r="D756" s="77" t="s">
        <v>151</v>
      </c>
      <c r="E756" s="77" t="s">
        <v>1508</v>
      </c>
      <c r="F756" s="77" t="s">
        <v>60</v>
      </c>
      <c r="G756" s="77" t="s">
        <v>34</v>
      </c>
      <c r="H756" s="77">
        <f>STOCK[[#This Row],[Precio Final]]</f>
        <v>30</v>
      </c>
      <c r="I756" s="77">
        <f>STOCK[[#This Row],[Precio Venta Ideal (x1.5)]]</f>
        <v>29.25</v>
      </c>
      <c r="J756" s="92">
        <v>1</v>
      </c>
      <c r="K756" s="92">
        <f>SUMIFS(VENTAS[Cantidad],VENTAS[Código del producto Vendido],STOCK[[#This Row],[Code]])</f>
        <v>1</v>
      </c>
      <c r="L756" s="92">
        <f>STOCK[[#This Row],[Entradas]]-STOCK[[#This Row],[Salidas]]</f>
        <v>0</v>
      </c>
      <c r="M756" s="77">
        <f>STOCK[[#This Row],[Precio Final]]*10%</f>
        <v>3</v>
      </c>
      <c r="N756" s="77">
        <v>0</v>
      </c>
      <c r="O756" s="77">
        <v>0</v>
      </c>
      <c r="P756" s="77">
        <v>15</v>
      </c>
      <c r="Q756" s="92">
        <v>0</v>
      </c>
      <c r="R756" s="77">
        <v>0</v>
      </c>
      <c r="S756" s="77">
        <v>1.5</v>
      </c>
      <c r="T756" s="76">
        <f>STOCK[[#This Row],[Costo Unitario (USD)]]+STOCK[[#This Row],[Costo Envío (USD)]]+STOCK[[#This Row],[Comisión 10%]]</f>
        <v>19.5</v>
      </c>
      <c r="U756" s="77">
        <f>STOCK[[#This Row],[Costo total]]*1.5</f>
        <v>29.25</v>
      </c>
      <c r="V756" s="77">
        <v>30</v>
      </c>
      <c r="W756" s="77">
        <f>STOCK[[#This Row],[Precio Final]]-STOCK[[#This Row],[Costo total]]</f>
        <v>10.5</v>
      </c>
      <c r="X756" s="77">
        <f>STOCK[[#This Row],[Ganancia Unitaria]]*STOCK[[#This Row],[Salidas]]</f>
        <v>10.5</v>
      </c>
      <c r="Y756" s="77" t="s">
        <v>1470</v>
      </c>
      <c r="AA756" s="77">
        <f>STOCK[[#This Row],[Costo total]]*STOCK[[#This Row],[Entradas]]</f>
        <v>19.5</v>
      </c>
      <c r="AB756" s="77">
        <f>STOCK[[#This Row],[Stock Actual]]*STOCK[[#This Row],[Costo total]]</f>
        <v>0</v>
      </c>
    </row>
    <row r="757" s="76" customFormat="1" ht="50" hidden="1" customHeight="1" spans="1:28">
      <c r="A757" s="76" t="s">
        <v>1510</v>
      </c>
      <c r="B757" s="6"/>
      <c r="C757" s="76" t="s">
        <v>30</v>
      </c>
      <c r="D757" s="76" t="s">
        <v>151</v>
      </c>
      <c r="E757" s="76" t="s">
        <v>1511</v>
      </c>
      <c r="F757" s="76" t="s">
        <v>47</v>
      </c>
      <c r="G757" s="76" t="s">
        <v>34</v>
      </c>
      <c r="H757" s="76">
        <f>STOCK[[#This Row],[Precio Final]]</f>
        <v>30</v>
      </c>
      <c r="I757" s="76">
        <f>STOCK[[#This Row],[Precio Venta Ideal (x1.5)]]</f>
        <v>29.25</v>
      </c>
      <c r="J757" s="91">
        <v>1</v>
      </c>
      <c r="K757" s="91">
        <f>SUMIFS(VENTAS[Cantidad],VENTAS[Código del producto Vendido],STOCK[[#This Row],[Code]])</f>
        <v>1</v>
      </c>
      <c r="L757" s="91">
        <f>STOCK[[#This Row],[Entradas]]-STOCK[[#This Row],[Salidas]]</f>
        <v>0</v>
      </c>
      <c r="M757" s="76">
        <f>STOCK[[#This Row],[Precio Final]]*10%</f>
        <v>3</v>
      </c>
      <c r="N757" s="76">
        <v>0</v>
      </c>
      <c r="O757" s="76">
        <v>0</v>
      </c>
      <c r="P757" s="76">
        <v>15</v>
      </c>
      <c r="Q757" s="91">
        <v>0</v>
      </c>
      <c r="R757" s="76">
        <v>0</v>
      </c>
      <c r="S757" s="76">
        <v>1.5</v>
      </c>
      <c r="T757" s="76">
        <f>STOCK[[#This Row],[Costo Unitario (USD)]]+STOCK[[#This Row],[Costo Envío (USD)]]+STOCK[[#This Row],[Comisión 10%]]</f>
        <v>19.5</v>
      </c>
      <c r="U757" s="76">
        <f>STOCK[[#This Row],[Costo total]]*1.5</f>
        <v>29.25</v>
      </c>
      <c r="V757" s="76">
        <v>30</v>
      </c>
      <c r="W757" s="76">
        <f>STOCK[[#This Row],[Precio Final]]-STOCK[[#This Row],[Costo total]]</f>
        <v>10.5</v>
      </c>
      <c r="X757" s="76">
        <f>STOCK[[#This Row],[Ganancia Unitaria]]*STOCK[[#This Row],[Salidas]]</f>
        <v>10.5</v>
      </c>
      <c r="Y757" s="76" t="s">
        <v>1470</v>
      </c>
      <c r="AA757" s="76">
        <f>STOCK[[#This Row],[Costo total]]*STOCK[[#This Row],[Entradas]]</f>
        <v>19.5</v>
      </c>
      <c r="AB757" s="76">
        <f>STOCK[[#This Row],[Stock Actual]]*STOCK[[#This Row],[Costo total]]</f>
        <v>0</v>
      </c>
    </row>
    <row r="758" s="77" customFormat="1" ht="50" hidden="1" customHeight="1" spans="1:28">
      <c r="A758" s="77" t="s">
        <v>1512</v>
      </c>
      <c r="B758" s="6"/>
      <c r="C758" s="77" t="s">
        <v>30</v>
      </c>
      <c r="D758" s="77" t="s">
        <v>173</v>
      </c>
      <c r="E758" s="77" t="s">
        <v>1513</v>
      </c>
      <c r="F758" s="77" t="s">
        <v>1514</v>
      </c>
      <c r="G758" s="77" t="s">
        <v>34</v>
      </c>
      <c r="H758" s="77">
        <f>STOCK[[#This Row],[Precio Final]]</f>
        <v>19</v>
      </c>
      <c r="I758" s="77">
        <f>STOCK[[#This Row],[Precio Venta Ideal (x1.5)]]</f>
        <v>24.9</v>
      </c>
      <c r="J758" s="92">
        <v>0</v>
      </c>
      <c r="K758" s="92">
        <f>SUMIFS(VENTAS[Cantidad],VENTAS[Código del producto Vendido],STOCK[[#This Row],[Code]])</f>
        <v>0</v>
      </c>
      <c r="L758" s="92">
        <f>STOCK[[#This Row],[Entradas]]-STOCK[[#This Row],[Salidas]]</f>
        <v>0</v>
      </c>
      <c r="M758" s="77">
        <f>STOCK[[#This Row],[Precio Final]]*10%</f>
        <v>1.9</v>
      </c>
      <c r="N758" s="77">
        <v>0</v>
      </c>
      <c r="O758" s="77">
        <v>0</v>
      </c>
      <c r="P758" s="77">
        <v>13.2</v>
      </c>
      <c r="Q758" s="92">
        <v>0</v>
      </c>
      <c r="R758" s="77">
        <v>0</v>
      </c>
      <c r="S758" s="77">
        <v>1.5</v>
      </c>
      <c r="T758" s="76">
        <f>STOCK[[#This Row],[Costo Unitario (USD)]]+STOCK[[#This Row],[Costo Envío (USD)]]+STOCK[[#This Row],[Comisión 10%]]</f>
        <v>16.6</v>
      </c>
      <c r="U758" s="77">
        <f>STOCK[[#This Row],[Costo total]]*1.5</f>
        <v>24.9</v>
      </c>
      <c r="V758" s="77">
        <v>19</v>
      </c>
      <c r="W758" s="77">
        <f>STOCK[[#This Row],[Precio Final]]-STOCK[[#This Row],[Costo total]]</f>
        <v>2.4</v>
      </c>
      <c r="X758" s="77">
        <f>STOCK[[#This Row],[Ganancia Unitaria]]*STOCK[[#This Row],[Salidas]]</f>
        <v>0</v>
      </c>
      <c r="Y758" s="77" t="s">
        <v>1470</v>
      </c>
      <c r="AA758" s="77">
        <f>STOCK[[#This Row],[Costo total]]*STOCK[[#This Row],[Entradas]]</f>
        <v>0</v>
      </c>
      <c r="AB758" s="77">
        <f>STOCK[[#This Row],[Stock Actual]]*STOCK[[#This Row],[Costo total]]</f>
        <v>0</v>
      </c>
    </row>
    <row r="759" s="76" customFormat="1" ht="50" hidden="1" customHeight="1" spans="1:28">
      <c r="A759" s="76" t="s">
        <v>1515</v>
      </c>
      <c r="B759" s="6"/>
      <c r="C759" s="76" t="s">
        <v>30</v>
      </c>
      <c r="D759" s="76" t="s">
        <v>151</v>
      </c>
      <c r="E759" s="76" t="s">
        <v>1472</v>
      </c>
      <c r="F759" s="76" t="s">
        <v>60</v>
      </c>
      <c r="G759" s="76" t="s">
        <v>34</v>
      </c>
      <c r="H759" s="76">
        <f>STOCK[[#This Row],[Precio Final]]</f>
        <v>12</v>
      </c>
      <c r="I759" s="76">
        <f>STOCK[[#This Row],[Precio Venta Ideal (x1.5)]]</f>
        <v>13.05</v>
      </c>
      <c r="J759" s="91">
        <v>0</v>
      </c>
      <c r="K759" s="91">
        <f>SUMIFS(VENTAS[Cantidad],VENTAS[Código del producto Vendido],STOCK[[#This Row],[Code]])</f>
        <v>0</v>
      </c>
      <c r="L759" s="91">
        <f>STOCK[[#This Row],[Entradas]]-STOCK[[#This Row],[Salidas]]</f>
        <v>0</v>
      </c>
      <c r="M759" s="76">
        <f>STOCK[[#This Row],[Precio Final]]*10%</f>
        <v>1.2</v>
      </c>
      <c r="N759" s="76">
        <v>0</v>
      </c>
      <c r="O759" s="76">
        <v>0</v>
      </c>
      <c r="P759" s="76">
        <v>6</v>
      </c>
      <c r="Q759" s="91">
        <v>0</v>
      </c>
      <c r="R759" s="76">
        <v>0</v>
      </c>
      <c r="S759" s="76">
        <v>1.5</v>
      </c>
      <c r="T759" s="76">
        <f>STOCK[[#This Row],[Costo Unitario (USD)]]+STOCK[[#This Row],[Costo Envío (USD)]]+STOCK[[#This Row],[Comisión 10%]]</f>
        <v>8.7</v>
      </c>
      <c r="U759" s="76">
        <f>STOCK[[#This Row],[Costo total]]*1.5</f>
        <v>13.05</v>
      </c>
      <c r="V759" s="76">
        <v>12</v>
      </c>
      <c r="W759" s="76">
        <f>STOCK[[#This Row],[Precio Final]]-STOCK[[#This Row],[Costo total]]</f>
        <v>3.3</v>
      </c>
      <c r="X759" s="76">
        <f>STOCK[[#This Row],[Ganancia Unitaria]]*STOCK[[#This Row],[Salidas]]</f>
        <v>0</v>
      </c>
      <c r="Y759" s="76" t="s">
        <v>1470</v>
      </c>
      <c r="AA759" s="76">
        <f>STOCK[[#This Row],[Costo total]]*STOCK[[#This Row],[Entradas]]</f>
        <v>0</v>
      </c>
      <c r="AB759" s="76">
        <f>STOCK[[#This Row],[Stock Actual]]*STOCK[[#This Row],[Costo total]]</f>
        <v>0</v>
      </c>
    </row>
    <row r="760" s="77" customFormat="1" ht="50" hidden="1" customHeight="1" spans="1:28">
      <c r="A760" s="77" t="s">
        <v>1516</v>
      </c>
      <c r="B760" s="6"/>
      <c r="C760" s="77" t="s">
        <v>30</v>
      </c>
      <c r="D760" s="77" t="s">
        <v>173</v>
      </c>
      <c r="E760" s="77" t="s">
        <v>1517</v>
      </c>
      <c r="F760" s="77" t="s">
        <v>38</v>
      </c>
      <c r="G760" s="77" t="s">
        <v>34</v>
      </c>
      <c r="H760" s="77">
        <f>STOCK[[#This Row],[Precio Final]]</f>
        <v>25</v>
      </c>
      <c r="I760" s="77">
        <f>STOCK[[#This Row],[Precio Venta Ideal (x1.5)]]</f>
        <v>24</v>
      </c>
      <c r="J760" s="92">
        <v>2</v>
      </c>
      <c r="K760" s="92">
        <f>SUMIFS(VENTAS[Cantidad],VENTAS[Código del producto Vendido],STOCK[[#This Row],[Code]])</f>
        <v>2</v>
      </c>
      <c r="L760" s="92">
        <f>STOCK[[#This Row],[Entradas]]-STOCK[[#This Row],[Salidas]]</f>
        <v>0</v>
      </c>
      <c r="M760" s="77">
        <f>STOCK[[#This Row],[Precio Final]]*10%</f>
        <v>2.5</v>
      </c>
      <c r="N760" s="77">
        <v>0</v>
      </c>
      <c r="O760" s="77">
        <v>0</v>
      </c>
      <c r="P760" s="77">
        <v>12</v>
      </c>
      <c r="Q760" s="92">
        <v>0</v>
      </c>
      <c r="R760" s="77">
        <v>0</v>
      </c>
      <c r="S760" s="77">
        <v>1.5</v>
      </c>
      <c r="T760" s="76">
        <f>STOCK[[#This Row],[Costo Unitario (USD)]]+STOCK[[#This Row],[Costo Envío (USD)]]+STOCK[[#This Row],[Comisión 10%]]</f>
        <v>16</v>
      </c>
      <c r="U760" s="77">
        <f>STOCK[[#This Row],[Costo total]]*1.5</f>
        <v>24</v>
      </c>
      <c r="V760" s="77">
        <v>25</v>
      </c>
      <c r="W760" s="77">
        <f>STOCK[[#This Row],[Precio Final]]-STOCK[[#This Row],[Costo total]]</f>
        <v>9</v>
      </c>
      <c r="X760" s="77">
        <f>STOCK[[#This Row],[Ganancia Unitaria]]*STOCK[[#This Row],[Salidas]]</f>
        <v>18</v>
      </c>
      <c r="Y760" s="77" t="s">
        <v>1470</v>
      </c>
      <c r="AA760" s="77">
        <f>STOCK[[#This Row],[Costo total]]*STOCK[[#This Row],[Entradas]]</f>
        <v>32</v>
      </c>
      <c r="AB760" s="77">
        <f>STOCK[[#This Row],[Stock Actual]]*STOCK[[#This Row],[Costo total]]</f>
        <v>0</v>
      </c>
    </row>
    <row r="761" s="76" customFormat="1" ht="50" hidden="1" customHeight="1" spans="1:28">
      <c r="A761" s="76" t="s">
        <v>1518</v>
      </c>
      <c r="B761" s="6"/>
      <c r="C761" s="76" t="s">
        <v>30</v>
      </c>
      <c r="D761" s="76" t="s">
        <v>173</v>
      </c>
      <c r="E761" s="76" t="s">
        <v>1517</v>
      </c>
      <c r="F761" s="76" t="s">
        <v>47</v>
      </c>
      <c r="G761" s="76" t="s">
        <v>34</v>
      </c>
      <c r="H761" s="76">
        <f>STOCK[[#This Row],[Precio Final]]</f>
        <v>25</v>
      </c>
      <c r="I761" s="76">
        <f>STOCK[[#This Row],[Precio Venta Ideal (x1.5)]]</f>
        <v>24</v>
      </c>
      <c r="J761" s="91">
        <v>1</v>
      </c>
      <c r="K761" s="91">
        <f>SUMIFS(VENTAS[Cantidad],VENTAS[Código del producto Vendido],STOCK[[#This Row],[Code]])</f>
        <v>1</v>
      </c>
      <c r="L761" s="91">
        <f>STOCK[[#This Row],[Entradas]]-STOCK[[#This Row],[Salidas]]</f>
        <v>0</v>
      </c>
      <c r="M761" s="76">
        <f>STOCK[[#This Row],[Precio Final]]*10%</f>
        <v>2.5</v>
      </c>
      <c r="N761" s="76">
        <v>0</v>
      </c>
      <c r="O761" s="76">
        <v>0</v>
      </c>
      <c r="P761" s="76">
        <v>12</v>
      </c>
      <c r="Q761" s="91">
        <v>0</v>
      </c>
      <c r="R761" s="76">
        <v>0</v>
      </c>
      <c r="S761" s="76">
        <v>1.5</v>
      </c>
      <c r="T761" s="76">
        <f>STOCK[[#This Row],[Costo Unitario (USD)]]+STOCK[[#This Row],[Costo Envío (USD)]]+STOCK[[#This Row],[Comisión 10%]]</f>
        <v>16</v>
      </c>
      <c r="U761" s="76">
        <f>STOCK[[#This Row],[Costo total]]*1.5</f>
        <v>24</v>
      </c>
      <c r="V761" s="76">
        <v>25</v>
      </c>
      <c r="W761" s="76">
        <f>STOCK[[#This Row],[Precio Final]]-STOCK[[#This Row],[Costo total]]</f>
        <v>9</v>
      </c>
      <c r="X761" s="76">
        <f>STOCK[[#This Row],[Ganancia Unitaria]]*STOCK[[#This Row],[Salidas]]</f>
        <v>9</v>
      </c>
      <c r="Y761" s="76" t="s">
        <v>1470</v>
      </c>
      <c r="AA761" s="76">
        <f>STOCK[[#This Row],[Costo total]]*STOCK[[#This Row],[Entradas]]</f>
        <v>16</v>
      </c>
      <c r="AB761" s="76">
        <f>STOCK[[#This Row],[Stock Actual]]*STOCK[[#This Row],[Costo total]]</f>
        <v>0</v>
      </c>
    </row>
    <row r="762" s="77" customFormat="1" ht="50" hidden="1" customHeight="1" spans="1:28">
      <c r="A762" s="77" t="s">
        <v>1519</v>
      </c>
      <c r="B762" s="6"/>
      <c r="C762" s="77" t="s">
        <v>30</v>
      </c>
      <c r="D762" s="77" t="s">
        <v>151</v>
      </c>
      <c r="E762" s="77" t="s">
        <v>1520</v>
      </c>
      <c r="F762" s="77" t="s">
        <v>38</v>
      </c>
      <c r="G762" s="77" t="s">
        <v>34</v>
      </c>
      <c r="H762" s="77">
        <f>STOCK[[#This Row],[Precio Final]]</f>
        <v>35</v>
      </c>
      <c r="I762" s="77">
        <f>STOCK[[#This Row],[Precio Venta Ideal (x1.5)]]</f>
        <v>33</v>
      </c>
      <c r="J762" s="92">
        <v>1</v>
      </c>
      <c r="K762" s="92">
        <f>SUMIFS(VENTAS[Cantidad],VENTAS[Código del producto Vendido],STOCK[[#This Row],[Code]])</f>
        <v>1</v>
      </c>
      <c r="L762" s="92">
        <f>STOCK[[#This Row],[Entradas]]-STOCK[[#This Row],[Salidas]]</f>
        <v>0</v>
      </c>
      <c r="M762" s="77">
        <f>STOCK[[#This Row],[Precio Final]]*10%</f>
        <v>3.5</v>
      </c>
      <c r="N762" s="77">
        <v>0</v>
      </c>
      <c r="O762" s="77">
        <v>0</v>
      </c>
      <c r="P762" s="77">
        <v>17</v>
      </c>
      <c r="Q762" s="92">
        <v>0</v>
      </c>
      <c r="R762" s="77">
        <v>0</v>
      </c>
      <c r="S762" s="77">
        <v>1.5</v>
      </c>
      <c r="T762" s="76">
        <f>STOCK[[#This Row],[Costo Unitario (USD)]]+STOCK[[#This Row],[Costo Envío (USD)]]+STOCK[[#This Row],[Comisión 10%]]</f>
        <v>22</v>
      </c>
      <c r="U762" s="77">
        <f>STOCK[[#This Row],[Costo total]]*1.5</f>
        <v>33</v>
      </c>
      <c r="V762" s="77">
        <v>35</v>
      </c>
      <c r="W762" s="77">
        <f>STOCK[[#This Row],[Precio Final]]-STOCK[[#This Row],[Costo total]]</f>
        <v>13</v>
      </c>
      <c r="X762" s="77">
        <f>STOCK[[#This Row],[Ganancia Unitaria]]*STOCK[[#This Row],[Salidas]]</f>
        <v>13</v>
      </c>
      <c r="Y762" s="77" t="s">
        <v>1470</v>
      </c>
      <c r="AA762" s="77">
        <f>STOCK[[#This Row],[Costo total]]*STOCK[[#This Row],[Entradas]]</f>
        <v>22</v>
      </c>
      <c r="AB762" s="77">
        <f>STOCK[[#This Row],[Stock Actual]]*STOCK[[#This Row],[Costo total]]</f>
        <v>0</v>
      </c>
    </row>
    <row r="763" s="76" customFormat="1" ht="50" hidden="1" customHeight="1" spans="1:28">
      <c r="A763" s="76" t="s">
        <v>1521</v>
      </c>
      <c r="B763" s="6"/>
      <c r="C763" s="76" t="s">
        <v>30</v>
      </c>
      <c r="D763" s="76" t="s">
        <v>514</v>
      </c>
      <c r="E763" s="76" t="s">
        <v>1494</v>
      </c>
      <c r="F763" s="76" t="s">
        <v>757</v>
      </c>
      <c r="G763" s="76" t="s">
        <v>34</v>
      </c>
      <c r="H763" s="76">
        <f>STOCK[[#This Row],[Precio Final]]</f>
        <v>35</v>
      </c>
      <c r="I763" s="76">
        <f>STOCK[[#This Row],[Precio Venta Ideal (x1.5)]]</f>
        <v>39.75</v>
      </c>
      <c r="J763" s="91">
        <v>2</v>
      </c>
      <c r="K763" s="91">
        <f>SUMIFS(VENTAS[Cantidad],VENTAS[Código del producto Vendido],STOCK[[#This Row],[Code]])</f>
        <v>2</v>
      </c>
      <c r="L763" s="91">
        <f>STOCK[[#This Row],[Entradas]]-STOCK[[#This Row],[Salidas]]</f>
        <v>0</v>
      </c>
      <c r="M763" s="76">
        <f>STOCK[[#This Row],[Precio Final]]*10%</f>
        <v>3.5</v>
      </c>
      <c r="N763" s="76">
        <v>0</v>
      </c>
      <c r="O763" s="76">
        <v>0</v>
      </c>
      <c r="P763" s="76">
        <v>21.5</v>
      </c>
      <c r="Q763" s="91">
        <v>0</v>
      </c>
      <c r="R763" s="76">
        <v>0</v>
      </c>
      <c r="S763" s="76">
        <v>1.5</v>
      </c>
      <c r="T763" s="76">
        <f>STOCK[[#This Row],[Costo Unitario (USD)]]+STOCK[[#This Row],[Costo Envío (USD)]]+STOCK[[#This Row],[Comisión 10%]]</f>
        <v>26.5</v>
      </c>
      <c r="U763" s="76">
        <f>STOCK[[#This Row],[Costo total]]*1.5</f>
        <v>39.75</v>
      </c>
      <c r="V763" s="76">
        <v>35</v>
      </c>
      <c r="W763" s="76">
        <f>STOCK[[#This Row],[Precio Final]]-STOCK[[#This Row],[Costo total]]</f>
        <v>8.5</v>
      </c>
      <c r="X763" s="76">
        <f>STOCK[[#This Row],[Ganancia Unitaria]]*STOCK[[#This Row],[Salidas]]</f>
        <v>17</v>
      </c>
      <c r="Y763" s="76" t="s">
        <v>1470</v>
      </c>
      <c r="AA763" s="76">
        <f>STOCK[[#This Row],[Costo total]]*STOCK[[#This Row],[Entradas]]</f>
        <v>53</v>
      </c>
      <c r="AB763" s="76">
        <f>STOCK[[#This Row],[Stock Actual]]*STOCK[[#This Row],[Costo total]]</f>
        <v>0</v>
      </c>
    </row>
    <row r="764" s="77" customFormat="1" ht="50" hidden="1" customHeight="1" spans="1:28">
      <c r="A764" s="77" t="s">
        <v>1522</v>
      </c>
      <c r="B764" s="6"/>
      <c r="C764" s="77" t="s">
        <v>30</v>
      </c>
      <c r="D764" s="77" t="s">
        <v>514</v>
      </c>
      <c r="E764" s="77" t="s">
        <v>1523</v>
      </c>
      <c r="F764" s="77" t="s">
        <v>762</v>
      </c>
      <c r="G764" s="77" t="s">
        <v>34</v>
      </c>
      <c r="H764" s="77">
        <f>STOCK[[#This Row],[Precio Final]]</f>
        <v>45</v>
      </c>
      <c r="I764" s="77">
        <f>STOCK[[#This Row],[Precio Venta Ideal (x1.5)]]</f>
        <v>53.25</v>
      </c>
      <c r="J764" s="92">
        <v>1</v>
      </c>
      <c r="K764" s="92">
        <f>SUMIFS(VENTAS[Cantidad],VENTAS[Código del producto Vendido],STOCK[[#This Row],[Code]])</f>
        <v>1</v>
      </c>
      <c r="L764" s="92">
        <f>STOCK[[#This Row],[Entradas]]-STOCK[[#This Row],[Salidas]]</f>
        <v>0</v>
      </c>
      <c r="M764" s="77">
        <f>STOCK[[#This Row],[Precio Final]]*10%</f>
        <v>4.5</v>
      </c>
      <c r="N764" s="77">
        <v>0</v>
      </c>
      <c r="O764" s="77">
        <v>0</v>
      </c>
      <c r="P764" s="77">
        <v>26</v>
      </c>
      <c r="Q764" s="92">
        <v>0</v>
      </c>
      <c r="R764" s="77">
        <v>0</v>
      </c>
      <c r="S764" s="77">
        <v>5</v>
      </c>
      <c r="T764" s="76">
        <f>STOCK[[#This Row],[Costo Unitario (USD)]]+STOCK[[#This Row],[Costo Envío (USD)]]+STOCK[[#This Row],[Comisión 10%]]</f>
        <v>35.5</v>
      </c>
      <c r="U764" s="77">
        <f>STOCK[[#This Row],[Costo total]]*1.5</f>
        <v>53.25</v>
      </c>
      <c r="V764" s="77">
        <v>45</v>
      </c>
      <c r="W764" s="77">
        <f>STOCK[[#This Row],[Precio Final]]-STOCK[[#This Row],[Costo total]]</f>
        <v>9.5</v>
      </c>
      <c r="X764" s="77">
        <f>STOCK[[#This Row],[Ganancia Unitaria]]*STOCK[[#This Row],[Salidas]]</f>
        <v>9.5</v>
      </c>
      <c r="Y764" s="77" t="s">
        <v>1470</v>
      </c>
      <c r="AA764" s="77">
        <f>STOCK[[#This Row],[Costo total]]*STOCK[[#This Row],[Entradas]]</f>
        <v>35.5</v>
      </c>
      <c r="AB764" s="77">
        <f>STOCK[[#This Row],[Stock Actual]]*STOCK[[#This Row],[Costo total]]</f>
        <v>0</v>
      </c>
    </row>
    <row r="765" s="76" customFormat="1" ht="50" hidden="1" customHeight="1" spans="1:28">
      <c r="A765" s="76" t="s">
        <v>1524</v>
      </c>
      <c r="B765" s="6"/>
      <c r="C765" s="76" t="s">
        <v>30</v>
      </c>
      <c r="D765" s="76" t="s">
        <v>42</v>
      </c>
      <c r="E765" s="76" t="s">
        <v>1474</v>
      </c>
      <c r="F765" s="76" t="s">
        <v>210</v>
      </c>
      <c r="G765" s="76" t="s">
        <v>34</v>
      </c>
      <c r="H765" s="76">
        <f>STOCK[[#This Row],[Precio Final]]</f>
        <v>20</v>
      </c>
      <c r="I765" s="76">
        <f>STOCK[[#This Row],[Precio Venta Ideal (x1.5)]]</f>
        <v>30.75</v>
      </c>
      <c r="J765" s="91">
        <v>0</v>
      </c>
      <c r="K765" s="91">
        <f>SUMIFS(VENTAS[Cantidad],VENTAS[Código del producto Vendido],STOCK[[#This Row],[Code]])</f>
        <v>0</v>
      </c>
      <c r="L765" s="91">
        <f>STOCK[[#This Row],[Entradas]]-STOCK[[#This Row],[Salidas]]</f>
        <v>0</v>
      </c>
      <c r="M765" s="76">
        <f>STOCK[[#This Row],[Precio Final]]*10%</f>
        <v>2</v>
      </c>
      <c r="N765" s="76">
        <v>0</v>
      </c>
      <c r="O765" s="76">
        <v>0</v>
      </c>
      <c r="P765" s="76">
        <v>17</v>
      </c>
      <c r="Q765" s="91">
        <v>0</v>
      </c>
      <c r="R765" s="76">
        <v>0</v>
      </c>
      <c r="S765" s="76">
        <v>1.5</v>
      </c>
      <c r="T765" s="76">
        <f>STOCK[[#This Row],[Costo Unitario (USD)]]+STOCK[[#This Row],[Costo Envío (USD)]]+STOCK[[#This Row],[Comisión 10%]]</f>
        <v>20.5</v>
      </c>
      <c r="U765" s="76">
        <f>STOCK[[#This Row],[Costo total]]*1.5</f>
        <v>30.75</v>
      </c>
      <c r="V765" s="76">
        <v>20</v>
      </c>
      <c r="W765" s="76">
        <f>STOCK[[#This Row],[Precio Final]]-STOCK[[#This Row],[Costo total]]</f>
        <v>-0.5</v>
      </c>
      <c r="X765" s="76">
        <f>STOCK[[#This Row],[Ganancia Unitaria]]*STOCK[[#This Row],[Salidas]]</f>
        <v>0</v>
      </c>
      <c r="Y765" s="76" t="s">
        <v>1470</v>
      </c>
      <c r="AA765" s="76">
        <f>STOCK[[#This Row],[Costo total]]*STOCK[[#This Row],[Entradas]]</f>
        <v>0</v>
      </c>
      <c r="AB765" s="76">
        <f>STOCK[[#This Row],[Stock Actual]]*STOCK[[#This Row],[Costo total]]</f>
        <v>0</v>
      </c>
    </row>
    <row r="766" s="77" customFormat="1" ht="50" hidden="1" customHeight="1" spans="1:28">
      <c r="A766" s="77" t="s">
        <v>1525</v>
      </c>
      <c r="B766" s="6"/>
      <c r="C766" s="77" t="s">
        <v>30</v>
      </c>
      <c r="D766" s="77" t="s">
        <v>173</v>
      </c>
      <c r="E766" s="77" t="s">
        <v>1526</v>
      </c>
      <c r="F766" s="77" t="s">
        <v>38</v>
      </c>
      <c r="G766" s="77" t="s">
        <v>34</v>
      </c>
      <c r="H766" s="77">
        <f>STOCK[[#This Row],[Precio Final]]</f>
        <v>22</v>
      </c>
      <c r="I766" s="77">
        <f>STOCK[[#This Row],[Precio Venta Ideal (x1.5)]]</f>
        <v>25.35</v>
      </c>
      <c r="J766" s="92">
        <v>2</v>
      </c>
      <c r="K766" s="92">
        <f>SUMIFS(VENTAS[Cantidad],VENTAS[Código del producto Vendido],STOCK[[#This Row],[Code]])</f>
        <v>2</v>
      </c>
      <c r="L766" s="92">
        <f>STOCK[[#This Row],[Entradas]]-STOCK[[#This Row],[Salidas]]</f>
        <v>0</v>
      </c>
      <c r="M766" s="77">
        <f>STOCK[[#This Row],[Precio Final]]*10%</f>
        <v>2.2</v>
      </c>
      <c r="N766" s="77">
        <v>0</v>
      </c>
      <c r="O766" s="77">
        <v>0</v>
      </c>
      <c r="P766" s="77">
        <v>13.2</v>
      </c>
      <c r="Q766" s="92">
        <v>0</v>
      </c>
      <c r="R766" s="77">
        <v>0</v>
      </c>
      <c r="S766" s="77">
        <v>1.5</v>
      </c>
      <c r="T766" s="76">
        <f>STOCK[[#This Row],[Costo Unitario (USD)]]+STOCK[[#This Row],[Costo Envío (USD)]]+STOCK[[#This Row],[Comisión 10%]]</f>
        <v>16.9</v>
      </c>
      <c r="U766" s="77">
        <f>STOCK[[#This Row],[Costo total]]*1.5</f>
        <v>25.35</v>
      </c>
      <c r="V766" s="77">
        <v>22</v>
      </c>
      <c r="W766" s="77">
        <f>STOCK[[#This Row],[Precio Final]]-STOCK[[#This Row],[Costo total]]</f>
        <v>5.1</v>
      </c>
      <c r="X766" s="77">
        <f>STOCK[[#This Row],[Ganancia Unitaria]]*STOCK[[#This Row],[Salidas]]</f>
        <v>10.2</v>
      </c>
      <c r="Y766" s="77" t="s">
        <v>1470</v>
      </c>
      <c r="AA766" s="77">
        <f>STOCK[[#This Row],[Costo total]]*STOCK[[#This Row],[Entradas]]</f>
        <v>33.8</v>
      </c>
      <c r="AB766" s="77">
        <f>STOCK[[#This Row],[Stock Actual]]*STOCK[[#This Row],[Costo total]]</f>
        <v>0</v>
      </c>
    </row>
    <row r="767" s="76" customFormat="1" ht="50" hidden="1" customHeight="1" spans="1:28">
      <c r="A767" s="76" t="s">
        <v>1527</v>
      </c>
      <c r="B767" s="6"/>
      <c r="C767" s="76" t="s">
        <v>30</v>
      </c>
      <c r="D767" s="76" t="s">
        <v>151</v>
      </c>
      <c r="E767" s="76" t="s">
        <v>1484</v>
      </c>
      <c r="F767" s="76" t="s">
        <v>764</v>
      </c>
      <c r="G767" s="76" t="s">
        <v>34</v>
      </c>
      <c r="H767" s="76">
        <f>STOCK[[#This Row],[Precio Final]]</f>
        <v>35</v>
      </c>
      <c r="I767" s="76">
        <f>STOCK[[#This Row],[Precio Venta Ideal (x1.5)]]</f>
        <v>35.25</v>
      </c>
      <c r="J767" s="91">
        <v>1</v>
      </c>
      <c r="K767" s="91">
        <f>SUMIFS(VENTAS[Cantidad],VENTAS[Código del producto Vendido],STOCK[[#This Row],[Code]])</f>
        <v>1</v>
      </c>
      <c r="L767" s="91">
        <f>STOCK[[#This Row],[Entradas]]-STOCK[[#This Row],[Salidas]]</f>
        <v>0</v>
      </c>
      <c r="M767" s="76">
        <f>STOCK[[#This Row],[Precio Final]]*10%</f>
        <v>3.5</v>
      </c>
      <c r="N767" s="76">
        <v>0</v>
      </c>
      <c r="O767" s="76">
        <v>0</v>
      </c>
      <c r="P767" s="76">
        <v>18.5</v>
      </c>
      <c r="Q767" s="91">
        <v>0</v>
      </c>
      <c r="R767" s="76">
        <v>0</v>
      </c>
      <c r="S767" s="76">
        <v>1.5</v>
      </c>
      <c r="T767" s="76">
        <f>STOCK[[#This Row],[Costo Unitario (USD)]]+STOCK[[#This Row],[Costo Envío (USD)]]+STOCK[[#This Row],[Comisión 10%]]</f>
        <v>23.5</v>
      </c>
      <c r="U767" s="76">
        <f>STOCK[[#This Row],[Costo total]]*1.5</f>
        <v>35.25</v>
      </c>
      <c r="V767" s="76">
        <v>35</v>
      </c>
      <c r="W767" s="76">
        <f>STOCK[[#This Row],[Precio Final]]-STOCK[[#This Row],[Costo total]]</f>
        <v>11.5</v>
      </c>
      <c r="X767" s="76">
        <f>STOCK[[#This Row],[Ganancia Unitaria]]*STOCK[[#This Row],[Salidas]]</f>
        <v>11.5</v>
      </c>
      <c r="Y767" s="76" t="s">
        <v>1470</v>
      </c>
      <c r="AA767" s="76">
        <f>STOCK[[#This Row],[Costo total]]*STOCK[[#This Row],[Entradas]]</f>
        <v>23.5</v>
      </c>
      <c r="AB767" s="76">
        <f>STOCK[[#This Row],[Stock Actual]]*STOCK[[#This Row],[Costo total]]</f>
        <v>0</v>
      </c>
    </row>
    <row r="768" s="77" customFormat="1" ht="50" hidden="1" customHeight="1" spans="1:28">
      <c r="A768" s="77" t="s">
        <v>1528</v>
      </c>
      <c r="B768" s="6"/>
      <c r="C768" s="77" t="s">
        <v>30</v>
      </c>
      <c r="D768" s="77" t="s">
        <v>151</v>
      </c>
      <c r="E768" s="77" t="s">
        <v>1486</v>
      </c>
      <c r="F768" s="77" t="s">
        <v>38</v>
      </c>
      <c r="G768" s="77" t="s">
        <v>34</v>
      </c>
      <c r="H768" s="77">
        <f>STOCK[[#This Row],[Precio Final]]</f>
        <v>30</v>
      </c>
      <c r="I768" s="77">
        <f>STOCK[[#This Row],[Precio Venta Ideal (x1.5)]]</f>
        <v>30.15</v>
      </c>
      <c r="J768" s="92">
        <v>0</v>
      </c>
      <c r="K768" s="92">
        <f>SUMIFS(VENTAS[Cantidad],VENTAS[Código del producto Vendido],STOCK[[#This Row],[Code]])</f>
        <v>0</v>
      </c>
      <c r="L768" s="92">
        <f>STOCK[[#This Row],[Entradas]]-STOCK[[#This Row],[Salidas]]</f>
        <v>0</v>
      </c>
      <c r="M768" s="77">
        <f>STOCK[[#This Row],[Precio Final]]*10%</f>
        <v>3</v>
      </c>
      <c r="N768" s="77">
        <v>0</v>
      </c>
      <c r="O768" s="77">
        <v>0</v>
      </c>
      <c r="P768" s="77">
        <v>15.6</v>
      </c>
      <c r="Q768" s="92">
        <v>0</v>
      </c>
      <c r="R768" s="77">
        <v>0</v>
      </c>
      <c r="S768" s="77">
        <v>1.5</v>
      </c>
      <c r="T768" s="76">
        <f>STOCK[[#This Row],[Costo Unitario (USD)]]+STOCK[[#This Row],[Costo Envío (USD)]]+STOCK[[#This Row],[Comisión 10%]]</f>
        <v>20.1</v>
      </c>
      <c r="U768" s="77">
        <f>STOCK[[#This Row],[Costo total]]*1.5</f>
        <v>30.15</v>
      </c>
      <c r="V768" s="77">
        <v>30</v>
      </c>
      <c r="W768" s="77">
        <f>STOCK[[#This Row],[Precio Final]]-STOCK[[#This Row],[Costo total]]</f>
        <v>9.9</v>
      </c>
      <c r="X768" s="77">
        <f>STOCK[[#This Row],[Ganancia Unitaria]]*STOCK[[#This Row],[Salidas]]</f>
        <v>0</v>
      </c>
      <c r="Y768" s="77" t="s">
        <v>1470</v>
      </c>
      <c r="AA768" s="77">
        <f>STOCK[[#This Row],[Costo total]]*STOCK[[#This Row],[Entradas]]</f>
        <v>0</v>
      </c>
      <c r="AB768" s="77">
        <f>STOCK[[#This Row],[Stock Actual]]*STOCK[[#This Row],[Costo total]]</f>
        <v>0</v>
      </c>
    </row>
    <row r="769" s="76" customFormat="1" ht="50" hidden="1" customHeight="1" spans="1:28">
      <c r="A769" s="76" t="s">
        <v>1529</v>
      </c>
      <c r="B769" s="6"/>
      <c r="C769" s="76" t="s">
        <v>30</v>
      </c>
      <c r="D769" s="76" t="s">
        <v>1530</v>
      </c>
      <c r="E769" s="76" t="s">
        <v>1531</v>
      </c>
      <c r="F769" s="76" t="s">
        <v>1532</v>
      </c>
      <c r="G769" s="76" t="s">
        <v>34</v>
      </c>
      <c r="H769" s="76">
        <f>STOCK[[#This Row],[Precio Final]]</f>
        <v>22</v>
      </c>
      <c r="I769" s="76">
        <f>STOCK[[#This Row],[Precio Venta Ideal (x1.5)]]</f>
        <v>25.05</v>
      </c>
      <c r="J769" s="91">
        <v>2</v>
      </c>
      <c r="K769" s="91">
        <f>SUMIFS(VENTAS[Cantidad],VENTAS[Código del producto Vendido],STOCK[[#This Row],[Code]])</f>
        <v>2</v>
      </c>
      <c r="L769" s="91">
        <f>STOCK[[#This Row],[Entradas]]-STOCK[[#This Row],[Salidas]]</f>
        <v>0</v>
      </c>
      <c r="M769" s="76">
        <f>STOCK[[#This Row],[Precio Final]]*10%</f>
        <v>2.2</v>
      </c>
      <c r="N769" s="76">
        <v>0</v>
      </c>
      <c r="O769" s="76">
        <v>0</v>
      </c>
      <c r="P769" s="76">
        <v>13</v>
      </c>
      <c r="Q769" s="91">
        <v>0</v>
      </c>
      <c r="R769" s="76">
        <v>0</v>
      </c>
      <c r="S769" s="76">
        <v>1.5</v>
      </c>
      <c r="T769" s="76">
        <f>STOCK[[#This Row],[Costo Unitario (USD)]]+STOCK[[#This Row],[Costo Envío (USD)]]+STOCK[[#This Row],[Comisión 10%]]</f>
        <v>16.7</v>
      </c>
      <c r="U769" s="76">
        <f>STOCK[[#This Row],[Costo total]]*1.5</f>
        <v>25.05</v>
      </c>
      <c r="V769" s="76">
        <v>22</v>
      </c>
      <c r="W769" s="76">
        <f>STOCK[[#This Row],[Precio Final]]-STOCK[[#This Row],[Costo total]]</f>
        <v>5.3</v>
      </c>
      <c r="X769" s="76">
        <f>STOCK[[#This Row],[Ganancia Unitaria]]*STOCK[[#This Row],[Salidas]]</f>
        <v>10.6</v>
      </c>
      <c r="Y769" s="76" t="s">
        <v>1470</v>
      </c>
      <c r="AA769" s="76">
        <f>STOCK[[#This Row],[Costo total]]*STOCK[[#This Row],[Entradas]]</f>
        <v>33.4</v>
      </c>
      <c r="AB769" s="76">
        <f>STOCK[[#This Row],[Stock Actual]]*STOCK[[#This Row],[Costo total]]</f>
        <v>0</v>
      </c>
    </row>
    <row r="770" s="77" customFormat="1" ht="50" hidden="1" customHeight="1" spans="1:28">
      <c r="A770" s="77" t="s">
        <v>1533</v>
      </c>
      <c r="B770" s="6"/>
      <c r="C770" s="77" t="s">
        <v>30</v>
      </c>
      <c r="D770" s="77" t="s">
        <v>173</v>
      </c>
      <c r="E770" s="77" t="s">
        <v>1534</v>
      </c>
      <c r="F770" s="77" t="s">
        <v>47</v>
      </c>
      <c r="G770" s="77" t="s">
        <v>34</v>
      </c>
      <c r="H770" s="77">
        <f>STOCK[[#This Row],[Precio Final]]</f>
        <v>22</v>
      </c>
      <c r="I770" s="77">
        <f>STOCK[[#This Row],[Precio Venta Ideal (x1.5)]]</f>
        <v>25.35</v>
      </c>
      <c r="J770" s="92">
        <v>1</v>
      </c>
      <c r="K770" s="92">
        <f>SUMIFS(VENTAS[Cantidad],VENTAS[Código del producto Vendido],STOCK[[#This Row],[Code]])</f>
        <v>1</v>
      </c>
      <c r="L770" s="92">
        <f>STOCK[[#This Row],[Entradas]]-STOCK[[#This Row],[Salidas]]</f>
        <v>0</v>
      </c>
      <c r="M770" s="77">
        <f>STOCK[[#This Row],[Precio Final]]*10%</f>
        <v>2.2</v>
      </c>
      <c r="N770" s="77">
        <v>0</v>
      </c>
      <c r="O770" s="77">
        <v>0</v>
      </c>
      <c r="P770" s="77">
        <v>13.2</v>
      </c>
      <c r="Q770" s="92">
        <v>0</v>
      </c>
      <c r="R770" s="77">
        <v>0</v>
      </c>
      <c r="S770" s="77">
        <v>1.5</v>
      </c>
      <c r="T770" s="76">
        <f>STOCK[[#This Row],[Costo Unitario (USD)]]+STOCK[[#This Row],[Costo Envío (USD)]]+STOCK[[#This Row],[Comisión 10%]]</f>
        <v>16.9</v>
      </c>
      <c r="U770" s="77">
        <f>STOCK[[#This Row],[Costo total]]*1.5</f>
        <v>25.35</v>
      </c>
      <c r="V770" s="77">
        <v>22</v>
      </c>
      <c r="W770" s="77">
        <f>STOCK[[#This Row],[Precio Final]]-STOCK[[#This Row],[Costo total]]</f>
        <v>5.1</v>
      </c>
      <c r="X770" s="77">
        <f>STOCK[[#This Row],[Ganancia Unitaria]]*STOCK[[#This Row],[Salidas]]</f>
        <v>5.1</v>
      </c>
      <c r="Y770" s="77" t="s">
        <v>1470</v>
      </c>
      <c r="AA770" s="77">
        <f>STOCK[[#This Row],[Costo total]]*STOCK[[#This Row],[Entradas]]</f>
        <v>16.9</v>
      </c>
      <c r="AB770" s="77">
        <f>STOCK[[#This Row],[Stock Actual]]*STOCK[[#This Row],[Costo total]]</f>
        <v>0</v>
      </c>
    </row>
    <row r="771" s="76" customFormat="1" ht="50" hidden="1" customHeight="1" spans="1:28">
      <c r="A771" s="76" t="s">
        <v>1535</v>
      </c>
      <c r="B771" s="6"/>
      <c r="C771" s="76" t="s">
        <v>30</v>
      </c>
      <c r="D771" s="76" t="s">
        <v>514</v>
      </c>
      <c r="E771" s="76" t="s">
        <v>1481</v>
      </c>
      <c r="F771" s="76" t="s">
        <v>38</v>
      </c>
      <c r="G771" s="76" t="s">
        <v>34</v>
      </c>
      <c r="H771" s="76">
        <f>STOCK[[#This Row],[Precio Final]]</f>
        <v>50</v>
      </c>
      <c r="I771" s="76">
        <f>STOCK[[#This Row],[Precio Venta Ideal (x1.5)]]</f>
        <v>47.25</v>
      </c>
      <c r="J771" s="91">
        <v>0</v>
      </c>
      <c r="K771" s="91">
        <f>SUMIFS(VENTAS[Cantidad],VENTAS[Código del producto Vendido],STOCK[[#This Row],[Code]])</f>
        <v>0</v>
      </c>
      <c r="L771" s="91">
        <f>STOCK[[#This Row],[Entradas]]-STOCK[[#This Row],[Salidas]]</f>
        <v>0</v>
      </c>
      <c r="M771" s="76">
        <f>STOCK[[#This Row],[Precio Final]]*10%</f>
        <v>5</v>
      </c>
      <c r="N771" s="76">
        <v>0</v>
      </c>
      <c r="O771" s="76">
        <v>0</v>
      </c>
      <c r="P771" s="76">
        <v>25</v>
      </c>
      <c r="Q771" s="91">
        <v>0</v>
      </c>
      <c r="R771" s="76">
        <v>0</v>
      </c>
      <c r="S771" s="76">
        <v>1.5</v>
      </c>
      <c r="T771" s="76">
        <f>STOCK[[#This Row],[Costo Unitario (USD)]]+STOCK[[#This Row],[Costo Envío (USD)]]+STOCK[[#This Row],[Comisión 10%]]</f>
        <v>31.5</v>
      </c>
      <c r="U771" s="76">
        <f>STOCK[[#This Row],[Costo total]]*1.5</f>
        <v>47.25</v>
      </c>
      <c r="V771" s="76">
        <v>50</v>
      </c>
      <c r="W771" s="76">
        <f>STOCK[[#This Row],[Precio Final]]-STOCK[[#This Row],[Costo total]]</f>
        <v>18.5</v>
      </c>
      <c r="X771" s="76">
        <f>STOCK[[#This Row],[Ganancia Unitaria]]*STOCK[[#This Row],[Salidas]]</f>
        <v>0</v>
      </c>
      <c r="Y771" s="76" t="s">
        <v>1470</v>
      </c>
      <c r="AA771" s="76">
        <f>STOCK[[#This Row],[Costo total]]*STOCK[[#This Row],[Entradas]]</f>
        <v>0</v>
      </c>
      <c r="AB771" s="76">
        <f>STOCK[[#This Row],[Stock Actual]]*STOCK[[#This Row],[Costo total]]</f>
        <v>0</v>
      </c>
    </row>
    <row r="772" s="77" customFormat="1" ht="50" hidden="1" customHeight="1" spans="1:28">
      <c r="A772" s="77" t="s">
        <v>1536</v>
      </c>
      <c r="B772" s="6"/>
      <c r="C772" s="77" t="s">
        <v>30</v>
      </c>
      <c r="D772" s="77" t="s">
        <v>151</v>
      </c>
      <c r="E772" s="77" t="s">
        <v>1537</v>
      </c>
      <c r="F772" s="77" t="s">
        <v>38</v>
      </c>
      <c r="G772" s="77" t="s">
        <v>34</v>
      </c>
      <c r="H772" s="77">
        <f>STOCK[[#This Row],[Precio Final]]</f>
        <v>25</v>
      </c>
      <c r="I772" s="77">
        <f>STOCK[[#This Row],[Precio Venta Ideal (x1.5)]]</f>
        <v>26.25</v>
      </c>
      <c r="J772" s="92">
        <v>1</v>
      </c>
      <c r="K772" s="92">
        <f>SUMIFS(VENTAS[Cantidad],VENTAS[Código del producto Vendido],STOCK[[#This Row],[Code]])</f>
        <v>1</v>
      </c>
      <c r="L772" s="92">
        <f>STOCK[[#This Row],[Entradas]]-STOCK[[#This Row],[Salidas]]</f>
        <v>0</v>
      </c>
      <c r="M772" s="77">
        <f>STOCK[[#This Row],[Precio Final]]*10%</f>
        <v>2.5</v>
      </c>
      <c r="N772" s="77">
        <v>0</v>
      </c>
      <c r="O772" s="77">
        <v>0</v>
      </c>
      <c r="P772" s="77">
        <v>13.5</v>
      </c>
      <c r="Q772" s="92">
        <v>0</v>
      </c>
      <c r="R772" s="77">
        <v>0</v>
      </c>
      <c r="S772" s="77">
        <v>1.5</v>
      </c>
      <c r="T772" s="76">
        <f>STOCK[[#This Row],[Costo Unitario (USD)]]+STOCK[[#This Row],[Costo Envío (USD)]]+STOCK[[#This Row],[Comisión 10%]]</f>
        <v>17.5</v>
      </c>
      <c r="U772" s="77">
        <f>STOCK[[#This Row],[Costo total]]*1.5</f>
        <v>26.25</v>
      </c>
      <c r="V772" s="77">
        <v>25</v>
      </c>
      <c r="W772" s="77">
        <f>STOCK[[#This Row],[Precio Final]]-STOCK[[#This Row],[Costo total]]</f>
        <v>7.5</v>
      </c>
      <c r="X772" s="77">
        <f>STOCK[[#This Row],[Ganancia Unitaria]]*STOCK[[#This Row],[Salidas]]</f>
        <v>7.5</v>
      </c>
      <c r="Y772" s="77" t="s">
        <v>1470</v>
      </c>
      <c r="AA772" s="77">
        <f>STOCK[[#This Row],[Costo total]]*STOCK[[#This Row],[Entradas]]</f>
        <v>17.5</v>
      </c>
      <c r="AB772" s="77">
        <f>STOCK[[#This Row],[Stock Actual]]*STOCK[[#This Row],[Costo total]]</f>
        <v>0</v>
      </c>
    </row>
    <row r="773" s="76" customFormat="1" ht="50" hidden="1" customHeight="1" spans="1:28">
      <c r="A773" s="76" t="s">
        <v>1538</v>
      </c>
      <c r="B773" s="6"/>
      <c r="C773" s="76" t="s">
        <v>30</v>
      </c>
      <c r="D773" s="76" t="s">
        <v>350</v>
      </c>
      <c r="E773" s="76" t="s">
        <v>1539</v>
      </c>
      <c r="F773" s="76" t="s">
        <v>393</v>
      </c>
      <c r="G773" s="76" t="s">
        <v>34</v>
      </c>
      <c r="H773" s="76">
        <f>STOCK[[#This Row],[Precio Final]]</f>
        <v>5</v>
      </c>
      <c r="I773" s="76">
        <f>STOCK[[#This Row],[Precio Venta Ideal (x1.5)]]</f>
        <v>7.35</v>
      </c>
      <c r="J773" s="91">
        <v>1</v>
      </c>
      <c r="K773" s="91">
        <f>SUMIFS(VENTAS[Cantidad],VENTAS[Código del producto Vendido],STOCK[[#This Row],[Code]])</f>
        <v>1</v>
      </c>
      <c r="L773" s="91">
        <f>STOCK[[#This Row],[Entradas]]-STOCK[[#This Row],[Salidas]]</f>
        <v>0</v>
      </c>
      <c r="M773" s="76">
        <f>STOCK[[#This Row],[Precio Final]]*10%</f>
        <v>0.5</v>
      </c>
      <c r="N773" s="76">
        <v>0</v>
      </c>
      <c r="O773" s="76">
        <v>0</v>
      </c>
      <c r="P773" s="76">
        <v>2.9</v>
      </c>
      <c r="Q773" s="91">
        <v>0</v>
      </c>
      <c r="R773" s="76">
        <v>0</v>
      </c>
      <c r="S773" s="76">
        <v>1.5</v>
      </c>
      <c r="T773" s="76">
        <f>STOCK[[#This Row],[Costo Unitario (USD)]]+STOCK[[#This Row],[Costo Envío (USD)]]+STOCK[[#This Row],[Comisión 10%]]</f>
        <v>4.9</v>
      </c>
      <c r="U773" s="76">
        <f>STOCK[[#This Row],[Costo total]]*1.5</f>
        <v>7.35</v>
      </c>
      <c r="V773" s="76">
        <v>5</v>
      </c>
      <c r="W773" s="76">
        <f>STOCK[[#This Row],[Precio Final]]-STOCK[[#This Row],[Costo total]]</f>
        <v>0.0999999999999996</v>
      </c>
      <c r="X773" s="76">
        <f>STOCK[[#This Row],[Ganancia Unitaria]]*STOCK[[#This Row],[Salidas]]</f>
        <v>0.0999999999999996</v>
      </c>
      <c r="Y773" s="76" t="s">
        <v>1470</v>
      </c>
      <c r="AA773" s="76">
        <f>STOCK[[#This Row],[Costo total]]*STOCK[[#This Row],[Entradas]]</f>
        <v>4.9</v>
      </c>
      <c r="AB773" s="76">
        <f>STOCK[[#This Row],[Stock Actual]]*STOCK[[#This Row],[Costo total]]</f>
        <v>0</v>
      </c>
    </row>
    <row r="774" s="77" customFormat="1" ht="50" hidden="1" customHeight="1" spans="1:28">
      <c r="A774" s="77" t="s">
        <v>1540</v>
      </c>
      <c r="B774" s="6"/>
      <c r="C774" s="77" t="s">
        <v>30</v>
      </c>
      <c r="D774" s="77" t="s">
        <v>350</v>
      </c>
      <c r="E774" s="77" t="s">
        <v>1541</v>
      </c>
      <c r="F774" s="77" t="s">
        <v>393</v>
      </c>
      <c r="G774" s="77" t="s">
        <v>34</v>
      </c>
      <c r="H774" s="77">
        <f>STOCK[[#This Row],[Precio Final]]</f>
        <v>8</v>
      </c>
      <c r="I774" s="77">
        <f>STOCK[[#This Row],[Precio Venta Ideal (x1.5)]]</f>
        <v>10.5</v>
      </c>
      <c r="J774" s="92">
        <v>1</v>
      </c>
      <c r="K774" s="92">
        <f>SUMIFS(VENTAS[Cantidad],VENTAS[Código del producto Vendido],STOCK[[#This Row],[Code]])</f>
        <v>1</v>
      </c>
      <c r="L774" s="92">
        <f>STOCK[[#This Row],[Entradas]]-STOCK[[#This Row],[Salidas]]</f>
        <v>0</v>
      </c>
      <c r="M774" s="77">
        <f>STOCK[[#This Row],[Precio Final]]*10%</f>
        <v>0.8</v>
      </c>
      <c r="N774" s="77">
        <v>0</v>
      </c>
      <c r="O774" s="77">
        <v>0</v>
      </c>
      <c r="P774" s="77">
        <v>4.7</v>
      </c>
      <c r="Q774" s="92">
        <v>0</v>
      </c>
      <c r="R774" s="77">
        <v>0</v>
      </c>
      <c r="S774" s="77">
        <v>1.5</v>
      </c>
      <c r="T774" s="76">
        <f>STOCK[[#This Row],[Costo Unitario (USD)]]+STOCK[[#This Row],[Costo Envío (USD)]]+STOCK[[#This Row],[Comisión 10%]]</f>
        <v>7</v>
      </c>
      <c r="U774" s="77">
        <f>STOCK[[#This Row],[Costo total]]*1.5</f>
        <v>10.5</v>
      </c>
      <c r="V774" s="77">
        <v>8</v>
      </c>
      <c r="W774" s="77">
        <f>STOCK[[#This Row],[Precio Final]]-STOCK[[#This Row],[Costo total]]</f>
        <v>1</v>
      </c>
      <c r="X774" s="77">
        <f>STOCK[[#This Row],[Ganancia Unitaria]]*STOCK[[#This Row],[Salidas]]</f>
        <v>1</v>
      </c>
      <c r="Y774" s="77" t="s">
        <v>1470</v>
      </c>
      <c r="AA774" s="77">
        <f>STOCK[[#This Row],[Costo total]]*STOCK[[#This Row],[Entradas]]</f>
        <v>7</v>
      </c>
      <c r="AB774" s="77">
        <f>STOCK[[#This Row],[Stock Actual]]*STOCK[[#This Row],[Costo total]]</f>
        <v>0</v>
      </c>
    </row>
    <row r="775" s="76" customFormat="1" ht="50" hidden="1" customHeight="1" spans="1:28">
      <c r="A775" s="76" t="s">
        <v>1542</v>
      </c>
      <c r="B775" s="6"/>
      <c r="C775" s="76" t="s">
        <v>30</v>
      </c>
      <c r="D775" s="76" t="s">
        <v>350</v>
      </c>
      <c r="E775" s="76" t="s">
        <v>1543</v>
      </c>
      <c r="F775" s="76" t="s">
        <v>393</v>
      </c>
      <c r="G775" s="76" t="s">
        <v>34</v>
      </c>
      <c r="H775" s="76">
        <f>STOCK[[#This Row],[Precio Final]]</f>
        <v>5</v>
      </c>
      <c r="I775" s="76">
        <f>STOCK[[#This Row],[Precio Venta Ideal (x1.5)]]</f>
        <v>7.08</v>
      </c>
      <c r="J775" s="91">
        <v>1</v>
      </c>
      <c r="K775" s="91">
        <f>SUMIFS(VENTAS[Cantidad],VENTAS[Código del producto Vendido],STOCK[[#This Row],[Code]])</f>
        <v>1</v>
      </c>
      <c r="L775" s="91">
        <f>STOCK[[#This Row],[Entradas]]-STOCK[[#This Row],[Salidas]]</f>
        <v>0</v>
      </c>
      <c r="M775" s="76">
        <f>STOCK[[#This Row],[Precio Final]]*10%</f>
        <v>0.5</v>
      </c>
      <c r="N775" s="76">
        <v>0</v>
      </c>
      <c r="O775" s="76">
        <v>0</v>
      </c>
      <c r="P775" s="76">
        <v>2.72</v>
      </c>
      <c r="Q775" s="91">
        <v>0</v>
      </c>
      <c r="R775" s="76">
        <v>0</v>
      </c>
      <c r="S775" s="76">
        <v>1.5</v>
      </c>
      <c r="T775" s="76">
        <f>STOCK[[#This Row],[Costo Unitario (USD)]]+STOCK[[#This Row],[Costo Envío (USD)]]+STOCK[[#This Row],[Comisión 10%]]</f>
        <v>4.72</v>
      </c>
      <c r="U775" s="76">
        <f>STOCK[[#This Row],[Costo total]]*1.5</f>
        <v>7.08</v>
      </c>
      <c r="V775" s="76">
        <v>5</v>
      </c>
      <c r="W775" s="76">
        <f>STOCK[[#This Row],[Precio Final]]-STOCK[[#This Row],[Costo total]]</f>
        <v>0.279999999999999</v>
      </c>
      <c r="X775" s="76">
        <f>STOCK[[#This Row],[Ganancia Unitaria]]*STOCK[[#This Row],[Salidas]]</f>
        <v>0.279999999999999</v>
      </c>
      <c r="Y775" s="76" t="s">
        <v>1470</v>
      </c>
      <c r="AA775" s="76">
        <f>STOCK[[#This Row],[Costo total]]*STOCK[[#This Row],[Entradas]]</f>
        <v>4.72</v>
      </c>
      <c r="AB775" s="76">
        <f>STOCK[[#This Row],[Stock Actual]]*STOCK[[#This Row],[Costo total]]</f>
        <v>0</v>
      </c>
    </row>
    <row r="776" s="77" customFormat="1" ht="50" hidden="1" customHeight="1" spans="1:28">
      <c r="A776" s="77" t="s">
        <v>1544</v>
      </c>
      <c r="B776" s="6"/>
      <c r="C776" s="77" t="s">
        <v>30</v>
      </c>
      <c r="D776" s="77" t="s">
        <v>1545</v>
      </c>
      <c r="E776" s="77" t="s">
        <v>1539</v>
      </c>
      <c r="F776" s="77" t="s">
        <v>393</v>
      </c>
      <c r="G776" s="77" t="s">
        <v>34</v>
      </c>
      <c r="H776" s="77">
        <f>STOCK[[#This Row],[Precio Final]]</f>
        <v>7</v>
      </c>
      <c r="I776" s="77">
        <f>STOCK[[#This Row],[Precio Venta Ideal (x1.5)]]</f>
        <v>10.125</v>
      </c>
      <c r="J776" s="92">
        <v>1</v>
      </c>
      <c r="K776" s="92">
        <f>SUMIFS(VENTAS[Cantidad],VENTAS[Código del producto Vendido],STOCK[[#This Row],[Code]])</f>
        <v>1</v>
      </c>
      <c r="L776" s="92">
        <f>STOCK[[#This Row],[Entradas]]-STOCK[[#This Row],[Salidas]]</f>
        <v>0</v>
      </c>
      <c r="M776" s="77">
        <f>STOCK[[#This Row],[Precio Final]]*10%</f>
        <v>0.7</v>
      </c>
      <c r="N776" s="77">
        <v>0</v>
      </c>
      <c r="O776" s="77">
        <v>0</v>
      </c>
      <c r="P776" s="77">
        <v>4.55</v>
      </c>
      <c r="Q776" s="92">
        <v>0</v>
      </c>
      <c r="R776" s="77">
        <v>0</v>
      </c>
      <c r="S776" s="77">
        <v>1.5</v>
      </c>
      <c r="T776" s="76">
        <f>STOCK[[#This Row],[Costo Unitario (USD)]]+STOCK[[#This Row],[Costo Envío (USD)]]+STOCK[[#This Row],[Comisión 10%]]</f>
        <v>6.75</v>
      </c>
      <c r="U776" s="77">
        <f>STOCK[[#This Row],[Costo total]]*1.5</f>
        <v>10.125</v>
      </c>
      <c r="V776" s="77">
        <v>7</v>
      </c>
      <c r="W776" s="77">
        <f>STOCK[[#This Row],[Precio Final]]-STOCK[[#This Row],[Costo total]]</f>
        <v>0.25</v>
      </c>
      <c r="X776" s="77">
        <f>STOCK[[#This Row],[Ganancia Unitaria]]*STOCK[[#This Row],[Salidas]]</f>
        <v>0.25</v>
      </c>
      <c r="Y776" s="77" t="s">
        <v>1470</v>
      </c>
      <c r="AA776" s="77">
        <f>STOCK[[#This Row],[Costo total]]*STOCK[[#This Row],[Entradas]]</f>
        <v>6.75</v>
      </c>
      <c r="AB776" s="77">
        <f>STOCK[[#This Row],[Stock Actual]]*STOCK[[#This Row],[Costo total]]</f>
        <v>0</v>
      </c>
    </row>
    <row r="777" s="76" customFormat="1" ht="50" hidden="1" customHeight="1" spans="1:28">
      <c r="A777" s="76" t="s">
        <v>1546</v>
      </c>
      <c r="B777" s="6"/>
      <c r="C777" s="76" t="s">
        <v>30</v>
      </c>
      <c r="D777" s="76" t="s">
        <v>1547</v>
      </c>
      <c r="E777" s="76" t="s">
        <v>1548</v>
      </c>
      <c r="F777" s="76" t="s">
        <v>764</v>
      </c>
      <c r="G777" s="76" t="s">
        <v>34</v>
      </c>
      <c r="H777" s="76">
        <f>STOCK[[#This Row],[Precio Final]]</f>
        <v>3</v>
      </c>
      <c r="I777" s="76">
        <f>STOCK[[#This Row],[Precio Venta Ideal (x1.5)]]</f>
        <v>5.325</v>
      </c>
      <c r="J777" s="91">
        <v>1</v>
      </c>
      <c r="K777" s="91">
        <f>SUMIFS(VENTAS[Cantidad],VENTAS[Código del producto Vendido],STOCK[[#This Row],[Code]])</f>
        <v>1</v>
      </c>
      <c r="L777" s="91">
        <f>STOCK[[#This Row],[Entradas]]-STOCK[[#This Row],[Salidas]]</f>
        <v>0</v>
      </c>
      <c r="M777" s="76">
        <f>STOCK[[#This Row],[Precio Final]]*10%</f>
        <v>0.3</v>
      </c>
      <c r="N777" s="76">
        <v>0</v>
      </c>
      <c r="O777" s="76">
        <v>0</v>
      </c>
      <c r="P777" s="76">
        <v>1.75</v>
      </c>
      <c r="Q777" s="91">
        <v>0</v>
      </c>
      <c r="R777" s="76">
        <v>0</v>
      </c>
      <c r="S777" s="76">
        <v>1.5</v>
      </c>
      <c r="T777" s="76">
        <f>STOCK[[#This Row],[Costo Unitario (USD)]]+STOCK[[#This Row],[Costo Envío (USD)]]+STOCK[[#This Row],[Comisión 10%]]</f>
        <v>3.55</v>
      </c>
      <c r="U777" s="76">
        <f>STOCK[[#This Row],[Costo total]]*1.5</f>
        <v>5.325</v>
      </c>
      <c r="V777" s="76">
        <v>3</v>
      </c>
      <c r="W777" s="76">
        <f>STOCK[[#This Row],[Precio Final]]-STOCK[[#This Row],[Costo total]]</f>
        <v>-0.55</v>
      </c>
      <c r="X777" s="76">
        <f>STOCK[[#This Row],[Ganancia Unitaria]]*STOCK[[#This Row],[Salidas]]</f>
        <v>-0.55</v>
      </c>
      <c r="Y777" s="76" t="s">
        <v>1470</v>
      </c>
      <c r="AA777" s="76">
        <f>STOCK[[#This Row],[Costo total]]*STOCK[[#This Row],[Entradas]]</f>
        <v>3.55</v>
      </c>
      <c r="AB777" s="76">
        <f>STOCK[[#This Row],[Stock Actual]]*STOCK[[#This Row],[Costo total]]</f>
        <v>0</v>
      </c>
    </row>
    <row r="778" s="77" customFormat="1" ht="50" hidden="1" customHeight="1" spans="1:28">
      <c r="A778" s="77" t="s">
        <v>1549</v>
      </c>
      <c r="B778" s="6"/>
      <c r="C778" s="77" t="s">
        <v>30</v>
      </c>
      <c r="D778" s="77" t="s">
        <v>1547</v>
      </c>
      <c r="E778" s="77" t="s">
        <v>1550</v>
      </c>
      <c r="F778" s="77" t="s">
        <v>539</v>
      </c>
      <c r="G778" s="77" t="s">
        <v>34</v>
      </c>
      <c r="H778" s="77">
        <f>STOCK[[#This Row],[Precio Final]]</f>
        <v>3</v>
      </c>
      <c r="I778" s="77">
        <f>STOCK[[#This Row],[Precio Venta Ideal (x1.5)]]</f>
        <v>5.7</v>
      </c>
      <c r="J778" s="92">
        <v>1</v>
      </c>
      <c r="K778" s="92">
        <f>SUMIFS(VENTAS[Cantidad],VENTAS[Código del producto Vendido],STOCK[[#This Row],[Code]])</f>
        <v>1</v>
      </c>
      <c r="L778" s="92">
        <f>STOCK[[#This Row],[Entradas]]-STOCK[[#This Row],[Salidas]]</f>
        <v>0</v>
      </c>
      <c r="M778" s="77">
        <f>STOCK[[#This Row],[Precio Final]]*10%</f>
        <v>0.3</v>
      </c>
      <c r="N778" s="77">
        <v>0</v>
      </c>
      <c r="O778" s="77">
        <v>0</v>
      </c>
      <c r="P778" s="77">
        <v>2</v>
      </c>
      <c r="Q778" s="92">
        <v>0</v>
      </c>
      <c r="R778" s="77">
        <v>0</v>
      </c>
      <c r="S778" s="77">
        <v>1.5</v>
      </c>
      <c r="T778" s="76">
        <f>STOCK[[#This Row],[Costo Unitario (USD)]]+STOCK[[#This Row],[Costo Envío (USD)]]+STOCK[[#This Row],[Comisión 10%]]</f>
        <v>3.8</v>
      </c>
      <c r="U778" s="77">
        <f>STOCK[[#This Row],[Costo total]]*1.5</f>
        <v>5.7</v>
      </c>
      <c r="V778" s="77">
        <v>3</v>
      </c>
      <c r="W778" s="77">
        <f>STOCK[[#This Row],[Precio Final]]-STOCK[[#This Row],[Costo total]]</f>
        <v>-0.8</v>
      </c>
      <c r="X778" s="77">
        <f>STOCK[[#This Row],[Ganancia Unitaria]]*STOCK[[#This Row],[Salidas]]</f>
        <v>-0.8</v>
      </c>
      <c r="Y778" s="77" t="s">
        <v>1470</v>
      </c>
      <c r="AA778" s="77">
        <f>STOCK[[#This Row],[Costo total]]*STOCK[[#This Row],[Entradas]]</f>
        <v>3.8</v>
      </c>
      <c r="AB778" s="77">
        <f>STOCK[[#This Row],[Stock Actual]]*STOCK[[#This Row],[Costo total]]</f>
        <v>0</v>
      </c>
    </row>
    <row r="779" s="76" customFormat="1" ht="50" hidden="1" customHeight="1" spans="1:28">
      <c r="A779" s="76" t="s">
        <v>1551</v>
      </c>
      <c r="B779" s="6"/>
      <c r="C779" s="76" t="s">
        <v>30</v>
      </c>
      <c r="D779" s="76" t="s">
        <v>1552</v>
      </c>
      <c r="E779" s="76" t="s">
        <v>1553</v>
      </c>
      <c r="F779" s="76" t="s">
        <v>539</v>
      </c>
      <c r="G779" s="76" t="s">
        <v>702</v>
      </c>
      <c r="H779" s="76">
        <f>STOCK[[#This Row],[Precio Final]]</f>
        <v>55</v>
      </c>
      <c r="I779" s="76">
        <f>STOCK[[#This Row],[Precio Venta Ideal (x1.5)]]</f>
        <v>68.25</v>
      </c>
      <c r="J779" s="91">
        <v>1</v>
      </c>
      <c r="K779" s="91">
        <f>SUMIFS(VENTAS[Cantidad],VENTAS[Código del producto Vendido],STOCK[[#This Row],[Code]])</f>
        <v>0</v>
      </c>
      <c r="L779" s="91">
        <f>STOCK[[#This Row],[Entradas]]-STOCK[[#This Row],[Salidas]]</f>
        <v>1</v>
      </c>
      <c r="M779" s="76">
        <f>STOCK[[#This Row],[Precio Final]]*10%</f>
        <v>5.5</v>
      </c>
      <c r="N779" s="76">
        <v>0</v>
      </c>
      <c r="O779" s="76">
        <v>0</v>
      </c>
      <c r="P779" s="76">
        <v>32</v>
      </c>
      <c r="Q779" s="91">
        <v>0</v>
      </c>
      <c r="R779" s="76">
        <v>0</v>
      </c>
      <c r="S779" s="76">
        <v>8</v>
      </c>
      <c r="T779" s="76">
        <f>STOCK[[#This Row],[Costo Unitario (USD)]]+STOCK[[#This Row],[Costo Envío (USD)]]+STOCK[[#This Row],[Comisión 10%]]</f>
        <v>45.5</v>
      </c>
      <c r="U779" s="76">
        <f>STOCK[[#This Row],[Costo total]]*1.5</f>
        <v>68.25</v>
      </c>
      <c r="V779" s="76">
        <v>55</v>
      </c>
      <c r="W779" s="76">
        <f>STOCK[[#This Row],[Precio Final]]-STOCK[[#This Row],[Costo total]]</f>
        <v>9.5</v>
      </c>
      <c r="X779" s="76">
        <f>STOCK[[#This Row],[Ganancia Unitaria]]*STOCK[[#This Row],[Salidas]]</f>
        <v>0</v>
      </c>
      <c r="AA779" s="76">
        <f>STOCK[[#This Row],[Costo total]]*STOCK[[#This Row],[Entradas]]</f>
        <v>45.5</v>
      </c>
      <c r="AB779" s="76">
        <f>STOCK[[#This Row],[Stock Actual]]*STOCK[[#This Row],[Costo total]]</f>
        <v>45.5</v>
      </c>
    </row>
    <row r="780" s="77" customFormat="1" ht="50" hidden="1" customHeight="1" spans="1:28">
      <c r="A780" s="77" t="s">
        <v>1554</v>
      </c>
      <c r="B780" s="6"/>
      <c r="C780" s="77" t="s">
        <v>30</v>
      </c>
      <c r="D780" s="77" t="s">
        <v>514</v>
      </c>
      <c r="E780" s="77" t="s">
        <v>1555</v>
      </c>
      <c r="F780" s="77" t="s">
        <v>38</v>
      </c>
      <c r="G780" s="77" t="s">
        <v>702</v>
      </c>
      <c r="H780" s="77">
        <f>STOCK[[#This Row],[Precio Final]]</f>
        <v>90</v>
      </c>
      <c r="I780" s="77">
        <f>STOCK[[#This Row],[Precio Venta Ideal (x1.5)]]</f>
        <v>130.5</v>
      </c>
      <c r="J780" s="92">
        <v>1</v>
      </c>
      <c r="K780" s="92">
        <f>SUMIFS(VENTAS[Cantidad],VENTAS[Código del producto Vendido],STOCK[[#This Row],[Code]])</f>
        <v>1</v>
      </c>
      <c r="L780" s="92">
        <f>STOCK[[#This Row],[Entradas]]-STOCK[[#This Row],[Salidas]]</f>
        <v>0</v>
      </c>
      <c r="M780" s="77">
        <f>STOCK[[#This Row],[Precio Final]]*10%</f>
        <v>9</v>
      </c>
      <c r="N780" s="77">
        <v>0</v>
      </c>
      <c r="O780" s="77">
        <v>0</v>
      </c>
      <c r="P780" s="77">
        <v>63</v>
      </c>
      <c r="Q780" s="92">
        <v>0</v>
      </c>
      <c r="R780" s="77">
        <v>0</v>
      </c>
      <c r="S780" s="77">
        <v>15</v>
      </c>
      <c r="T780" s="76">
        <f>STOCK[[#This Row],[Costo Unitario (USD)]]+STOCK[[#This Row],[Costo Envío (USD)]]+STOCK[[#This Row],[Comisión 10%]]</f>
        <v>87</v>
      </c>
      <c r="U780" s="77">
        <f>STOCK[[#This Row],[Costo total]]*1.5</f>
        <v>130.5</v>
      </c>
      <c r="V780" s="77">
        <v>90</v>
      </c>
      <c r="W780" s="77">
        <f>STOCK[[#This Row],[Precio Final]]-STOCK[[#This Row],[Costo total]]</f>
        <v>3</v>
      </c>
      <c r="X780" s="77">
        <f>STOCK[[#This Row],[Ganancia Unitaria]]*STOCK[[#This Row],[Salidas]]</f>
        <v>3</v>
      </c>
      <c r="AA780" s="77">
        <f>STOCK[[#This Row],[Costo total]]*STOCK[[#This Row],[Entradas]]</f>
        <v>87</v>
      </c>
      <c r="AB780" s="77">
        <f>STOCK[[#This Row],[Stock Actual]]*STOCK[[#This Row],[Costo total]]</f>
        <v>0</v>
      </c>
    </row>
    <row r="781" s="76" customFormat="1" ht="50" hidden="1" customHeight="1" spans="1:28">
      <c r="A781" s="76" t="s">
        <v>1556</v>
      </c>
      <c r="B781" s="6"/>
      <c r="C781" s="76" t="s">
        <v>30</v>
      </c>
      <c r="D781" s="76" t="s">
        <v>778</v>
      </c>
      <c r="E781" s="76" t="s">
        <v>1557</v>
      </c>
      <c r="F781" s="76" t="s">
        <v>38</v>
      </c>
      <c r="G781" s="76" t="s">
        <v>702</v>
      </c>
      <c r="H781" s="76">
        <f>STOCK[[#This Row],[Precio Final]]</f>
        <v>20</v>
      </c>
      <c r="I781" s="76">
        <f>STOCK[[#This Row],[Precio Venta Ideal (x1.5)]]</f>
        <v>24.675</v>
      </c>
      <c r="J781" s="91">
        <v>1</v>
      </c>
      <c r="K781" s="91">
        <f>SUMIFS(VENTAS[Cantidad],VENTAS[Código del producto Vendido],STOCK[[#This Row],[Code]])</f>
        <v>0</v>
      </c>
      <c r="L781" s="91">
        <f>STOCK[[#This Row],[Entradas]]-STOCK[[#This Row],[Salidas]]</f>
        <v>1</v>
      </c>
      <c r="M781" s="76">
        <f>STOCK[[#This Row],[Precio Final]]*10%</f>
        <v>2</v>
      </c>
      <c r="N781" s="76">
        <v>0</v>
      </c>
      <c r="O781" s="76">
        <v>0</v>
      </c>
      <c r="P781" s="76">
        <v>12.45</v>
      </c>
      <c r="Q781" s="91">
        <v>0</v>
      </c>
      <c r="R781" s="76">
        <v>0</v>
      </c>
      <c r="S781" s="76">
        <v>2</v>
      </c>
      <c r="T781" s="76">
        <f>STOCK[[#This Row],[Costo Unitario (USD)]]+STOCK[[#This Row],[Costo Envío (USD)]]+STOCK[[#This Row],[Comisión 10%]]</f>
        <v>16.45</v>
      </c>
      <c r="U781" s="76">
        <f>STOCK[[#This Row],[Costo total]]*1.5</f>
        <v>24.675</v>
      </c>
      <c r="V781" s="76">
        <v>20</v>
      </c>
      <c r="W781" s="76">
        <f>STOCK[[#This Row],[Precio Final]]-STOCK[[#This Row],[Costo total]]</f>
        <v>3.55</v>
      </c>
      <c r="X781" s="76">
        <f>STOCK[[#This Row],[Ganancia Unitaria]]*STOCK[[#This Row],[Salidas]]</f>
        <v>0</v>
      </c>
      <c r="AA781" s="76">
        <f>STOCK[[#This Row],[Costo total]]*STOCK[[#This Row],[Entradas]]</f>
        <v>16.45</v>
      </c>
      <c r="AB781" s="76">
        <f>STOCK[[#This Row],[Stock Actual]]*STOCK[[#This Row],[Costo total]]</f>
        <v>16.45</v>
      </c>
    </row>
    <row r="782" s="77" customFormat="1" ht="50" hidden="1" customHeight="1" spans="1:28">
      <c r="A782" s="77" t="s">
        <v>1558</v>
      </c>
      <c r="B782" s="6"/>
      <c r="C782" s="77" t="s">
        <v>30</v>
      </c>
      <c r="D782" s="77" t="s">
        <v>1386</v>
      </c>
      <c r="E782" s="77" t="s">
        <v>1559</v>
      </c>
      <c r="F782" s="77" t="s">
        <v>38</v>
      </c>
      <c r="G782" s="77" t="s">
        <v>702</v>
      </c>
      <c r="H782" s="77">
        <f>STOCK[[#This Row],[Precio Final]]</f>
        <v>50</v>
      </c>
      <c r="I782" s="77">
        <f>STOCK[[#This Row],[Precio Venta Ideal (x1.5)]]</f>
        <v>67.5</v>
      </c>
      <c r="J782" s="92">
        <v>1</v>
      </c>
      <c r="K782" s="92">
        <f>SUMIFS(VENTAS[Cantidad],VENTAS[Código del producto Vendido],STOCK[[#This Row],[Code]])</f>
        <v>0</v>
      </c>
      <c r="L782" s="92">
        <f>STOCK[[#This Row],[Entradas]]-STOCK[[#This Row],[Salidas]]</f>
        <v>1</v>
      </c>
      <c r="M782" s="77">
        <f>STOCK[[#This Row],[Precio Final]]*10%</f>
        <v>5</v>
      </c>
      <c r="N782" s="77">
        <v>0</v>
      </c>
      <c r="O782" s="77">
        <v>0</v>
      </c>
      <c r="P782" s="77">
        <v>35</v>
      </c>
      <c r="Q782" s="92">
        <v>0</v>
      </c>
      <c r="R782" s="77">
        <v>0</v>
      </c>
      <c r="S782" s="77">
        <v>5</v>
      </c>
      <c r="T782" s="76">
        <f>STOCK[[#This Row],[Costo Unitario (USD)]]+STOCK[[#This Row],[Costo Envío (USD)]]+STOCK[[#This Row],[Comisión 10%]]</f>
        <v>45</v>
      </c>
      <c r="U782" s="77">
        <f>STOCK[[#This Row],[Costo total]]*1.5</f>
        <v>67.5</v>
      </c>
      <c r="V782" s="77">
        <v>50</v>
      </c>
      <c r="W782" s="77">
        <f>STOCK[[#This Row],[Precio Final]]-STOCK[[#This Row],[Costo total]]</f>
        <v>5</v>
      </c>
      <c r="X782" s="77">
        <f>STOCK[[#This Row],[Ganancia Unitaria]]*STOCK[[#This Row],[Salidas]]</f>
        <v>0</v>
      </c>
      <c r="AA782" s="77">
        <f>STOCK[[#This Row],[Costo total]]*STOCK[[#This Row],[Entradas]]</f>
        <v>45</v>
      </c>
      <c r="AB782" s="77">
        <f>STOCK[[#This Row],[Stock Actual]]*STOCK[[#This Row],[Costo total]]</f>
        <v>45</v>
      </c>
    </row>
    <row r="783" s="76" customFormat="1" ht="50" hidden="1" customHeight="1" spans="1:28">
      <c r="A783" s="76" t="s">
        <v>1560</v>
      </c>
      <c r="B783" s="6"/>
      <c r="C783" s="76" t="s">
        <v>30</v>
      </c>
      <c r="D783" s="76" t="s">
        <v>1012</v>
      </c>
      <c r="E783" s="76" t="s">
        <v>1561</v>
      </c>
      <c r="F783" s="76" t="s">
        <v>718</v>
      </c>
      <c r="G783" s="76" t="s">
        <v>702</v>
      </c>
      <c r="H783" s="76">
        <f>STOCK[[#This Row],[Precio Final]]</f>
        <v>35</v>
      </c>
      <c r="I783" s="76">
        <f>STOCK[[#This Row],[Precio Venta Ideal (x1.5)]]</f>
        <v>41.25</v>
      </c>
      <c r="J783" s="91">
        <v>1</v>
      </c>
      <c r="K783" s="91">
        <f>SUMIFS(VENTAS[Cantidad],VENTAS[Código del producto Vendido],STOCK[[#This Row],[Code]])</f>
        <v>1</v>
      </c>
      <c r="L783" s="91">
        <f>STOCK[[#This Row],[Entradas]]-STOCK[[#This Row],[Salidas]]</f>
        <v>0</v>
      </c>
      <c r="M783" s="76">
        <f>STOCK[[#This Row],[Precio Final]]*10%</f>
        <v>3.5</v>
      </c>
      <c r="N783" s="76">
        <v>0</v>
      </c>
      <c r="O783" s="76">
        <v>0</v>
      </c>
      <c r="P783" s="76">
        <v>22</v>
      </c>
      <c r="Q783" s="91">
        <v>0</v>
      </c>
      <c r="R783" s="76">
        <v>0</v>
      </c>
      <c r="S783" s="76">
        <v>2</v>
      </c>
      <c r="T783" s="76">
        <f>STOCK[[#This Row],[Costo Unitario (USD)]]+STOCK[[#This Row],[Costo Envío (USD)]]+STOCK[[#This Row],[Comisión 10%]]</f>
        <v>27.5</v>
      </c>
      <c r="U783" s="76">
        <f>STOCK[[#This Row],[Costo total]]*1.5</f>
        <v>41.25</v>
      </c>
      <c r="V783" s="76">
        <v>35</v>
      </c>
      <c r="W783" s="76">
        <f>STOCK[[#This Row],[Precio Final]]-STOCK[[#This Row],[Costo total]]</f>
        <v>7.5</v>
      </c>
      <c r="X783" s="76">
        <f>STOCK[[#This Row],[Ganancia Unitaria]]*STOCK[[#This Row],[Salidas]]</f>
        <v>7.5</v>
      </c>
      <c r="AA783" s="76">
        <f>STOCK[[#This Row],[Costo total]]*STOCK[[#This Row],[Entradas]]</f>
        <v>27.5</v>
      </c>
      <c r="AB783" s="76">
        <f>STOCK[[#This Row],[Stock Actual]]*STOCK[[#This Row],[Costo total]]</f>
        <v>0</v>
      </c>
    </row>
    <row r="784" s="77" customFormat="1" ht="50" hidden="1" customHeight="1" spans="1:28">
      <c r="A784" s="77" t="s">
        <v>1562</v>
      </c>
      <c r="B784" s="6"/>
      <c r="C784" s="77" t="s">
        <v>30</v>
      </c>
      <c r="D784" s="77" t="s">
        <v>1386</v>
      </c>
      <c r="E784" s="77" t="s">
        <v>1563</v>
      </c>
      <c r="F784" s="77" t="s">
        <v>38</v>
      </c>
      <c r="G784" s="77" t="s">
        <v>702</v>
      </c>
      <c r="H784" s="77">
        <f>STOCK[[#This Row],[Precio Final]]</f>
        <v>50</v>
      </c>
      <c r="I784" s="77">
        <f>STOCK[[#This Row],[Precio Venta Ideal (x1.5)]]</f>
        <v>58.275</v>
      </c>
      <c r="J784" s="92">
        <v>1</v>
      </c>
      <c r="K784" s="92">
        <f>SUMIFS(VENTAS[Cantidad],VENTAS[Código del producto Vendido],STOCK[[#This Row],[Code]])</f>
        <v>0</v>
      </c>
      <c r="L784" s="92">
        <f>STOCK[[#This Row],[Entradas]]-STOCK[[#This Row],[Salidas]]</f>
        <v>1</v>
      </c>
      <c r="M784" s="77">
        <f>STOCK[[#This Row],[Precio Final]]*10%</f>
        <v>5</v>
      </c>
      <c r="N784" s="77">
        <v>0</v>
      </c>
      <c r="O784" s="77">
        <v>0</v>
      </c>
      <c r="P784" s="77">
        <v>26.85</v>
      </c>
      <c r="Q784" s="92">
        <v>0</v>
      </c>
      <c r="R784" s="77">
        <v>0</v>
      </c>
      <c r="S784" s="77">
        <v>7</v>
      </c>
      <c r="T784" s="76">
        <f>STOCK[[#This Row],[Costo Unitario (USD)]]+STOCK[[#This Row],[Costo Envío (USD)]]+STOCK[[#This Row],[Comisión 10%]]</f>
        <v>38.85</v>
      </c>
      <c r="U784" s="77">
        <f>STOCK[[#This Row],[Costo total]]*1.5</f>
        <v>58.275</v>
      </c>
      <c r="V784" s="77">
        <v>50</v>
      </c>
      <c r="W784" s="77">
        <f>STOCK[[#This Row],[Precio Final]]-STOCK[[#This Row],[Costo total]]</f>
        <v>11.15</v>
      </c>
      <c r="X784" s="77">
        <f>STOCK[[#This Row],[Ganancia Unitaria]]*STOCK[[#This Row],[Salidas]]</f>
        <v>0</v>
      </c>
      <c r="AA784" s="77">
        <f>STOCK[[#This Row],[Costo total]]*STOCK[[#This Row],[Entradas]]</f>
        <v>38.85</v>
      </c>
      <c r="AB784" s="77">
        <f>STOCK[[#This Row],[Stock Actual]]*STOCK[[#This Row],[Costo total]]</f>
        <v>38.85</v>
      </c>
    </row>
    <row r="785" s="76" customFormat="1" ht="50" hidden="1" customHeight="1" spans="1:28">
      <c r="A785" s="76" t="s">
        <v>1564</v>
      </c>
      <c r="B785" s="6"/>
      <c r="C785" s="76" t="s">
        <v>30</v>
      </c>
      <c r="D785" s="76" t="s">
        <v>1386</v>
      </c>
      <c r="E785" s="76" t="s">
        <v>1565</v>
      </c>
      <c r="F785" s="76" t="s">
        <v>38</v>
      </c>
      <c r="G785" s="76" t="s">
        <v>702</v>
      </c>
      <c r="H785" s="76">
        <f>STOCK[[#This Row],[Precio Final]]</f>
        <v>15</v>
      </c>
      <c r="I785" s="76">
        <f>STOCK[[#This Row],[Precio Venta Ideal (x1.5)]]</f>
        <v>18.57</v>
      </c>
      <c r="J785" s="91">
        <v>4</v>
      </c>
      <c r="K785" s="91">
        <f>SUMIFS(VENTAS[Cantidad],VENTAS[Código del producto Vendido],STOCK[[#This Row],[Code]])</f>
        <v>0</v>
      </c>
      <c r="L785" s="91">
        <f>STOCK[[#This Row],[Entradas]]-STOCK[[#This Row],[Salidas]]</f>
        <v>4</v>
      </c>
      <c r="M785" s="76">
        <f>STOCK[[#This Row],[Precio Final]]*10%</f>
        <v>1.5</v>
      </c>
      <c r="N785" s="76">
        <v>0</v>
      </c>
      <c r="O785" s="76">
        <v>0</v>
      </c>
      <c r="P785" s="76">
        <v>8.88</v>
      </c>
      <c r="Q785" s="91">
        <v>0</v>
      </c>
      <c r="R785" s="76">
        <v>0</v>
      </c>
      <c r="S785" s="76">
        <v>2</v>
      </c>
      <c r="T785" s="76">
        <f>STOCK[[#This Row],[Costo Unitario (USD)]]+STOCK[[#This Row],[Costo Envío (USD)]]+STOCK[[#This Row],[Comisión 10%]]</f>
        <v>12.38</v>
      </c>
      <c r="U785" s="76">
        <f>STOCK[[#This Row],[Costo total]]*1.5</f>
        <v>18.57</v>
      </c>
      <c r="V785" s="76">
        <v>15</v>
      </c>
      <c r="W785" s="76">
        <f>STOCK[[#This Row],[Precio Final]]-STOCK[[#This Row],[Costo total]]</f>
        <v>2.62</v>
      </c>
      <c r="X785" s="76">
        <f>STOCK[[#This Row],[Ganancia Unitaria]]*STOCK[[#This Row],[Salidas]]</f>
        <v>0</v>
      </c>
      <c r="AA785" s="76">
        <f>STOCK[[#This Row],[Costo total]]*STOCK[[#This Row],[Entradas]]</f>
        <v>49.52</v>
      </c>
      <c r="AB785" s="76">
        <f>STOCK[[#This Row],[Stock Actual]]*STOCK[[#This Row],[Costo total]]</f>
        <v>49.52</v>
      </c>
    </row>
    <row r="786" s="77" customFormat="1" ht="50" hidden="1" customHeight="1" spans="1:28">
      <c r="A786" s="77" t="s">
        <v>1566</v>
      </c>
      <c r="B786" s="6"/>
      <c r="C786" s="77" t="s">
        <v>30</v>
      </c>
      <c r="D786" s="77" t="s">
        <v>173</v>
      </c>
      <c r="E786" s="77" t="s">
        <v>1567</v>
      </c>
      <c r="F786" s="77" t="s">
        <v>60</v>
      </c>
      <c r="G786" s="77" t="s">
        <v>1294</v>
      </c>
      <c r="H786" s="77">
        <f>STOCK[[#This Row],[Precio Final]]</f>
        <v>40</v>
      </c>
      <c r="I786" s="77">
        <f>STOCK[[#This Row],[Precio Venta Ideal (x1.5)]]</f>
        <v>36</v>
      </c>
      <c r="J786" s="92">
        <v>3</v>
      </c>
      <c r="K786" s="92">
        <f>SUMIFS(VENTAS[Cantidad],VENTAS[Código del producto Vendido],STOCK[[#This Row],[Code]])</f>
        <v>2</v>
      </c>
      <c r="L786" s="92">
        <f>STOCK[[#This Row],[Entradas]]-STOCK[[#This Row],[Salidas]]</f>
        <v>1</v>
      </c>
      <c r="M786" s="77">
        <f>STOCK[[#This Row],[Precio Final]]*10%</f>
        <v>4</v>
      </c>
      <c r="N786" s="77">
        <v>0</v>
      </c>
      <c r="O786" s="77">
        <v>0</v>
      </c>
      <c r="P786" s="77">
        <v>15</v>
      </c>
      <c r="Q786" s="92">
        <v>0</v>
      </c>
      <c r="R786" s="77">
        <v>0</v>
      </c>
      <c r="S786" s="77">
        <v>5</v>
      </c>
      <c r="T786" s="76">
        <f>STOCK[[#This Row],[Costo Unitario (USD)]]+STOCK[[#This Row],[Costo Envío (USD)]]+STOCK[[#This Row],[Comisión 10%]]</f>
        <v>24</v>
      </c>
      <c r="U786" s="77">
        <f>STOCK[[#This Row],[Costo total]]*1.5</f>
        <v>36</v>
      </c>
      <c r="V786" s="77">
        <v>40</v>
      </c>
      <c r="W786" s="77">
        <f>STOCK[[#This Row],[Precio Final]]-STOCK[[#This Row],[Costo total]]</f>
        <v>16</v>
      </c>
      <c r="X786" s="77">
        <f>STOCK[[#This Row],[Ganancia Unitaria]]*STOCK[[#This Row],[Salidas]]</f>
        <v>32</v>
      </c>
      <c r="AA786" s="77">
        <f>STOCK[[#This Row],[Costo total]]*STOCK[[#This Row],[Entradas]]</f>
        <v>72</v>
      </c>
      <c r="AB786" s="77">
        <f>STOCK[[#This Row],[Stock Actual]]*STOCK[[#This Row],[Costo total]]</f>
        <v>24</v>
      </c>
    </row>
    <row r="787" s="76" customFormat="1" ht="50" hidden="1" customHeight="1" spans="1:28">
      <c r="A787" s="76" t="s">
        <v>1568</v>
      </c>
      <c r="B787" s="6"/>
      <c r="C787" s="76" t="s">
        <v>30</v>
      </c>
      <c r="D787" s="76" t="s">
        <v>1569</v>
      </c>
      <c r="E787" s="76" t="s">
        <v>1570</v>
      </c>
      <c r="F787" s="76" t="s">
        <v>764</v>
      </c>
      <c r="G787" s="76" t="s">
        <v>1294</v>
      </c>
      <c r="H787" s="76">
        <f>STOCK[[#This Row],[Precio Final]]</f>
        <v>25</v>
      </c>
      <c r="I787" s="76">
        <f>STOCK[[#This Row],[Precio Venta Ideal (x1.5)]]</f>
        <v>24.75</v>
      </c>
      <c r="J787" s="91">
        <v>1</v>
      </c>
      <c r="K787" s="91">
        <f>SUMIFS(VENTAS[Cantidad],VENTAS[Código del producto Vendido],STOCK[[#This Row],[Code]])</f>
        <v>1</v>
      </c>
      <c r="L787" s="91">
        <f>STOCK[[#This Row],[Entradas]]-STOCK[[#This Row],[Salidas]]</f>
        <v>0</v>
      </c>
      <c r="M787" s="76">
        <f>STOCK[[#This Row],[Precio Final]]*10%</f>
        <v>2.5</v>
      </c>
      <c r="N787" s="76">
        <v>0</v>
      </c>
      <c r="O787" s="76">
        <v>0</v>
      </c>
      <c r="P787" s="76">
        <v>9</v>
      </c>
      <c r="Q787" s="91">
        <v>0</v>
      </c>
      <c r="R787" s="76">
        <v>0</v>
      </c>
      <c r="S787" s="76">
        <v>5</v>
      </c>
      <c r="T787" s="76">
        <f>STOCK[[#This Row],[Costo Unitario (USD)]]+STOCK[[#This Row],[Costo Envío (USD)]]+STOCK[[#This Row],[Comisión 10%]]</f>
        <v>16.5</v>
      </c>
      <c r="U787" s="76">
        <f>STOCK[[#This Row],[Costo total]]*1.5</f>
        <v>24.75</v>
      </c>
      <c r="V787" s="76">
        <v>25</v>
      </c>
      <c r="W787" s="76">
        <f>STOCK[[#This Row],[Precio Final]]-STOCK[[#This Row],[Costo total]]</f>
        <v>8.5</v>
      </c>
      <c r="X787" s="76">
        <f>STOCK[[#This Row],[Ganancia Unitaria]]*STOCK[[#This Row],[Salidas]]</f>
        <v>8.5</v>
      </c>
      <c r="AA787" s="76">
        <f>STOCK[[#This Row],[Costo total]]*STOCK[[#This Row],[Entradas]]</f>
        <v>16.5</v>
      </c>
      <c r="AB787" s="76">
        <f>STOCK[[#This Row],[Stock Actual]]*STOCK[[#This Row],[Costo total]]</f>
        <v>0</v>
      </c>
    </row>
    <row r="788" s="77" customFormat="1" ht="50" hidden="1" customHeight="1" spans="1:28">
      <c r="A788" s="77" t="s">
        <v>1571</v>
      </c>
      <c r="B788" s="6"/>
      <c r="C788" s="77" t="s">
        <v>30</v>
      </c>
      <c r="D788" s="77" t="s">
        <v>1569</v>
      </c>
      <c r="E788" s="77" t="s">
        <v>1570</v>
      </c>
      <c r="F788" s="77" t="s">
        <v>1572</v>
      </c>
      <c r="G788" s="77" t="s">
        <v>1294</v>
      </c>
      <c r="H788" s="77">
        <f>STOCK[[#This Row],[Precio Final]]</f>
        <v>25</v>
      </c>
      <c r="I788" s="77">
        <f>STOCK[[#This Row],[Precio Venta Ideal (x1.5)]]</f>
        <v>24.75</v>
      </c>
      <c r="J788" s="92">
        <v>3</v>
      </c>
      <c r="K788" s="92">
        <f>SUMIFS(VENTAS[Cantidad],VENTAS[Código del producto Vendido],STOCK[[#This Row],[Code]])</f>
        <v>3</v>
      </c>
      <c r="L788" s="92">
        <f>STOCK[[#This Row],[Entradas]]-STOCK[[#This Row],[Salidas]]</f>
        <v>0</v>
      </c>
      <c r="M788" s="77">
        <f>STOCK[[#This Row],[Precio Final]]*10%</f>
        <v>2.5</v>
      </c>
      <c r="N788" s="77">
        <v>0</v>
      </c>
      <c r="O788" s="77">
        <v>0</v>
      </c>
      <c r="P788" s="77">
        <v>9</v>
      </c>
      <c r="Q788" s="92">
        <v>0</v>
      </c>
      <c r="R788" s="77">
        <v>0</v>
      </c>
      <c r="S788" s="77">
        <v>5</v>
      </c>
      <c r="T788" s="76">
        <f>STOCK[[#This Row],[Costo Unitario (USD)]]+STOCK[[#This Row],[Costo Envío (USD)]]+STOCK[[#This Row],[Comisión 10%]]</f>
        <v>16.5</v>
      </c>
      <c r="U788" s="77">
        <f>STOCK[[#This Row],[Costo total]]*1.5</f>
        <v>24.75</v>
      </c>
      <c r="V788" s="77">
        <v>25</v>
      </c>
      <c r="W788" s="77">
        <f>STOCK[[#This Row],[Precio Final]]-STOCK[[#This Row],[Costo total]]</f>
        <v>8.5</v>
      </c>
      <c r="X788" s="77">
        <f>STOCK[[#This Row],[Ganancia Unitaria]]*STOCK[[#This Row],[Salidas]]</f>
        <v>25.5</v>
      </c>
      <c r="AA788" s="77">
        <f>STOCK[[#This Row],[Costo total]]*STOCK[[#This Row],[Entradas]]</f>
        <v>49.5</v>
      </c>
      <c r="AB788" s="77">
        <f>STOCK[[#This Row],[Stock Actual]]*STOCK[[#This Row],[Costo total]]</f>
        <v>0</v>
      </c>
    </row>
    <row r="789" s="76" customFormat="1" ht="50" hidden="1" customHeight="1" spans="1:28">
      <c r="A789" s="76" t="s">
        <v>1573</v>
      </c>
      <c r="B789" s="6"/>
      <c r="C789" s="76" t="s">
        <v>30</v>
      </c>
      <c r="D789" s="76" t="s">
        <v>1574</v>
      </c>
      <c r="E789" s="76" t="s">
        <v>1575</v>
      </c>
      <c r="F789" s="76" t="s">
        <v>1576</v>
      </c>
      <c r="G789" s="76" t="s">
        <v>1294</v>
      </c>
      <c r="H789" s="76">
        <f>STOCK[[#This Row],[Precio Final]]</f>
        <v>18</v>
      </c>
      <c r="I789" s="76">
        <f>STOCK[[#This Row],[Precio Venta Ideal (x1.5)]]</f>
        <v>19.2</v>
      </c>
      <c r="J789" s="91">
        <v>2</v>
      </c>
      <c r="K789" s="91">
        <f>SUMIFS(VENTAS[Cantidad],VENTAS[Código del producto Vendido],STOCK[[#This Row],[Code]])</f>
        <v>2</v>
      </c>
      <c r="L789" s="91">
        <f>STOCK[[#This Row],[Entradas]]-STOCK[[#This Row],[Salidas]]</f>
        <v>0</v>
      </c>
      <c r="M789" s="76">
        <f>STOCK[[#This Row],[Precio Final]]*10%</f>
        <v>1.8</v>
      </c>
      <c r="N789" s="76">
        <v>0</v>
      </c>
      <c r="O789" s="76">
        <v>0</v>
      </c>
      <c r="P789" s="76">
        <v>7</v>
      </c>
      <c r="Q789" s="91">
        <v>0</v>
      </c>
      <c r="R789" s="76">
        <v>0</v>
      </c>
      <c r="S789" s="76">
        <v>4</v>
      </c>
      <c r="T789" s="76">
        <f>STOCK[[#This Row],[Costo Unitario (USD)]]+STOCK[[#This Row],[Costo Envío (USD)]]+STOCK[[#This Row],[Comisión 10%]]</f>
        <v>12.8</v>
      </c>
      <c r="U789" s="76">
        <f>STOCK[[#This Row],[Costo total]]*1.5</f>
        <v>19.2</v>
      </c>
      <c r="V789" s="76">
        <v>18</v>
      </c>
      <c r="W789" s="76">
        <f>STOCK[[#This Row],[Precio Final]]-STOCK[[#This Row],[Costo total]]</f>
        <v>5.2</v>
      </c>
      <c r="X789" s="76">
        <f>STOCK[[#This Row],[Ganancia Unitaria]]*STOCK[[#This Row],[Salidas]]</f>
        <v>10.4</v>
      </c>
      <c r="AA789" s="76">
        <f>STOCK[[#This Row],[Costo total]]*STOCK[[#This Row],[Entradas]]</f>
        <v>25.6</v>
      </c>
      <c r="AB789" s="76">
        <f>STOCK[[#This Row],[Stock Actual]]*STOCK[[#This Row],[Costo total]]</f>
        <v>0</v>
      </c>
    </row>
    <row r="790" s="77" customFormat="1" ht="50" hidden="1" customHeight="1" spans="1:28">
      <c r="A790" s="77" t="s">
        <v>1577</v>
      </c>
      <c r="B790" s="6"/>
      <c r="C790" s="77" t="s">
        <v>30</v>
      </c>
      <c r="D790" s="77" t="s">
        <v>1574</v>
      </c>
      <c r="E790" s="77" t="s">
        <v>1575</v>
      </c>
      <c r="F790" s="77" t="s">
        <v>1572</v>
      </c>
      <c r="G790" s="77" t="s">
        <v>1294</v>
      </c>
      <c r="H790" s="77">
        <f>STOCK[[#This Row],[Precio Final]]</f>
        <v>18</v>
      </c>
      <c r="I790" s="77">
        <f>STOCK[[#This Row],[Precio Venta Ideal (x1.5)]]</f>
        <v>19.2</v>
      </c>
      <c r="J790" s="92">
        <v>1</v>
      </c>
      <c r="K790" s="92">
        <f>SUMIFS(VENTAS[Cantidad],VENTAS[Código del producto Vendido],STOCK[[#This Row],[Code]])</f>
        <v>1</v>
      </c>
      <c r="L790" s="92">
        <f>STOCK[[#This Row],[Entradas]]-STOCK[[#This Row],[Salidas]]</f>
        <v>0</v>
      </c>
      <c r="M790" s="77">
        <f>STOCK[[#This Row],[Precio Final]]*10%</f>
        <v>1.8</v>
      </c>
      <c r="N790" s="77">
        <v>0</v>
      </c>
      <c r="O790" s="77">
        <v>0</v>
      </c>
      <c r="P790" s="77">
        <v>7</v>
      </c>
      <c r="Q790" s="92">
        <v>0</v>
      </c>
      <c r="R790" s="77">
        <v>0</v>
      </c>
      <c r="S790" s="77">
        <v>4</v>
      </c>
      <c r="T790" s="76">
        <f>STOCK[[#This Row],[Costo Unitario (USD)]]+STOCK[[#This Row],[Costo Envío (USD)]]+STOCK[[#This Row],[Comisión 10%]]</f>
        <v>12.8</v>
      </c>
      <c r="U790" s="77">
        <f>STOCK[[#This Row],[Costo total]]*1.5</f>
        <v>19.2</v>
      </c>
      <c r="V790" s="77">
        <v>18</v>
      </c>
      <c r="W790" s="77">
        <f>STOCK[[#This Row],[Precio Final]]-STOCK[[#This Row],[Costo total]]</f>
        <v>5.2</v>
      </c>
      <c r="X790" s="77">
        <f>STOCK[[#This Row],[Ganancia Unitaria]]*STOCK[[#This Row],[Salidas]]</f>
        <v>5.2</v>
      </c>
      <c r="AA790" s="77">
        <f>STOCK[[#This Row],[Costo total]]*STOCK[[#This Row],[Entradas]]</f>
        <v>12.8</v>
      </c>
      <c r="AB790" s="77">
        <f>STOCK[[#This Row],[Stock Actual]]*STOCK[[#This Row],[Costo total]]</f>
        <v>0</v>
      </c>
    </row>
    <row r="791" s="76" customFormat="1" ht="50" hidden="1" customHeight="1" spans="1:28">
      <c r="A791" s="76" t="s">
        <v>1578</v>
      </c>
      <c r="B791" s="6"/>
      <c r="C791" s="76" t="s">
        <v>30</v>
      </c>
      <c r="D791" s="76" t="s">
        <v>1574</v>
      </c>
      <c r="E791" s="76" t="s">
        <v>1579</v>
      </c>
      <c r="F791" s="76" t="s">
        <v>1576</v>
      </c>
      <c r="G791" s="76" t="s">
        <v>1294</v>
      </c>
      <c r="H791" s="76">
        <f>STOCK[[#This Row],[Precio Final]]</f>
        <v>50</v>
      </c>
      <c r="I791" s="76">
        <f>STOCK[[#This Row],[Precio Venta Ideal (x1.5)]]</f>
        <v>49.5</v>
      </c>
      <c r="J791" s="91">
        <v>2</v>
      </c>
      <c r="K791" s="91">
        <f>SUMIFS(VENTAS[Cantidad],VENTAS[Código del producto Vendido],STOCK[[#This Row],[Code]])</f>
        <v>2</v>
      </c>
      <c r="L791" s="91">
        <f>STOCK[[#This Row],[Entradas]]-STOCK[[#This Row],[Salidas]]</f>
        <v>0</v>
      </c>
      <c r="M791" s="76">
        <f>STOCK[[#This Row],[Precio Final]]*10%</f>
        <v>5</v>
      </c>
      <c r="N791" s="76">
        <v>0</v>
      </c>
      <c r="O791" s="76">
        <v>0</v>
      </c>
      <c r="P791" s="76">
        <v>18</v>
      </c>
      <c r="Q791" s="91">
        <v>0</v>
      </c>
      <c r="R791" s="76">
        <v>0</v>
      </c>
      <c r="S791" s="76">
        <v>10</v>
      </c>
      <c r="T791" s="76">
        <f>STOCK[[#This Row],[Costo Unitario (USD)]]+STOCK[[#This Row],[Costo Envío (USD)]]+STOCK[[#This Row],[Comisión 10%]]</f>
        <v>33</v>
      </c>
      <c r="U791" s="76">
        <f>STOCK[[#This Row],[Costo total]]*1.5</f>
        <v>49.5</v>
      </c>
      <c r="V791" s="76">
        <v>50</v>
      </c>
      <c r="W791" s="76">
        <f>STOCK[[#This Row],[Precio Final]]-STOCK[[#This Row],[Costo total]]</f>
        <v>17</v>
      </c>
      <c r="X791" s="76">
        <f>STOCK[[#This Row],[Ganancia Unitaria]]*STOCK[[#This Row],[Salidas]]</f>
        <v>34</v>
      </c>
      <c r="AA791" s="76">
        <f>STOCK[[#This Row],[Costo total]]*STOCK[[#This Row],[Entradas]]</f>
        <v>66</v>
      </c>
      <c r="AB791" s="76">
        <f>STOCK[[#This Row],[Stock Actual]]*STOCK[[#This Row],[Costo total]]</f>
        <v>0</v>
      </c>
    </row>
    <row r="792" s="77" customFormat="1" ht="50" hidden="1" customHeight="1" spans="1:28">
      <c r="A792" s="77" t="s">
        <v>1580</v>
      </c>
      <c r="B792" s="6"/>
      <c r="C792" s="77" t="s">
        <v>30</v>
      </c>
      <c r="D792" s="77" t="s">
        <v>1574</v>
      </c>
      <c r="E792" s="77" t="s">
        <v>1581</v>
      </c>
      <c r="F792" s="77" t="s">
        <v>1572</v>
      </c>
      <c r="G792" s="77" t="s">
        <v>1294</v>
      </c>
      <c r="H792" s="77">
        <f>STOCK[[#This Row],[Precio Final]]</f>
        <v>50</v>
      </c>
      <c r="I792" s="77">
        <f>STOCK[[#This Row],[Precio Venta Ideal (x1.5)]]</f>
        <v>49.5</v>
      </c>
      <c r="J792" s="92">
        <v>1</v>
      </c>
      <c r="K792" s="92">
        <f>SUMIFS(VENTAS[Cantidad],VENTAS[Código del producto Vendido],STOCK[[#This Row],[Code]])</f>
        <v>1</v>
      </c>
      <c r="L792" s="92">
        <f>STOCK[[#This Row],[Entradas]]-STOCK[[#This Row],[Salidas]]</f>
        <v>0</v>
      </c>
      <c r="M792" s="77">
        <f>STOCK[[#This Row],[Precio Final]]*10%</f>
        <v>5</v>
      </c>
      <c r="N792" s="77">
        <v>0</v>
      </c>
      <c r="O792" s="77">
        <v>0</v>
      </c>
      <c r="P792" s="77">
        <v>18</v>
      </c>
      <c r="Q792" s="92">
        <v>0</v>
      </c>
      <c r="R792" s="77">
        <v>0</v>
      </c>
      <c r="S792" s="77">
        <v>10</v>
      </c>
      <c r="T792" s="76">
        <f>STOCK[[#This Row],[Costo Unitario (USD)]]+STOCK[[#This Row],[Costo Envío (USD)]]+STOCK[[#This Row],[Comisión 10%]]</f>
        <v>33</v>
      </c>
      <c r="U792" s="77">
        <f>STOCK[[#This Row],[Costo total]]*1.5</f>
        <v>49.5</v>
      </c>
      <c r="V792" s="77">
        <v>50</v>
      </c>
      <c r="W792" s="77">
        <f>STOCK[[#This Row],[Precio Final]]-STOCK[[#This Row],[Costo total]]</f>
        <v>17</v>
      </c>
      <c r="X792" s="77">
        <f>STOCK[[#This Row],[Ganancia Unitaria]]*STOCK[[#This Row],[Salidas]]</f>
        <v>17</v>
      </c>
      <c r="AA792" s="77">
        <f>STOCK[[#This Row],[Costo total]]*STOCK[[#This Row],[Entradas]]</f>
        <v>33</v>
      </c>
      <c r="AB792" s="77">
        <f>STOCK[[#This Row],[Stock Actual]]*STOCK[[#This Row],[Costo total]]</f>
        <v>0</v>
      </c>
    </row>
    <row r="793" s="76" customFormat="1" ht="50" hidden="1" customHeight="1" spans="1:28">
      <c r="A793" s="76" t="s">
        <v>1582</v>
      </c>
      <c r="B793" s="6"/>
      <c r="C793" s="76" t="s">
        <v>30</v>
      </c>
      <c r="D793" s="76" t="s">
        <v>514</v>
      </c>
      <c r="E793" s="76" t="s">
        <v>1583</v>
      </c>
      <c r="F793" s="76" t="s">
        <v>762</v>
      </c>
      <c r="G793" s="76" t="s">
        <v>1294</v>
      </c>
      <c r="H793" s="76">
        <f>STOCK[[#This Row],[Precio Final]]</f>
        <v>18</v>
      </c>
      <c r="I793" s="76">
        <f>STOCK[[#This Row],[Precio Venta Ideal (x1.5)]]</f>
        <v>19.2</v>
      </c>
      <c r="J793" s="91">
        <v>2</v>
      </c>
      <c r="K793" s="91">
        <f>SUMIFS(VENTAS[Cantidad],VENTAS[Código del producto Vendido],STOCK[[#This Row],[Code]])</f>
        <v>2</v>
      </c>
      <c r="L793" s="91">
        <f>STOCK[[#This Row],[Entradas]]-STOCK[[#This Row],[Salidas]]</f>
        <v>0</v>
      </c>
      <c r="M793" s="76">
        <f>STOCK[[#This Row],[Precio Final]]*10%</f>
        <v>1.8</v>
      </c>
      <c r="N793" s="76">
        <v>0</v>
      </c>
      <c r="O793" s="76">
        <v>0</v>
      </c>
      <c r="P793" s="76">
        <v>7</v>
      </c>
      <c r="Q793" s="91">
        <v>0</v>
      </c>
      <c r="R793" s="76">
        <v>0</v>
      </c>
      <c r="S793" s="76">
        <v>4</v>
      </c>
      <c r="T793" s="76">
        <f>STOCK[[#This Row],[Costo Unitario (USD)]]+STOCK[[#This Row],[Costo Envío (USD)]]+STOCK[[#This Row],[Comisión 10%]]</f>
        <v>12.8</v>
      </c>
      <c r="U793" s="76">
        <f>STOCK[[#This Row],[Costo total]]*1.5</f>
        <v>19.2</v>
      </c>
      <c r="V793" s="76">
        <v>18</v>
      </c>
      <c r="W793" s="76">
        <f>STOCK[[#This Row],[Precio Final]]-STOCK[[#This Row],[Costo total]]</f>
        <v>5.2</v>
      </c>
      <c r="X793" s="76">
        <f>STOCK[[#This Row],[Ganancia Unitaria]]*STOCK[[#This Row],[Salidas]]</f>
        <v>10.4</v>
      </c>
      <c r="AA793" s="76">
        <f>STOCK[[#This Row],[Costo total]]*STOCK[[#This Row],[Entradas]]</f>
        <v>25.6</v>
      </c>
      <c r="AB793" s="76">
        <f>STOCK[[#This Row],[Stock Actual]]*STOCK[[#This Row],[Costo total]]</f>
        <v>0</v>
      </c>
    </row>
    <row r="794" s="77" customFormat="1" ht="50" hidden="1" customHeight="1" spans="1:28">
      <c r="A794" s="77" t="s">
        <v>1584</v>
      </c>
      <c r="B794" s="6"/>
      <c r="C794" s="77" t="s">
        <v>30</v>
      </c>
      <c r="D794" s="76" t="s">
        <v>514</v>
      </c>
      <c r="E794" s="77" t="s">
        <v>1583</v>
      </c>
      <c r="F794" s="77" t="s">
        <v>762</v>
      </c>
      <c r="G794" s="77" t="s">
        <v>1294</v>
      </c>
      <c r="H794" s="77">
        <f>STOCK[[#This Row],[Precio Final]]</f>
        <v>18</v>
      </c>
      <c r="I794" s="77">
        <f>STOCK[[#This Row],[Precio Venta Ideal (x1.5)]]</f>
        <v>19.2</v>
      </c>
      <c r="J794" s="92">
        <v>1</v>
      </c>
      <c r="K794" s="92">
        <f>SUMIFS(VENTAS[Cantidad],VENTAS[Código del producto Vendido],STOCK[[#This Row],[Code]])</f>
        <v>1</v>
      </c>
      <c r="L794" s="92">
        <f>STOCK[[#This Row],[Entradas]]-STOCK[[#This Row],[Salidas]]</f>
        <v>0</v>
      </c>
      <c r="M794" s="77">
        <f>STOCK[[#This Row],[Precio Final]]*10%</f>
        <v>1.8</v>
      </c>
      <c r="N794" s="77">
        <v>0</v>
      </c>
      <c r="O794" s="77">
        <v>0</v>
      </c>
      <c r="P794" s="77">
        <v>7</v>
      </c>
      <c r="Q794" s="92">
        <v>0</v>
      </c>
      <c r="R794" s="77">
        <v>0</v>
      </c>
      <c r="S794" s="77">
        <v>4</v>
      </c>
      <c r="T794" s="76">
        <f>STOCK[[#This Row],[Costo Unitario (USD)]]+STOCK[[#This Row],[Costo Envío (USD)]]+STOCK[[#This Row],[Comisión 10%]]</f>
        <v>12.8</v>
      </c>
      <c r="U794" s="77">
        <f>STOCK[[#This Row],[Costo total]]*1.5</f>
        <v>19.2</v>
      </c>
      <c r="V794" s="77">
        <v>18</v>
      </c>
      <c r="W794" s="77">
        <f>STOCK[[#This Row],[Precio Final]]-STOCK[[#This Row],[Costo total]]</f>
        <v>5.2</v>
      </c>
      <c r="X794" s="77">
        <f>STOCK[[#This Row],[Ganancia Unitaria]]*STOCK[[#This Row],[Salidas]]</f>
        <v>5.2</v>
      </c>
      <c r="AA794" s="77">
        <f>STOCK[[#This Row],[Costo total]]*STOCK[[#This Row],[Entradas]]</f>
        <v>12.8</v>
      </c>
      <c r="AB794" s="77">
        <f>STOCK[[#This Row],[Stock Actual]]*STOCK[[#This Row],[Costo total]]</f>
        <v>0</v>
      </c>
    </row>
    <row r="795" s="76" customFormat="1" ht="50" hidden="1" customHeight="1" spans="1:28">
      <c r="A795" s="76" t="s">
        <v>1585</v>
      </c>
      <c r="B795" s="6"/>
      <c r="C795" s="76" t="s">
        <v>30</v>
      </c>
      <c r="D795" s="76" t="s">
        <v>514</v>
      </c>
      <c r="E795" s="76" t="s">
        <v>1586</v>
      </c>
      <c r="F795" s="76" t="s">
        <v>1587</v>
      </c>
      <c r="G795" s="76" t="s">
        <v>1294</v>
      </c>
      <c r="H795" s="76">
        <f>STOCK[[#This Row],[Precio Final]]</f>
        <v>15</v>
      </c>
      <c r="I795" s="76">
        <f>STOCK[[#This Row],[Precio Venta Ideal (x1.5)]]</f>
        <v>16.485</v>
      </c>
      <c r="J795" s="91">
        <v>1</v>
      </c>
      <c r="K795" s="91">
        <f>SUMIFS(VENTAS[Cantidad],VENTAS[Código del producto Vendido],STOCK[[#This Row],[Code]])</f>
        <v>0</v>
      </c>
      <c r="L795" s="91">
        <f>STOCK[[#This Row],[Entradas]]-STOCK[[#This Row],[Salidas]]</f>
        <v>1</v>
      </c>
      <c r="M795" s="76">
        <f>STOCK[[#This Row],[Precio Final]]*10%</f>
        <v>1.5</v>
      </c>
      <c r="N795" s="76">
        <v>0</v>
      </c>
      <c r="O795" s="76">
        <v>0</v>
      </c>
      <c r="P795" s="76">
        <v>6.49</v>
      </c>
      <c r="Q795" s="91">
        <v>0</v>
      </c>
      <c r="R795" s="76">
        <v>0</v>
      </c>
      <c r="S795" s="76">
        <v>3</v>
      </c>
      <c r="T795" s="76">
        <f>STOCK[[#This Row],[Costo Unitario (USD)]]+STOCK[[#This Row],[Costo Envío (USD)]]+STOCK[[#This Row],[Comisión 10%]]</f>
        <v>10.99</v>
      </c>
      <c r="U795" s="76">
        <f>STOCK[[#This Row],[Costo total]]*1.5</f>
        <v>16.485</v>
      </c>
      <c r="V795" s="76">
        <v>15</v>
      </c>
      <c r="W795" s="76">
        <f>STOCK[[#This Row],[Precio Final]]-STOCK[[#This Row],[Costo total]]</f>
        <v>4.01</v>
      </c>
      <c r="X795" s="76">
        <f>STOCK[[#This Row],[Ganancia Unitaria]]*STOCK[[#This Row],[Salidas]]</f>
        <v>0</v>
      </c>
      <c r="AA795" s="76">
        <f>STOCK[[#This Row],[Costo total]]*STOCK[[#This Row],[Entradas]]</f>
        <v>10.99</v>
      </c>
      <c r="AB795" s="76">
        <f>STOCK[[#This Row],[Stock Actual]]*STOCK[[#This Row],[Costo total]]</f>
        <v>10.99</v>
      </c>
    </row>
    <row r="796" s="77" customFormat="1" ht="50" hidden="1" customHeight="1" spans="1:28">
      <c r="A796" s="77" t="s">
        <v>1588</v>
      </c>
      <c r="B796" s="6"/>
      <c r="C796" s="77" t="s">
        <v>30</v>
      </c>
      <c r="D796" s="76" t="s">
        <v>514</v>
      </c>
      <c r="E796" s="77" t="s">
        <v>1589</v>
      </c>
      <c r="F796" s="77" t="s">
        <v>1590</v>
      </c>
      <c r="G796" s="77" t="s">
        <v>1294</v>
      </c>
      <c r="H796" s="77">
        <f>STOCK[[#This Row],[Precio Final]]</f>
        <v>15</v>
      </c>
      <c r="I796" s="77">
        <f>STOCK[[#This Row],[Precio Venta Ideal (x1.5)]]</f>
        <v>16.485</v>
      </c>
      <c r="J796" s="92">
        <v>2</v>
      </c>
      <c r="K796" s="92">
        <f>SUMIFS(VENTAS[Cantidad],VENTAS[Código del producto Vendido],STOCK[[#This Row],[Code]])</f>
        <v>1</v>
      </c>
      <c r="L796" s="92">
        <f>STOCK[[#This Row],[Entradas]]-STOCK[[#This Row],[Salidas]]</f>
        <v>1</v>
      </c>
      <c r="M796" s="77">
        <f>STOCK[[#This Row],[Precio Final]]*10%</f>
        <v>1.5</v>
      </c>
      <c r="N796" s="77">
        <v>0</v>
      </c>
      <c r="O796" s="77">
        <v>0</v>
      </c>
      <c r="P796" s="77">
        <v>6.49</v>
      </c>
      <c r="Q796" s="92">
        <v>0</v>
      </c>
      <c r="R796" s="77">
        <v>0</v>
      </c>
      <c r="S796" s="77">
        <v>3</v>
      </c>
      <c r="T796" s="76">
        <f>STOCK[[#This Row],[Costo Unitario (USD)]]+STOCK[[#This Row],[Costo Envío (USD)]]+STOCK[[#This Row],[Comisión 10%]]</f>
        <v>10.99</v>
      </c>
      <c r="U796" s="77">
        <f>STOCK[[#This Row],[Costo total]]*1.5</f>
        <v>16.485</v>
      </c>
      <c r="V796" s="77">
        <v>15</v>
      </c>
      <c r="W796" s="77">
        <f>STOCK[[#This Row],[Precio Final]]-STOCK[[#This Row],[Costo total]]</f>
        <v>4.01</v>
      </c>
      <c r="X796" s="77">
        <f>STOCK[[#This Row],[Ganancia Unitaria]]*STOCK[[#This Row],[Salidas]]</f>
        <v>4.01</v>
      </c>
      <c r="AA796" s="77">
        <f>STOCK[[#This Row],[Costo total]]*STOCK[[#This Row],[Entradas]]</f>
        <v>21.98</v>
      </c>
      <c r="AB796" s="77">
        <f>STOCK[[#This Row],[Stock Actual]]*STOCK[[#This Row],[Costo total]]</f>
        <v>10.99</v>
      </c>
    </row>
    <row r="797" s="76" customFormat="1" ht="50" hidden="1" customHeight="1" spans="1:28">
      <c r="A797" s="76" t="s">
        <v>1591</v>
      </c>
      <c r="B797" s="6"/>
      <c r="C797" s="76" t="s">
        <v>30</v>
      </c>
      <c r="D797" s="76" t="s">
        <v>514</v>
      </c>
      <c r="E797" s="76" t="s">
        <v>1589</v>
      </c>
      <c r="F797" s="76" t="s">
        <v>1592</v>
      </c>
      <c r="G797" s="76" t="s">
        <v>1294</v>
      </c>
      <c r="H797" s="76">
        <f>STOCK[[#This Row],[Precio Final]]</f>
        <v>15</v>
      </c>
      <c r="I797" s="76">
        <f>STOCK[[#This Row],[Precio Venta Ideal (x1.5)]]</f>
        <v>16.485</v>
      </c>
      <c r="J797" s="91">
        <v>1</v>
      </c>
      <c r="K797" s="91">
        <f>SUMIFS(VENTAS[Cantidad],VENTAS[Código del producto Vendido],STOCK[[#This Row],[Code]])</f>
        <v>0</v>
      </c>
      <c r="L797" s="91">
        <f>STOCK[[#This Row],[Entradas]]-STOCK[[#This Row],[Salidas]]</f>
        <v>1</v>
      </c>
      <c r="M797" s="76">
        <f>STOCK[[#This Row],[Precio Final]]*10%</f>
        <v>1.5</v>
      </c>
      <c r="N797" s="76">
        <v>0</v>
      </c>
      <c r="O797" s="76">
        <v>0</v>
      </c>
      <c r="P797" s="76">
        <v>6.49</v>
      </c>
      <c r="Q797" s="91">
        <v>0</v>
      </c>
      <c r="R797" s="76">
        <v>0</v>
      </c>
      <c r="S797" s="76">
        <v>3</v>
      </c>
      <c r="T797" s="76">
        <f>STOCK[[#This Row],[Costo Unitario (USD)]]+STOCK[[#This Row],[Costo Envío (USD)]]+STOCK[[#This Row],[Comisión 10%]]</f>
        <v>10.99</v>
      </c>
      <c r="U797" s="76">
        <f>STOCK[[#This Row],[Costo total]]*1.5</f>
        <v>16.485</v>
      </c>
      <c r="V797" s="76">
        <v>15</v>
      </c>
      <c r="W797" s="76">
        <f>STOCK[[#This Row],[Precio Final]]-STOCK[[#This Row],[Costo total]]</f>
        <v>4.01</v>
      </c>
      <c r="X797" s="76">
        <f>STOCK[[#This Row],[Ganancia Unitaria]]*STOCK[[#This Row],[Salidas]]</f>
        <v>0</v>
      </c>
      <c r="AA797" s="76">
        <f>STOCK[[#This Row],[Costo total]]*STOCK[[#This Row],[Entradas]]</f>
        <v>10.99</v>
      </c>
      <c r="AB797" s="76">
        <f>STOCK[[#This Row],[Stock Actual]]*STOCK[[#This Row],[Costo total]]</f>
        <v>10.99</v>
      </c>
    </row>
    <row r="798" s="77" customFormat="1" ht="50" hidden="1" customHeight="1" spans="1:28">
      <c r="A798" s="77" t="s">
        <v>1593</v>
      </c>
      <c r="B798" s="6"/>
      <c r="C798" s="77" t="s">
        <v>30</v>
      </c>
      <c r="D798" s="76" t="s">
        <v>514</v>
      </c>
      <c r="E798" s="77" t="s">
        <v>1594</v>
      </c>
      <c r="F798" s="77" t="s">
        <v>764</v>
      </c>
      <c r="G798" s="77" t="s">
        <v>1294</v>
      </c>
      <c r="H798" s="77">
        <f>STOCK[[#This Row],[Precio Final]]</f>
        <v>15</v>
      </c>
      <c r="I798" s="77">
        <f>STOCK[[#This Row],[Precio Venta Ideal (x1.5)]]</f>
        <v>16.485</v>
      </c>
      <c r="J798" s="92">
        <v>2</v>
      </c>
      <c r="K798" s="92">
        <f>SUMIFS(VENTAS[Cantidad],VENTAS[Código del producto Vendido],STOCK[[#This Row],[Code]])</f>
        <v>2</v>
      </c>
      <c r="L798" s="92">
        <f>STOCK[[#This Row],[Entradas]]-STOCK[[#This Row],[Salidas]]</f>
        <v>0</v>
      </c>
      <c r="M798" s="77">
        <f>STOCK[[#This Row],[Precio Final]]*10%</f>
        <v>1.5</v>
      </c>
      <c r="N798" s="77">
        <v>0</v>
      </c>
      <c r="O798" s="77">
        <v>0</v>
      </c>
      <c r="P798" s="77">
        <v>6.49</v>
      </c>
      <c r="Q798" s="92">
        <v>0</v>
      </c>
      <c r="R798" s="77">
        <v>0</v>
      </c>
      <c r="S798" s="77">
        <v>3</v>
      </c>
      <c r="T798" s="76">
        <f>STOCK[[#This Row],[Costo Unitario (USD)]]+STOCK[[#This Row],[Costo Envío (USD)]]+STOCK[[#This Row],[Comisión 10%]]</f>
        <v>10.99</v>
      </c>
      <c r="U798" s="77">
        <f>STOCK[[#This Row],[Costo total]]*1.5</f>
        <v>16.485</v>
      </c>
      <c r="V798" s="77">
        <v>15</v>
      </c>
      <c r="W798" s="77">
        <f>STOCK[[#This Row],[Precio Final]]-STOCK[[#This Row],[Costo total]]</f>
        <v>4.01</v>
      </c>
      <c r="X798" s="77">
        <f>STOCK[[#This Row],[Ganancia Unitaria]]*STOCK[[#This Row],[Salidas]]</f>
        <v>8.02</v>
      </c>
      <c r="AA798" s="77">
        <f>STOCK[[#This Row],[Costo total]]*STOCK[[#This Row],[Entradas]]</f>
        <v>21.98</v>
      </c>
      <c r="AB798" s="77">
        <f>STOCK[[#This Row],[Stock Actual]]*STOCK[[#This Row],[Costo total]]</f>
        <v>0</v>
      </c>
    </row>
    <row r="799" s="76" customFormat="1" ht="50" hidden="1" customHeight="1" spans="1:28">
      <c r="A799" s="76" t="s">
        <v>1595</v>
      </c>
      <c r="B799" s="6"/>
      <c r="C799" s="76" t="s">
        <v>30</v>
      </c>
      <c r="D799" s="76" t="s">
        <v>514</v>
      </c>
      <c r="E799" s="76" t="s">
        <v>1596</v>
      </c>
      <c r="F799" s="76" t="s">
        <v>762</v>
      </c>
      <c r="G799" s="76" t="s">
        <v>1294</v>
      </c>
      <c r="H799" s="76">
        <f>STOCK[[#This Row],[Precio Final]]</f>
        <v>15</v>
      </c>
      <c r="I799" s="76">
        <f>STOCK[[#This Row],[Precio Venta Ideal (x1.5)]]</f>
        <v>16.485</v>
      </c>
      <c r="J799" s="91">
        <v>1</v>
      </c>
      <c r="K799" s="91">
        <f>SUMIFS(VENTAS[Cantidad],VENTAS[Código del producto Vendido],STOCK[[#This Row],[Code]])</f>
        <v>1</v>
      </c>
      <c r="L799" s="91">
        <f>STOCK[[#This Row],[Entradas]]-STOCK[[#This Row],[Salidas]]</f>
        <v>0</v>
      </c>
      <c r="M799" s="76">
        <f>STOCK[[#This Row],[Precio Final]]*10%</f>
        <v>1.5</v>
      </c>
      <c r="N799" s="76">
        <v>0</v>
      </c>
      <c r="O799" s="76">
        <v>0</v>
      </c>
      <c r="P799" s="76">
        <v>6.49</v>
      </c>
      <c r="Q799" s="91">
        <v>0</v>
      </c>
      <c r="R799" s="76">
        <v>0</v>
      </c>
      <c r="S799" s="76">
        <v>3</v>
      </c>
      <c r="T799" s="76">
        <f>STOCK[[#This Row],[Costo Unitario (USD)]]+STOCK[[#This Row],[Costo Envío (USD)]]+STOCK[[#This Row],[Comisión 10%]]</f>
        <v>10.99</v>
      </c>
      <c r="U799" s="76">
        <f>STOCK[[#This Row],[Costo total]]*1.5</f>
        <v>16.485</v>
      </c>
      <c r="V799" s="76">
        <v>15</v>
      </c>
      <c r="W799" s="76">
        <f>STOCK[[#This Row],[Precio Final]]-STOCK[[#This Row],[Costo total]]</f>
        <v>4.01</v>
      </c>
      <c r="X799" s="76">
        <f>STOCK[[#This Row],[Ganancia Unitaria]]*STOCK[[#This Row],[Salidas]]</f>
        <v>4.01</v>
      </c>
      <c r="AA799" s="76">
        <f>STOCK[[#This Row],[Costo total]]*STOCK[[#This Row],[Entradas]]</f>
        <v>10.99</v>
      </c>
      <c r="AB799" s="76">
        <f>STOCK[[#This Row],[Stock Actual]]*STOCK[[#This Row],[Costo total]]</f>
        <v>0</v>
      </c>
    </row>
    <row r="800" s="77" customFormat="1" ht="50" hidden="1" customHeight="1" spans="1:28">
      <c r="A800" s="77" t="s">
        <v>1597</v>
      </c>
      <c r="B800" s="6"/>
      <c r="C800" s="77" t="s">
        <v>30</v>
      </c>
      <c r="D800" s="77" t="s">
        <v>246</v>
      </c>
      <c r="E800" s="77" t="s">
        <v>1598</v>
      </c>
      <c r="F800" s="77" t="s">
        <v>40</v>
      </c>
      <c r="G800" s="77" t="s">
        <v>1599</v>
      </c>
      <c r="H800" s="77">
        <f>STOCK[[#This Row],[Precio Final]]</f>
        <v>20</v>
      </c>
      <c r="I800" s="77">
        <f>STOCK[[#This Row],[Precio Venta Ideal (x1.5)]]</f>
        <v>20.7</v>
      </c>
      <c r="J800" s="92">
        <v>3</v>
      </c>
      <c r="K800" s="92">
        <f>SUMIFS(VENTAS[Cantidad],VENTAS[Código del producto Vendido],STOCK[[#This Row],[Code]])</f>
        <v>3</v>
      </c>
      <c r="L800" s="92">
        <f>STOCK[[#This Row],[Entradas]]-STOCK[[#This Row],[Salidas]]</f>
        <v>0</v>
      </c>
      <c r="M800" s="77">
        <f>STOCK[[#This Row],[Precio Final]]*10%</f>
        <v>2</v>
      </c>
      <c r="N800" s="77">
        <v>0</v>
      </c>
      <c r="O800" s="77">
        <v>0</v>
      </c>
      <c r="P800" s="77">
        <v>10.3</v>
      </c>
      <c r="Q800" s="92">
        <v>0</v>
      </c>
      <c r="R800" s="77">
        <v>0</v>
      </c>
      <c r="S800" s="77">
        <v>1.5</v>
      </c>
      <c r="T800" s="76">
        <f>STOCK[[#This Row],[Costo Unitario (USD)]]+STOCK[[#This Row],[Costo Envío (USD)]]+STOCK[[#This Row],[Comisión 10%]]</f>
        <v>13.8</v>
      </c>
      <c r="U800" s="77">
        <f>STOCK[[#This Row],[Costo total]]*1.5</f>
        <v>20.7</v>
      </c>
      <c r="V800" s="77">
        <v>20</v>
      </c>
      <c r="W800" s="77">
        <f>STOCK[[#This Row],[Precio Final]]-STOCK[[#This Row],[Costo total]]</f>
        <v>6.2</v>
      </c>
      <c r="X800" s="77">
        <f>STOCK[[#This Row],[Ganancia Unitaria]]*STOCK[[#This Row],[Salidas]]</f>
        <v>18.6</v>
      </c>
      <c r="Y800" s="77" t="s">
        <v>1600</v>
      </c>
      <c r="AA800" s="77">
        <f>STOCK[[#This Row],[Costo total]]*STOCK[[#This Row],[Entradas]]</f>
        <v>41.4</v>
      </c>
      <c r="AB800" s="77">
        <f>STOCK[[#This Row],[Stock Actual]]*STOCK[[#This Row],[Costo total]]</f>
        <v>0</v>
      </c>
    </row>
    <row r="801" s="76" customFormat="1" ht="50" hidden="1" customHeight="1" spans="1:28">
      <c r="A801" s="76" t="s">
        <v>1601</v>
      </c>
      <c r="B801" s="6"/>
      <c r="C801" s="76" t="s">
        <v>30</v>
      </c>
      <c r="D801" s="76" t="s">
        <v>514</v>
      </c>
      <c r="E801" s="76" t="s">
        <v>1602</v>
      </c>
      <c r="F801" s="76" t="s">
        <v>539</v>
      </c>
      <c r="G801" s="76" t="s">
        <v>34</v>
      </c>
      <c r="H801" s="76">
        <f>STOCK[[#This Row],[Precio Final]]</f>
        <v>35</v>
      </c>
      <c r="I801" s="76">
        <f>STOCK[[#This Row],[Precio Venta Ideal (x1.5)]]</f>
        <v>31.29</v>
      </c>
      <c r="J801" s="91">
        <v>1</v>
      </c>
      <c r="K801" s="91">
        <f>SUMIFS(VENTAS[Cantidad],VENTAS[Código del producto Vendido],STOCK[[#This Row],[Code]])</f>
        <v>1</v>
      </c>
      <c r="L801" s="91">
        <f>STOCK[[#This Row],[Entradas]]-STOCK[[#This Row],[Salidas]]</f>
        <v>0</v>
      </c>
      <c r="M801" s="76">
        <f>STOCK[[#This Row],[Precio Final]]*10%</f>
        <v>3.5</v>
      </c>
      <c r="N801" s="76">
        <v>0</v>
      </c>
      <c r="O801" s="76">
        <v>0</v>
      </c>
      <c r="P801" s="76">
        <v>15.86</v>
      </c>
      <c r="Q801" s="91">
        <v>0</v>
      </c>
      <c r="R801" s="76">
        <v>0</v>
      </c>
      <c r="S801" s="76">
        <v>1.5</v>
      </c>
      <c r="T801" s="76">
        <f>STOCK[[#This Row],[Costo Unitario (USD)]]+STOCK[[#This Row],[Costo Envío (USD)]]+STOCK[[#This Row],[Comisión 10%]]</f>
        <v>20.86</v>
      </c>
      <c r="U801" s="76">
        <f>STOCK[[#This Row],[Costo total]]*1.5</f>
        <v>31.29</v>
      </c>
      <c r="V801" s="76">
        <v>35</v>
      </c>
      <c r="W801" s="76">
        <f>STOCK[[#This Row],[Precio Final]]-STOCK[[#This Row],[Costo total]]</f>
        <v>14.14</v>
      </c>
      <c r="X801" s="76">
        <f>STOCK[[#This Row],[Ganancia Unitaria]]*STOCK[[#This Row],[Salidas]]</f>
        <v>14.14</v>
      </c>
      <c r="AA801" s="76">
        <f>STOCK[[#This Row],[Costo total]]*STOCK[[#This Row],[Entradas]]</f>
        <v>20.86</v>
      </c>
      <c r="AB801" s="76">
        <f>STOCK[[#This Row],[Stock Actual]]*STOCK[[#This Row],[Costo total]]</f>
        <v>0</v>
      </c>
    </row>
    <row r="802" s="77" customFormat="1" ht="50" hidden="1" customHeight="1" spans="1:28">
      <c r="A802" s="77" t="s">
        <v>1603</v>
      </c>
      <c r="B802" s="6"/>
      <c r="C802" s="77" t="s">
        <v>30</v>
      </c>
      <c r="D802" s="76" t="s">
        <v>514</v>
      </c>
      <c r="E802" s="77" t="s">
        <v>1602</v>
      </c>
      <c r="F802" s="77" t="s">
        <v>762</v>
      </c>
      <c r="G802" s="77" t="s">
        <v>34</v>
      </c>
      <c r="H802" s="77">
        <f>STOCK[[#This Row],[Precio Final]]</f>
        <v>35</v>
      </c>
      <c r="I802" s="77">
        <f>STOCK[[#This Row],[Precio Venta Ideal (x1.5)]]</f>
        <v>31.29</v>
      </c>
      <c r="J802" s="92">
        <v>1</v>
      </c>
      <c r="K802" s="92">
        <f>SUMIFS(VENTAS[Cantidad],VENTAS[Código del producto Vendido],STOCK[[#This Row],[Code]])</f>
        <v>1</v>
      </c>
      <c r="L802" s="92">
        <f>STOCK[[#This Row],[Entradas]]-STOCK[[#This Row],[Salidas]]</f>
        <v>0</v>
      </c>
      <c r="M802" s="77">
        <f>STOCK[[#This Row],[Precio Final]]*10%</f>
        <v>3.5</v>
      </c>
      <c r="N802" s="77">
        <v>0</v>
      </c>
      <c r="O802" s="77">
        <v>0</v>
      </c>
      <c r="P802" s="77">
        <v>15.86</v>
      </c>
      <c r="Q802" s="92">
        <v>0</v>
      </c>
      <c r="R802" s="77">
        <v>0</v>
      </c>
      <c r="S802" s="77">
        <v>1.5</v>
      </c>
      <c r="T802" s="76">
        <f>STOCK[[#This Row],[Costo Unitario (USD)]]+STOCK[[#This Row],[Costo Envío (USD)]]+STOCK[[#This Row],[Comisión 10%]]</f>
        <v>20.86</v>
      </c>
      <c r="U802" s="77">
        <f>STOCK[[#This Row],[Costo total]]*1.5</f>
        <v>31.29</v>
      </c>
      <c r="V802" s="77">
        <v>35</v>
      </c>
      <c r="W802" s="77">
        <f>STOCK[[#This Row],[Precio Final]]-STOCK[[#This Row],[Costo total]]</f>
        <v>14.14</v>
      </c>
      <c r="X802" s="77">
        <f>STOCK[[#This Row],[Ganancia Unitaria]]*STOCK[[#This Row],[Salidas]]</f>
        <v>14.14</v>
      </c>
      <c r="Y802" s="77" t="s">
        <v>1600</v>
      </c>
      <c r="AA802" s="77">
        <f>STOCK[[#This Row],[Costo total]]*STOCK[[#This Row],[Entradas]]</f>
        <v>20.86</v>
      </c>
      <c r="AB802" s="77">
        <f>STOCK[[#This Row],[Stock Actual]]*STOCK[[#This Row],[Costo total]]</f>
        <v>0</v>
      </c>
    </row>
    <row r="803" s="76" customFormat="1" ht="50" hidden="1" customHeight="1" spans="1:28">
      <c r="A803" s="76" t="s">
        <v>1604</v>
      </c>
      <c r="B803" s="6"/>
      <c r="C803" s="76" t="s">
        <v>30</v>
      </c>
      <c r="D803" s="76" t="s">
        <v>42</v>
      </c>
      <c r="E803" s="76" t="s">
        <v>1605</v>
      </c>
      <c r="F803" s="76" t="s">
        <v>47</v>
      </c>
      <c r="G803" s="76" t="s">
        <v>34</v>
      </c>
      <c r="H803" s="76">
        <f>STOCK[[#This Row],[Precio Final]]</f>
        <v>30</v>
      </c>
      <c r="I803" s="76">
        <f>STOCK[[#This Row],[Precio Venta Ideal (x1.5)]]</f>
        <v>26.76</v>
      </c>
      <c r="J803" s="91">
        <v>2</v>
      </c>
      <c r="K803" s="91">
        <f>SUMIFS(VENTAS[Cantidad],VENTAS[Código del producto Vendido],STOCK[[#This Row],[Code]])</f>
        <v>2</v>
      </c>
      <c r="L803" s="91">
        <f>STOCK[[#This Row],[Entradas]]-STOCK[[#This Row],[Salidas]]</f>
        <v>0</v>
      </c>
      <c r="M803" s="76">
        <f>STOCK[[#This Row],[Precio Final]]*10%</f>
        <v>3</v>
      </c>
      <c r="N803" s="76">
        <v>0</v>
      </c>
      <c r="O803" s="76">
        <v>0</v>
      </c>
      <c r="P803" s="76">
        <v>13.34</v>
      </c>
      <c r="Q803" s="91">
        <v>0</v>
      </c>
      <c r="R803" s="76">
        <v>0</v>
      </c>
      <c r="S803" s="76">
        <v>1.5</v>
      </c>
      <c r="T803" s="76">
        <f>STOCK[[#This Row],[Costo Unitario (USD)]]+STOCK[[#This Row],[Costo Envío (USD)]]+STOCK[[#This Row],[Comisión 10%]]</f>
        <v>17.84</v>
      </c>
      <c r="U803" s="76">
        <f>STOCK[[#This Row],[Costo total]]*1.5</f>
        <v>26.76</v>
      </c>
      <c r="V803" s="76">
        <v>30</v>
      </c>
      <c r="W803" s="76">
        <f>STOCK[[#This Row],[Precio Final]]-STOCK[[#This Row],[Costo total]]</f>
        <v>12.16</v>
      </c>
      <c r="X803" s="76">
        <f>STOCK[[#This Row],[Ganancia Unitaria]]*STOCK[[#This Row],[Salidas]]</f>
        <v>24.32</v>
      </c>
      <c r="Y803" s="76" t="s">
        <v>1600</v>
      </c>
      <c r="AA803" s="76">
        <f>STOCK[[#This Row],[Costo total]]*STOCK[[#This Row],[Entradas]]</f>
        <v>35.68</v>
      </c>
      <c r="AB803" s="76">
        <f>STOCK[[#This Row],[Stock Actual]]*STOCK[[#This Row],[Costo total]]</f>
        <v>0</v>
      </c>
    </row>
    <row r="804" s="77" customFormat="1" ht="50" hidden="1" customHeight="1" spans="1:28">
      <c r="A804" s="77" t="s">
        <v>1606</v>
      </c>
      <c r="B804" s="6"/>
      <c r="C804" s="77" t="s">
        <v>30</v>
      </c>
      <c r="D804" s="77" t="s">
        <v>42</v>
      </c>
      <c r="E804" s="77" t="s">
        <v>1605</v>
      </c>
      <c r="F804" s="77" t="s">
        <v>60</v>
      </c>
      <c r="G804" s="77" t="s">
        <v>34</v>
      </c>
      <c r="H804" s="77">
        <f>STOCK[[#This Row],[Precio Final]]</f>
        <v>30</v>
      </c>
      <c r="I804" s="77">
        <f>STOCK[[#This Row],[Precio Venta Ideal (x1.5)]]</f>
        <v>26.76</v>
      </c>
      <c r="J804" s="92">
        <v>1</v>
      </c>
      <c r="K804" s="92">
        <f>SUMIFS(VENTAS[Cantidad],VENTAS[Código del producto Vendido],STOCK[[#This Row],[Code]])</f>
        <v>1</v>
      </c>
      <c r="L804" s="92">
        <f>STOCK[[#This Row],[Entradas]]-STOCK[[#This Row],[Salidas]]</f>
        <v>0</v>
      </c>
      <c r="M804" s="77">
        <f>STOCK[[#This Row],[Precio Final]]*10%</f>
        <v>3</v>
      </c>
      <c r="N804" s="77">
        <v>0</v>
      </c>
      <c r="O804" s="77">
        <v>0</v>
      </c>
      <c r="P804" s="77">
        <v>13.34</v>
      </c>
      <c r="Q804" s="92">
        <v>0</v>
      </c>
      <c r="R804" s="77">
        <v>0</v>
      </c>
      <c r="S804" s="77">
        <v>1.5</v>
      </c>
      <c r="T804" s="76">
        <f>STOCK[[#This Row],[Costo Unitario (USD)]]+STOCK[[#This Row],[Costo Envío (USD)]]+STOCK[[#This Row],[Comisión 10%]]</f>
        <v>17.84</v>
      </c>
      <c r="U804" s="77">
        <f>STOCK[[#This Row],[Costo total]]*1.5</f>
        <v>26.76</v>
      </c>
      <c r="V804" s="77">
        <v>30</v>
      </c>
      <c r="W804" s="77">
        <f>STOCK[[#This Row],[Precio Final]]-STOCK[[#This Row],[Costo total]]</f>
        <v>12.16</v>
      </c>
      <c r="X804" s="77">
        <f>STOCK[[#This Row],[Ganancia Unitaria]]*STOCK[[#This Row],[Salidas]]</f>
        <v>12.16</v>
      </c>
      <c r="Y804" s="77" t="s">
        <v>1600</v>
      </c>
      <c r="AA804" s="77">
        <f>STOCK[[#This Row],[Costo total]]*STOCK[[#This Row],[Entradas]]</f>
        <v>17.84</v>
      </c>
      <c r="AB804" s="77">
        <f>STOCK[[#This Row],[Stock Actual]]*STOCK[[#This Row],[Costo total]]</f>
        <v>0</v>
      </c>
    </row>
    <row r="805" s="76" customFormat="1" ht="50" hidden="1" customHeight="1" spans="1:28">
      <c r="A805" s="76" t="s">
        <v>1607</v>
      </c>
      <c r="B805" s="6"/>
      <c r="C805" s="76" t="s">
        <v>30</v>
      </c>
      <c r="D805" s="76" t="s">
        <v>1608</v>
      </c>
      <c r="E805" s="76" t="s">
        <v>1609</v>
      </c>
      <c r="F805" s="76" t="s">
        <v>81</v>
      </c>
      <c r="G805" s="76" t="s">
        <v>34</v>
      </c>
      <c r="H805" s="76">
        <f>STOCK[[#This Row],[Precio Final]]</f>
        <v>30</v>
      </c>
      <c r="I805" s="76">
        <f>STOCK[[#This Row],[Precio Venta Ideal (x1.5)]]</f>
        <v>26.76</v>
      </c>
      <c r="J805" s="91">
        <v>2</v>
      </c>
      <c r="K805" s="91">
        <f>SUMIFS(VENTAS[Cantidad],VENTAS[Código del producto Vendido],STOCK[[#This Row],[Code]])</f>
        <v>2</v>
      </c>
      <c r="L805" s="91">
        <f>STOCK[[#This Row],[Entradas]]-STOCK[[#This Row],[Salidas]]</f>
        <v>0</v>
      </c>
      <c r="M805" s="76">
        <f>STOCK[[#This Row],[Precio Final]]*10%</f>
        <v>3</v>
      </c>
      <c r="N805" s="76">
        <v>0</v>
      </c>
      <c r="O805" s="76">
        <v>0</v>
      </c>
      <c r="P805" s="76">
        <v>13.34</v>
      </c>
      <c r="Q805" s="91">
        <v>0</v>
      </c>
      <c r="R805" s="76">
        <v>0</v>
      </c>
      <c r="S805" s="76">
        <v>1.5</v>
      </c>
      <c r="T805" s="76">
        <f>STOCK[[#This Row],[Costo Unitario (USD)]]+STOCK[[#This Row],[Costo Envío (USD)]]+STOCK[[#This Row],[Comisión 10%]]</f>
        <v>17.84</v>
      </c>
      <c r="U805" s="76">
        <f>STOCK[[#This Row],[Costo total]]*1.5</f>
        <v>26.76</v>
      </c>
      <c r="V805" s="76">
        <v>30</v>
      </c>
      <c r="W805" s="76">
        <f>STOCK[[#This Row],[Precio Final]]-STOCK[[#This Row],[Costo total]]</f>
        <v>12.16</v>
      </c>
      <c r="X805" s="76">
        <f>STOCK[[#This Row],[Ganancia Unitaria]]*STOCK[[#This Row],[Salidas]]</f>
        <v>24.32</v>
      </c>
      <c r="Y805" s="76" t="s">
        <v>1600</v>
      </c>
      <c r="AA805" s="76">
        <f>STOCK[[#This Row],[Costo total]]*STOCK[[#This Row],[Entradas]]</f>
        <v>35.68</v>
      </c>
      <c r="AB805" s="76">
        <f>STOCK[[#This Row],[Stock Actual]]*STOCK[[#This Row],[Costo total]]</f>
        <v>0</v>
      </c>
    </row>
    <row r="806" s="77" customFormat="1" ht="50" hidden="1" customHeight="1" spans="1:28">
      <c r="A806" s="77" t="s">
        <v>1610</v>
      </c>
      <c r="B806" s="6"/>
      <c r="C806" s="77" t="s">
        <v>30</v>
      </c>
      <c r="D806" s="77" t="s">
        <v>173</v>
      </c>
      <c r="E806" s="77" t="s">
        <v>1611</v>
      </c>
      <c r="F806" s="77" t="s">
        <v>210</v>
      </c>
      <c r="G806" s="77" t="s">
        <v>34</v>
      </c>
      <c r="H806" s="77">
        <f>STOCK[[#This Row],[Precio Final]]</f>
        <v>22</v>
      </c>
      <c r="I806" s="77">
        <f>STOCK[[#This Row],[Precio Venta Ideal (x1.5)]]</f>
        <v>17.91</v>
      </c>
      <c r="J806" s="92">
        <v>4</v>
      </c>
      <c r="K806" s="92">
        <f>SUMIFS(VENTAS[Cantidad],VENTAS[Código del producto Vendido],STOCK[[#This Row],[Code]])</f>
        <v>4</v>
      </c>
      <c r="L806" s="92">
        <f>STOCK[[#This Row],[Entradas]]-STOCK[[#This Row],[Salidas]]</f>
        <v>0</v>
      </c>
      <c r="M806" s="77">
        <f>STOCK[[#This Row],[Precio Final]]*10%</f>
        <v>2.2</v>
      </c>
      <c r="N806" s="77">
        <v>0</v>
      </c>
      <c r="O806" s="77">
        <v>0</v>
      </c>
      <c r="P806" s="77">
        <v>8.24</v>
      </c>
      <c r="Q806" s="92">
        <v>0</v>
      </c>
      <c r="R806" s="77">
        <v>0</v>
      </c>
      <c r="S806" s="77">
        <v>1.5</v>
      </c>
      <c r="T806" s="76">
        <f>STOCK[[#This Row],[Costo Unitario (USD)]]+STOCK[[#This Row],[Costo Envío (USD)]]+STOCK[[#This Row],[Comisión 10%]]</f>
        <v>11.94</v>
      </c>
      <c r="U806" s="77">
        <f>STOCK[[#This Row],[Costo total]]*1.5</f>
        <v>17.91</v>
      </c>
      <c r="V806" s="77">
        <v>22</v>
      </c>
      <c r="W806" s="77">
        <f>STOCK[[#This Row],[Precio Final]]-STOCK[[#This Row],[Costo total]]</f>
        <v>10.06</v>
      </c>
      <c r="X806" s="77">
        <f>STOCK[[#This Row],[Ganancia Unitaria]]*STOCK[[#This Row],[Salidas]]</f>
        <v>40.24</v>
      </c>
      <c r="Y806" s="77" t="s">
        <v>1600</v>
      </c>
      <c r="AA806" s="77">
        <f>STOCK[[#This Row],[Costo total]]*STOCK[[#This Row],[Entradas]]</f>
        <v>47.76</v>
      </c>
      <c r="AB806" s="77">
        <f>STOCK[[#This Row],[Stock Actual]]*STOCK[[#This Row],[Costo total]]</f>
        <v>0</v>
      </c>
    </row>
    <row r="807" s="76" customFormat="1" ht="50" hidden="1" customHeight="1" spans="1:28">
      <c r="A807" s="76" t="s">
        <v>1612</v>
      </c>
      <c r="B807" s="6"/>
      <c r="C807" s="76" t="s">
        <v>30</v>
      </c>
      <c r="D807" s="76" t="s">
        <v>173</v>
      </c>
      <c r="E807" s="76" t="s">
        <v>1611</v>
      </c>
      <c r="F807" s="76" t="s">
        <v>60</v>
      </c>
      <c r="G807" s="76" t="s">
        <v>34</v>
      </c>
      <c r="H807" s="76">
        <f>STOCK[[#This Row],[Precio Final]]</f>
        <v>22</v>
      </c>
      <c r="I807" s="76">
        <f>STOCK[[#This Row],[Precio Venta Ideal (x1.5)]]</f>
        <v>17.91</v>
      </c>
      <c r="J807" s="91">
        <v>3</v>
      </c>
      <c r="K807" s="91">
        <f>SUMIFS(VENTAS[Cantidad],VENTAS[Código del producto Vendido],STOCK[[#This Row],[Code]])</f>
        <v>3</v>
      </c>
      <c r="L807" s="91">
        <f>STOCK[[#This Row],[Entradas]]-STOCK[[#This Row],[Salidas]]</f>
        <v>0</v>
      </c>
      <c r="M807" s="76">
        <f>STOCK[[#This Row],[Precio Final]]*10%</f>
        <v>2.2</v>
      </c>
      <c r="N807" s="76">
        <v>0</v>
      </c>
      <c r="O807" s="76">
        <v>0</v>
      </c>
      <c r="P807" s="76">
        <v>8.24</v>
      </c>
      <c r="Q807" s="91">
        <v>0</v>
      </c>
      <c r="R807" s="76">
        <v>0</v>
      </c>
      <c r="S807" s="76">
        <v>1.5</v>
      </c>
      <c r="T807" s="76">
        <f>STOCK[[#This Row],[Costo Unitario (USD)]]+STOCK[[#This Row],[Costo Envío (USD)]]+STOCK[[#This Row],[Comisión 10%]]</f>
        <v>11.94</v>
      </c>
      <c r="U807" s="76">
        <f>STOCK[[#This Row],[Costo total]]*1.5</f>
        <v>17.91</v>
      </c>
      <c r="V807" s="76">
        <v>22</v>
      </c>
      <c r="W807" s="76">
        <f>STOCK[[#This Row],[Precio Final]]-STOCK[[#This Row],[Costo total]]</f>
        <v>10.06</v>
      </c>
      <c r="X807" s="76">
        <f>STOCK[[#This Row],[Ganancia Unitaria]]*STOCK[[#This Row],[Salidas]]</f>
        <v>30.18</v>
      </c>
      <c r="Y807" s="76" t="s">
        <v>1600</v>
      </c>
      <c r="AA807" s="76">
        <f>STOCK[[#This Row],[Costo total]]*STOCK[[#This Row],[Entradas]]</f>
        <v>35.82</v>
      </c>
      <c r="AB807" s="76">
        <f>STOCK[[#This Row],[Stock Actual]]*STOCK[[#This Row],[Costo total]]</f>
        <v>0</v>
      </c>
    </row>
    <row r="808" s="77" customFormat="1" ht="50" hidden="1" customHeight="1" spans="1:28">
      <c r="A808" s="77" t="s">
        <v>1613</v>
      </c>
      <c r="B808" s="6"/>
      <c r="C808" s="77" t="s">
        <v>30</v>
      </c>
      <c r="D808" s="77" t="s">
        <v>246</v>
      </c>
      <c r="E808" s="77" t="s">
        <v>1611</v>
      </c>
      <c r="F808" s="77" t="s">
        <v>44</v>
      </c>
      <c r="G808" s="77" t="s">
        <v>34</v>
      </c>
      <c r="H808" s="77">
        <f>STOCK[[#This Row],[Precio Final]]</f>
        <v>22</v>
      </c>
      <c r="I808" s="77">
        <f>STOCK[[#This Row],[Precio Venta Ideal (x1.5)]]</f>
        <v>17.91</v>
      </c>
      <c r="J808" s="92">
        <v>2</v>
      </c>
      <c r="K808" s="92">
        <f>SUMIFS(VENTAS[Cantidad],VENTAS[Código del producto Vendido],STOCK[[#This Row],[Code]])</f>
        <v>2</v>
      </c>
      <c r="L808" s="92">
        <f>STOCK[[#This Row],[Entradas]]-STOCK[[#This Row],[Salidas]]</f>
        <v>0</v>
      </c>
      <c r="M808" s="77">
        <f>STOCK[[#This Row],[Precio Final]]*10%</f>
        <v>2.2</v>
      </c>
      <c r="N808" s="77">
        <v>0</v>
      </c>
      <c r="O808" s="77">
        <v>0</v>
      </c>
      <c r="P808" s="77">
        <v>8.24</v>
      </c>
      <c r="Q808" s="92">
        <v>0</v>
      </c>
      <c r="R808" s="77">
        <v>0</v>
      </c>
      <c r="S808" s="77">
        <v>1.5</v>
      </c>
      <c r="T808" s="76">
        <f>STOCK[[#This Row],[Costo Unitario (USD)]]+STOCK[[#This Row],[Costo Envío (USD)]]+STOCK[[#This Row],[Comisión 10%]]</f>
        <v>11.94</v>
      </c>
      <c r="U808" s="77">
        <f>STOCK[[#This Row],[Costo total]]*1.5</f>
        <v>17.91</v>
      </c>
      <c r="V808" s="77">
        <v>22</v>
      </c>
      <c r="W808" s="77">
        <f>STOCK[[#This Row],[Precio Final]]-STOCK[[#This Row],[Costo total]]</f>
        <v>10.06</v>
      </c>
      <c r="X808" s="77">
        <f>STOCK[[#This Row],[Ganancia Unitaria]]*STOCK[[#This Row],[Salidas]]</f>
        <v>20.12</v>
      </c>
      <c r="Y808" s="77" t="s">
        <v>1600</v>
      </c>
      <c r="AA808" s="77">
        <f>STOCK[[#This Row],[Costo total]]*STOCK[[#This Row],[Entradas]]</f>
        <v>23.88</v>
      </c>
      <c r="AB808" s="77">
        <f>STOCK[[#This Row],[Stock Actual]]*STOCK[[#This Row],[Costo total]]</f>
        <v>0</v>
      </c>
    </row>
    <row r="809" s="76" customFormat="1" ht="50" hidden="1" customHeight="1" spans="1:28">
      <c r="A809" s="76" t="s">
        <v>1614</v>
      </c>
      <c r="B809" s="6"/>
      <c r="C809" s="76" t="s">
        <v>30</v>
      </c>
      <c r="D809" s="76" t="s">
        <v>42</v>
      </c>
      <c r="E809" s="76" t="s">
        <v>1615</v>
      </c>
      <c r="F809" s="76" t="s">
        <v>47</v>
      </c>
      <c r="G809" s="76" t="s">
        <v>34</v>
      </c>
      <c r="H809" s="76">
        <f>STOCK[[#This Row],[Precio Final]]</f>
        <v>30</v>
      </c>
      <c r="I809" s="76">
        <f>STOCK[[#This Row],[Precio Venta Ideal (x1.5)]]</f>
        <v>27.135</v>
      </c>
      <c r="J809" s="91">
        <v>1</v>
      </c>
      <c r="K809" s="91">
        <f>SUMIFS(VENTAS[Cantidad],VENTAS[Código del producto Vendido],STOCK[[#This Row],[Code]])</f>
        <v>1</v>
      </c>
      <c r="L809" s="91">
        <f>STOCK[[#This Row],[Entradas]]-STOCK[[#This Row],[Salidas]]</f>
        <v>0</v>
      </c>
      <c r="M809" s="76">
        <f>STOCK[[#This Row],[Precio Final]]*10%</f>
        <v>3</v>
      </c>
      <c r="N809" s="76">
        <v>0</v>
      </c>
      <c r="O809" s="76">
        <v>0</v>
      </c>
      <c r="P809" s="76">
        <v>13.59</v>
      </c>
      <c r="Q809" s="91">
        <v>0</v>
      </c>
      <c r="R809" s="76">
        <v>0</v>
      </c>
      <c r="S809" s="76">
        <v>1.5</v>
      </c>
      <c r="T809" s="76">
        <f>STOCK[[#This Row],[Costo Unitario (USD)]]+STOCK[[#This Row],[Costo Envío (USD)]]+STOCK[[#This Row],[Comisión 10%]]</f>
        <v>18.09</v>
      </c>
      <c r="U809" s="76">
        <f>STOCK[[#This Row],[Costo total]]*1.5</f>
        <v>27.135</v>
      </c>
      <c r="V809" s="76">
        <v>30</v>
      </c>
      <c r="W809" s="76">
        <f>STOCK[[#This Row],[Precio Final]]-STOCK[[#This Row],[Costo total]]</f>
        <v>11.91</v>
      </c>
      <c r="X809" s="76">
        <f>STOCK[[#This Row],[Ganancia Unitaria]]*STOCK[[#This Row],[Salidas]]</f>
        <v>11.91</v>
      </c>
      <c r="Y809" s="76" t="s">
        <v>1600</v>
      </c>
      <c r="AA809" s="76">
        <f>STOCK[[#This Row],[Costo total]]*STOCK[[#This Row],[Entradas]]</f>
        <v>18.09</v>
      </c>
      <c r="AB809" s="76">
        <f>STOCK[[#This Row],[Stock Actual]]*STOCK[[#This Row],[Costo total]]</f>
        <v>0</v>
      </c>
    </row>
    <row r="810" s="77" customFormat="1" ht="50" hidden="1" customHeight="1" spans="1:28">
      <c r="A810" s="77" t="s">
        <v>1616</v>
      </c>
      <c r="B810" s="6"/>
      <c r="C810" s="77" t="s">
        <v>30</v>
      </c>
      <c r="D810" s="77" t="s">
        <v>42</v>
      </c>
      <c r="E810" s="77" t="s">
        <v>1615</v>
      </c>
      <c r="F810" s="77" t="s">
        <v>86</v>
      </c>
      <c r="G810" s="77" t="s">
        <v>34</v>
      </c>
      <c r="H810" s="77">
        <f>STOCK[[#This Row],[Precio Final]]</f>
        <v>30</v>
      </c>
      <c r="I810" s="77">
        <f>STOCK[[#This Row],[Precio Venta Ideal (x1.5)]]</f>
        <v>27.135</v>
      </c>
      <c r="J810" s="92">
        <v>1</v>
      </c>
      <c r="K810" s="92">
        <f>SUMIFS(VENTAS[Cantidad],VENTAS[Código del producto Vendido],STOCK[[#This Row],[Code]])</f>
        <v>1</v>
      </c>
      <c r="L810" s="92">
        <f>STOCK[[#This Row],[Entradas]]-STOCK[[#This Row],[Salidas]]</f>
        <v>0</v>
      </c>
      <c r="M810" s="77">
        <f>STOCK[[#This Row],[Precio Final]]*10%</f>
        <v>3</v>
      </c>
      <c r="N810" s="77">
        <v>0</v>
      </c>
      <c r="O810" s="77">
        <v>0</v>
      </c>
      <c r="P810" s="77">
        <v>13.59</v>
      </c>
      <c r="Q810" s="92">
        <v>0</v>
      </c>
      <c r="R810" s="77">
        <v>0</v>
      </c>
      <c r="S810" s="77">
        <v>1.5</v>
      </c>
      <c r="T810" s="76">
        <f>STOCK[[#This Row],[Costo Unitario (USD)]]+STOCK[[#This Row],[Costo Envío (USD)]]+STOCK[[#This Row],[Comisión 10%]]</f>
        <v>18.09</v>
      </c>
      <c r="U810" s="77">
        <f>STOCK[[#This Row],[Costo total]]*1.5</f>
        <v>27.135</v>
      </c>
      <c r="V810" s="77">
        <v>30</v>
      </c>
      <c r="W810" s="77">
        <f>STOCK[[#This Row],[Precio Final]]-STOCK[[#This Row],[Costo total]]</f>
        <v>11.91</v>
      </c>
      <c r="X810" s="77">
        <f>STOCK[[#This Row],[Ganancia Unitaria]]*STOCK[[#This Row],[Salidas]]</f>
        <v>11.91</v>
      </c>
      <c r="Y810" s="77" t="s">
        <v>1600</v>
      </c>
      <c r="AA810" s="77">
        <f>STOCK[[#This Row],[Costo total]]*STOCK[[#This Row],[Entradas]]</f>
        <v>18.09</v>
      </c>
      <c r="AB810" s="77">
        <f>STOCK[[#This Row],[Stock Actual]]*STOCK[[#This Row],[Costo total]]</f>
        <v>0</v>
      </c>
    </row>
    <row r="811" s="76" customFormat="1" ht="50" hidden="1" customHeight="1" spans="1:28">
      <c r="A811" s="76" t="s">
        <v>1617</v>
      </c>
      <c r="B811" s="6"/>
      <c r="C811" s="76" t="s">
        <v>30</v>
      </c>
      <c r="D811" s="76" t="s">
        <v>42</v>
      </c>
      <c r="E811" s="76" t="s">
        <v>1618</v>
      </c>
      <c r="F811" s="76" t="s">
        <v>210</v>
      </c>
      <c r="G811" s="76" t="s">
        <v>34</v>
      </c>
      <c r="H811" s="76">
        <f>STOCK[[#This Row],[Precio Final]]</f>
        <v>25</v>
      </c>
      <c r="I811" s="76">
        <f>STOCK[[#This Row],[Precio Venta Ideal (x1.5)]]</f>
        <v>22.35</v>
      </c>
      <c r="J811" s="91">
        <v>1</v>
      </c>
      <c r="K811" s="91">
        <f>SUMIFS(VENTAS[Cantidad],VENTAS[Código del producto Vendido],STOCK[[#This Row],[Code]])</f>
        <v>1</v>
      </c>
      <c r="L811" s="91">
        <f>STOCK[[#This Row],[Entradas]]-STOCK[[#This Row],[Salidas]]</f>
        <v>0</v>
      </c>
      <c r="M811" s="76">
        <f>STOCK[[#This Row],[Precio Final]]*10%</f>
        <v>2.5</v>
      </c>
      <c r="N811" s="76">
        <v>0</v>
      </c>
      <c r="O811" s="76">
        <v>0</v>
      </c>
      <c r="P811" s="76">
        <v>10.9</v>
      </c>
      <c r="Q811" s="91">
        <v>0</v>
      </c>
      <c r="R811" s="76">
        <v>0</v>
      </c>
      <c r="S811" s="76">
        <v>1.5</v>
      </c>
      <c r="T811" s="76">
        <f>STOCK[[#This Row],[Costo Unitario (USD)]]+STOCK[[#This Row],[Costo Envío (USD)]]+STOCK[[#This Row],[Comisión 10%]]</f>
        <v>14.9</v>
      </c>
      <c r="U811" s="76">
        <f>STOCK[[#This Row],[Costo total]]*1.5</f>
        <v>22.35</v>
      </c>
      <c r="V811" s="76">
        <v>25</v>
      </c>
      <c r="W811" s="76">
        <f>STOCK[[#This Row],[Precio Final]]-STOCK[[#This Row],[Costo total]]</f>
        <v>10.1</v>
      </c>
      <c r="X811" s="76">
        <f>STOCK[[#This Row],[Ganancia Unitaria]]*STOCK[[#This Row],[Salidas]]</f>
        <v>10.1</v>
      </c>
      <c r="Y811" s="76" t="s">
        <v>1600</v>
      </c>
      <c r="AA811" s="76">
        <f>STOCK[[#This Row],[Costo total]]*STOCK[[#This Row],[Entradas]]</f>
        <v>14.9</v>
      </c>
      <c r="AB811" s="76">
        <f>STOCK[[#This Row],[Stock Actual]]*STOCK[[#This Row],[Costo total]]</f>
        <v>0</v>
      </c>
    </row>
    <row r="812" s="77" customFormat="1" ht="50" hidden="1" customHeight="1" spans="1:28">
      <c r="A812" s="77" t="s">
        <v>1619</v>
      </c>
      <c r="B812" s="6"/>
      <c r="C812" s="77" t="s">
        <v>30</v>
      </c>
      <c r="D812" s="77" t="s">
        <v>1012</v>
      </c>
      <c r="E812" s="77" t="s">
        <v>1618</v>
      </c>
      <c r="F812" s="77" t="s">
        <v>86</v>
      </c>
      <c r="G812" s="77" t="s">
        <v>34</v>
      </c>
      <c r="H812" s="77">
        <f>STOCK[[#This Row],[Precio Final]]</f>
        <v>35</v>
      </c>
      <c r="I812" s="77">
        <f>STOCK[[#This Row],[Precio Venta Ideal (x1.5)]]</f>
        <v>23.85</v>
      </c>
      <c r="J812" s="92">
        <v>2</v>
      </c>
      <c r="K812" s="92">
        <f>SUMIFS(VENTAS[Cantidad],VENTAS[Código del producto Vendido],STOCK[[#This Row],[Code]])</f>
        <v>2</v>
      </c>
      <c r="L812" s="92">
        <f>STOCK[[#This Row],[Entradas]]-STOCK[[#This Row],[Salidas]]</f>
        <v>0</v>
      </c>
      <c r="M812" s="77">
        <f>STOCK[[#This Row],[Precio Final]]*10%</f>
        <v>3.5</v>
      </c>
      <c r="N812" s="77">
        <v>0</v>
      </c>
      <c r="O812" s="77">
        <v>0</v>
      </c>
      <c r="P812" s="77">
        <v>10.9</v>
      </c>
      <c r="Q812" s="92">
        <v>0</v>
      </c>
      <c r="R812" s="77">
        <v>0</v>
      </c>
      <c r="S812" s="77">
        <v>1.5</v>
      </c>
      <c r="T812" s="76">
        <f>STOCK[[#This Row],[Costo Unitario (USD)]]+STOCK[[#This Row],[Costo Envío (USD)]]+STOCK[[#This Row],[Comisión 10%]]</f>
        <v>15.9</v>
      </c>
      <c r="U812" s="77">
        <f>STOCK[[#This Row],[Costo total]]*1.5</f>
        <v>23.85</v>
      </c>
      <c r="V812" s="77">
        <v>35</v>
      </c>
      <c r="W812" s="77">
        <f>STOCK[[#This Row],[Precio Final]]-STOCK[[#This Row],[Costo total]]</f>
        <v>19.1</v>
      </c>
      <c r="X812" s="77">
        <f>STOCK[[#This Row],[Ganancia Unitaria]]*STOCK[[#This Row],[Salidas]]</f>
        <v>38.2</v>
      </c>
      <c r="Y812" s="77" t="s">
        <v>1600</v>
      </c>
      <c r="AA812" s="77">
        <f>STOCK[[#This Row],[Costo total]]*STOCK[[#This Row],[Entradas]]</f>
        <v>31.8</v>
      </c>
      <c r="AB812" s="77">
        <f>STOCK[[#This Row],[Stock Actual]]*STOCK[[#This Row],[Costo total]]</f>
        <v>0</v>
      </c>
    </row>
    <row r="813" s="76" customFormat="1" ht="50" hidden="1" customHeight="1" spans="1:28">
      <c r="A813" s="76" t="s">
        <v>1620</v>
      </c>
      <c r="B813" s="6"/>
      <c r="C813" s="76" t="s">
        <v>30</v>
      </c>
      <c r="D813" s="76" t="s">
        <v>42</v>
      </c>
      <c r="E813" s="76" t="s">
        <v>1618</v>
      </c>
      <c r="F813" s="76" t="s">
        <v>44</v>
      </c>
      <c r="G813" s="76" t="s">
        <v>34</v>
      </c>
      <c r="H813" s="76">
        <f>STOCK[[#This Row],[Precio Final]]</f>
        <v>25</v>
      </c>
      <c r="I813" s="76">
        <f>STOCK[[#This Row],[Precio Venta Ideal (x1.5)]]</f>
        <v>22.35</v>
      </c>
      <c r="J813" s="91">
        <v>1</v>
      </c>
      <c r="K813" s="91">
        <f>SUMIFS(VENTAS[Cantidad],VENTAS[Código del producto Vendido],STOCK[[#This Row],[Code]])</f>
        <v>1</v>
      </c>
      <c r="L813" s="91">
        <f>STOCK[[#This Row],[Entradas]]-STOCK[[#This Row],[Salidas]]</f>
        <v>0</v>
      </c>
      <c r="M813" s="76">
        <f>STOCK[[#This Row],[Precio Final]]*10%</f>
        <v>2.5</v>
      </c>
      <c r="N813" s="76">
        <v>0</v>
      </c>
      <c r="O813" s="76">
        <v>0</v>
      </c>
      <c r="P813" s="76">
        <v>10.9</v>
      </c>
      <c r="Q813" s="91">
        <v>0</v>
      </c>
      <c r="R813" s="76">
        <v>0</v>
      </c>
      <c r="S813" s="76">
        <v>1.5</v>
      </c>
      <c r="T813" s="76">
        <f>STOCK[[#This Row],[Costo Unitario (USD)]]+STOCK[[#This Row],[Costo Envío (USD)]]+STOCK[[#This Row],[Comisión 10%]]</f>
        <v>14.9</v>
      </c>
      <c r="U813" s="76">
        <f>STOCK[[#This Row],[Costo total]]*1.5</f>
        <v>22.35</v>
      </c>
      <c r="V813" s="76">
        <v>25</v>
      </c>
      <c r="W813" s="76">
        <f>STOCK[[#This Row],[Precio Final]]-STOCK[[#This Row],[Costo total]]</f>
        <v>10.1</v>
      </c>
      <c r="X813" s="76">
        <f>STOCK[[#This Row],[Ganancia Unitaria]]*STOCK[[#This Row],[Salidas]]</f>
        <v>10.1</v>
      </c>
      <c r="Y813" s="76" t="s">
        <v>1600</v>
      </c>
      <c r="AA813" s="76">
        <f>STOCK[[#This Row],[Costo total]]*STOCK[[#This Row],[Entradas]]</f>
        <v>14.9</v>
      </c>
      <c r="AB813" s="76">
        <f>STOCK[[#This Row],[Stock Actual]]*STOCK[[#This Row],[Costo total]]</f>
        <v>0</v>
      </c>
    </row>
    <row r="814" s="77" customFormat="1" ht="50" hidden="1" customHeight="1" spans="1:28">
      <c r="A814" s="77" t="s">
        <v>1621</v>
      </c>
      <c r="B814" s="6"/>
      <c r="C814" s="77" t="s">
        <v>30</v>
      </c>
      <c r="D814" s="76" t="s">
        <v>514</v>
      </c>
      <c r="E814" s="77" t="s">
        <v>1602</v>
      </c>
      <c r="F814" s="77" t="s">
        <v>539</v>
      </c>
      <c r="G814" s="77" t="s">
        <v>34</v>
      </c>
      <c r="H814" s="77">
        <f>STOCK[[#This Row],[Precio Final]]</f>
        <v>40</v>
      </c>
      <c r="I814" s="77">
        <f>STOCK[[#This Row],[Precio Venta Ideal (x1.5)]]</f>
        <v>37.29</v>
      </c>
      <c r="J814" s="92">
        <v>1</v>
      </c>
      <c r="K814" s="92">
        <f>SUMIFS(VENTAS[Cantidad],VENTAS[Código del producto Vendido],STOCK[[#This Row],[Code]])</f>
        <v>1</v>
      </c>
      <c r="L814" s="92">
        <f>STOCK[[#This Row],[Entradas]]-STOCK[[#This Row],[Salidas]]</f>
        <v>0</v>
      </c>
      <c r="M814" s="77">
        <f>STOCK[[#This Row],[Precio Final]]*10%</f>
        <v>4</v>
      </c>
      <c r="N814" s="77">
        <v>0</v>
      </c>
      <c r="O814" s="77">
        <v>0</v>
      </c>
      <c r="P814" s="77">
        <v>15.86</v>
      </c>
      <c r="Q814" s="92">
        <v>0</v>
      </c>
      <c r="R814" s="77">
        <v>0</v>
      </c>
      <c r="S814" s="77">
        <v>5</v>
      </c>
      <c r="T814" s="76">
        <f>STOCK[[#This Row],[Costo Unitario (USD)]]+STOCK[[#This Row],[Costo Envío (USD)]]+STOCK[[#This Row],[Comisión 10%]]</f>
        <v>24.86</v>
      </c>
      <c r="U814" s="77">
        <f>STOCK[[#This Row],[Costo total]]*1.5</f>
        <v>37.29</v>
      </c>
      <c r="V814" s="77">
        <v>40</v>
      </c>
      <c r="W814" s="77">
        <f>STOCK[[#This Row],[Precio Final]]-STOCK[[#This Row],[Costo total]]</f>
        <v>15.14</v>
      </c>
      <c r="X814" s="77">
        <f>STOCK[[#This Row],[Ganancia Unitaria]]*STOCK[[#This Row],[Salidas]]</f>
        <v>15.14</v>
      </c>
      <c r="Y814" s="77" t="s">
        <v>1600</v>
      </c>
      <c r="AA814" s="77">
        <f>STOCK[[#This Row],[Costo total]]*STOCK[[#This Row],[Entradas]]</f>
        <v>24.86</v>
      </c>
      <c r="AB814" s="77">
        <f>STOCK[[#This Row],[Stock Actual]]*STOCK[[#This Row],[Costo total]]</f>
        <v>0</v>
      </c>
    </row>
    <row r="815" s="76" customFormat="1" ht="50" hidden="1" customHeight="1" spans="1:28">
      <c r="A815" s="76" t="s">
        <v>1622</v>
      </c>
      <c r="B815" s="6"/>
      <c r="C815" s="76" t="s">
        <v>30</v>
      </c>
      <c r="D815" s="76" t="s">
        <v>42</v>
      </c>
      <c r="E815" s="76" t="s">
        <v>1623</v>
      </c>
      <c r="F815" s="76" t="s">
        <v>60</v>
      </c>
      <c r="G815" s="76" t="s">
        <v>34</v>
      </c>
      <c r="H815" s="76">
        <f>STOCK[[#This Row],[Precio Final]]</f>
        <v>27</v>
      </c>
      <c r="I815" s="76">
        <f>STOCK[[#This Row],[Precio Venta Ideal (x1.5)]]</f>
        <v>25.005</v>
      </c>
      <c r="J815" s="91">
        <v>2</v>
      </c>
      <c r="K815" s="91">
        <f>SUMIFS(VENTAS[Cantidad],VENTAS[Código del producto Vendido],STOCK[[#This Row],[Code]])</f>
        <v>2</v>
      </c>
      <c r="L815" s="91">
        <f>STOCK[[#This Row],[Entradas]]-STOCK[[#This Row],[Salidas]]</f>
        <v>0</v>
      </c>
      <c r="M815" s="76">
        <f>STOCK[[#This Row],[Precio Final]]*10%</f>
        <v>2.7</v>
      </c>
      <c r="N815" s="76">
        <v>0</v>
      </c>
      <c r="O815" s="76">
        <v>0</v>
      </c>
      <c r="P815" s="76">
        <v>12.47</v>
      </c>
      <c r="Q815" s="91">
        <v>0</v>
      </c>
      <c r="R815" s="76">
        <v>0</v>
      </c>
      <c r="S815" s="76">
        <v>1.5</v>
      </c>
      <c r="T815" s="76">
        <f>STOCK[[#This Row],[Costo Unitario (USD)]]+STOCK[[#This Row],[Costo Envío (USD)]]+STOCK[[#This Row],[Comisión 10%]]</f>
        <v>16.67</v>
      </c>
      <c r="U815" s="76">
        <f>STOCK[[#This Row],[Costo total]]*1.5</f>
        <v>25.005</v>
      </c>
      <c r="V815" s="76">
        <v>27</v>
      </c>
      <c r="W815" s="76">
        <f>STOCK[[#This Row],[Precio Final]]-STOCK[[#This Row],[Costo total]]</f>
        <v>10.33</v>
      </c>
      <c r="X815" s="76">
        <f>STOCK[[#This Row],[Ganancia Unitaria]]*STOCK[[#This Row],[Salidas]]</f>
        <v>20.66</v>
      </c>
      <c r="Y815" s="76" t="s">
        <v>1600</v>
      </c>
      <c r="AA815" s="76">
        <f>STOCK[[#This Row],[Costo total]]*STOCK[[#This Row],[Entradas]]</f>
        <v>33.34</v>
      </c>
      <c r="AB815" s="76">
        <f>STOCK[[#This Row],[Stock Actual]]*STOCK[[#This Row],[Costo total]]</f>
        <v>0</v>
      </c>
    </row>
    <row r="816" s="77" customFormat="1" ht="50" hidden="1" customHeight="1" spans="1:28">
      <c r="A816" s="77" t="s">
        <v>1624</v>
      </c>
      <c r="B816" s="6"/>
      <c r="C816" s="77" t="s">
        <v>30</v>
      </c>
      <c r="D816" s="77" t="s">
        <v>42</v>
      </c>
      <c r="E816" s="77" t="s">
        <v>1623</v>
      </c>
      <c r="F816" s="77" t="s">
        <v>210</v>
      </c>
      <c r="G816" s="77" t="s">
        <v>34</v>
      </c>
      <c r="H816" s="77">
        <f>STOCK[[#This Row],[Precio Final]]</f>
        <v>27</v>
      </c>
      <c r="I816" s="77">
        <f>STOCK[[#This Row],[Precio Venta Ideal (x1.5)]]</f>
        <v>25.005</v>
      </c>
      <c r="J816" s="92">
        <v>3</v>
      </c>
      <c r="K816" s="92">
        <f>SUMIFS(VENTAS[Cantidad],VENTAS[Código del producto Vendido],STOCK[[#This Row],[Code]])</f>
        <v>3</v>
      </c>
      <c r="L816" s="92">
        <f>STOCK[[#This Row],[Entradas]]-STOCK[[#This Row],[Salidas]]</f>
        <v>0</v>
      </c>
      <c r="M816" s="77">
        <f>STOCK[[#This Row],[Precio Final]]*10%</f>
        <v>2.7</v>
      </c>
      <c r="N816" s="77">
        <v>0</v>
      </c>
      <c r="O816" s="77">
        <v>0</v>
      </c>
      <c r="P816" s="77">
        <v>12.47</v>
      </c>
      <c r="Q816" s="92">
        <v>0</v>
      </c>
      <c r="R816" s="77">
        <v>0</v>
      </c>
      <c r="S816" s="77">
        <v>1.5</v>
      </c>
      <c r="T816" s="76">
        <f>STOCK[[#This Row],[Costo Unitario (USD)]]+STOCK[[#This Row],[Costo Envío (USD)]]+STOCK[[#This Row],[Comisión 10%]]</f>
        <v>16.67</v>
      </c>
      <c r="U816" s="77">
        <f>STOCK[[#This Row],[Costo total]]*1.5</f>
        <v>25.005</v>
      </c>
      <c r="V816" s="77">
        <v>27</v>
      </c>
      <c r="W816" s="77">
        <f>STOCK[[#This Row],[Precio Final]]-STOCK[[#This Row],[Costo total]]</f>
        <v>10.33</v>
      </c>
      <c r="X816" s="77">
        <f>STOCK[[#This Row],[Ganancia Unitaria]]*STOCK[[#This Row],[Salidas]]</f>
        <v>30.99</v>
      </c>
      <c r="Y816" s="77" t="s">
        <v>1600</v>
      </c>
      <c r="AA816" s="77">
        <f>STOCK[[#This Row],[Costo total]]*STOCK[[#This Row],[Entradas]]</f>
        <v>50.01</v>
      </c>
      <c r="AB816" s="77">
        <f>STOCK[[#This Row],[Stock Actual]]*STOCK[[#This Row],[Costo total]]</f>
        <v>0</v>
      </c>
    </row>
    <row r="817" s="76" customFormat="1" ht="50" hidden="1" customHeight="1" spans="1:28">
      <c r="A817" s="76" t="s">
        <v>1625</v>
      </c>
      <c r="B817" s="6"/>
      <c r="C817" s="76" t="s">
        <v>30</v>
      </c>
      <c r="D817" s="76" t="s">
        <v>42</v>
      </c>
      <c r="E817" s="76" t="s">
        <v>1623</v>
      </c>
      <c r="F817" s="76" t="s">
        <v>204</v>
      </c>
      <c r="G817" s="76" t="s">
        <v>34</v>
      </c>
      <c r="H817" s="76">
        <f>STOCK[[#This Row],[Precio Final]]</f>
        <v>27</v>
      </c>
      <c r="I817" s="76">
        <f>STOCK[[#This Row],[Precio Venta Ideal (x1.5)]]</f>
        <v>25.005</v>
      </c>
      <c r="J817" s="91">
        <v>1</v>
      </c>
      <c r="K817" s="91">
        <f>SUMIFS(VENTAS[Cantidad],VENTAS[Código del producto Vendido],STOCK[[#This Row],[Code]])</f>
        <v>1</v>
      </c>
      <c r="L817" s="91">
        <f>STOCK[[#This Row],[Entradas]]-STOCK[[#This Row],[Salidas]]</f>
        <v>0</v>
      </c>
      <c r="M817" s="76">
        <f>STOCK[[#This Row],[Precio Final]]*10%</f>
        <v>2.7</v>
      </c>
      <c r="N817" s="76">
        <v>0</v>
      </c>
      <c r="O817" s="76">
        <v>0</v>
      </c>
      <c r="P817" s="76">
        <v>12.47</v>
      </c>
      <c r="Q817" s="91">
        <v>0</v>
      </c>
      <c r="R817" s="76">
        <v>0</v>
      </c>
      <c r="S817" s="76">
        <v>1.5</v>
      </c>
      <c r="T817" s="76">
        <f>STOCK[[#This Row],[Costo Unitario (USD)]]+STOCK[[#This Row],[Costo Envío (USD)]]+STOCK[[#This Row],[Comisión 10%]]</f>
        <v>16.67</v>
      </c>
      <c r="U817" s="76">
        <f>STOCK[[#This Row],[Costo total]]*1.5</f>
        <v>25.005</v>
      </c>
      <c r="V817" s="76">
        <v>27</v>
      </c>
      <c r="W817" s="76">
        <f>STOCK[[#This Row],[Precio Final]]-STOCK[[#This Row],[Costo total]]</f>
        <v>10.33</v>
      </c>
      <c r="X817" s="76">
        <f>STOCK[[#This Row],[Ganancia Unitaria]]*STOCK[[#This Row],[Salidas]]</f>
        <v>10.33</v>
      </c>
      <c r="Y817" s="76" t="s">
        <v>1600</v>
      </c>
      <c r="AA817" s="76">
        <f>STOCK[[#This Row],[Costo total]]*STOCK[[#This Row],[Entradas]]</f>
        <v>16.67</v>
      </c>
      <c r="AB817" s="76">
        <f>STOCK[[#This Row],[Stock Actual]]*STOCK[[#This Row],[Costo total]]</f>
        <v>0</v>
      </c>
    </row>
    <row r="818" s="77" customFormat="1" ht="50" hidden="1" customHeight="1" spans="1:28">
      <c r="A818" s="77" t="s">
        <v>1626</v>
      </c>
      <c r="B818" s="6"/>
      <c r="C818" s="77" t="s">
        <v>30</v>
      </c>
      <c r="D818" s="77" t="s">
        <v>42</v>
      </c>
      <c r="E818" s="77" t="s">
        <v>1627</v>
      </c>
      <c r="F818" s="77" t="s">
        <v>1628</v>
      </c>
      <c r="G818" s="77" t="s">
        <v>34</v>
      </c>
      <c r="H818" s="77">
        <f>STOCK[[#This Row],[Precio Final]]</f>
        <v>30</v>
      </c>
      <c r="I818" s="77">
        <f>STOCK[[#This Row],[Precio Venta Ideal (x1.5)]]</f>
        <v>25.995</v>
      </c>
      <c r="J818" s="92">
        <v>1</v>
      </c>
      <c r="K818" s="92">
        <f>SUMIFS(VENTAS[Cantidad],VENTAS[Código del producto Vendido],STOCK[[#This Row],[Code]])</f>
        <v>1</v>
      </c>
      <c r="L818" s="92">
        <f>STOCK[[#This Row],[Entradas]]-STOCK[[#This Row],[Salidas]]</f>
        <v>0</v>
      </c>
      <c r="M818" s="77">
        <f>STOCK[[#This Row],[Precio Final]]*10%</f>
        <v>3</v>
      </c>
      <c r="N818" s="77">
        <v>0</v>
      </c>
      <c r="O818" s="77">
        <v>0</v>
      </c>
      <c r="P818" s="77">
        <v>12.83</v>
      </c>
      <c r="Q818" s="92">
        <v>0</v>
      </c>
      <c r="R818" s="77">
        <v>0</v>
      </c>
      <c r="S818" s="77">
        <v>1.5</v>
      </c>
      <c r="T818" s="76">
        <f>STOCK[[#This Row],[Costo Unitario (USD)]]+STOCK[[#This Row],[Costo Envío (USD)]]+STOCK[[#This Row],[Comisión 10%]]</f>
        <v>17.33</v>
      </c>
      <c r="U818" s="77">
        <f>STOCK[[#This Row],[Costo total]]*1.5</f>
        <v>25.995</v>
      </c>
      <c r="V818" s="77">
        <v>30</v>
      </c>
      <c r="W818" s="77">
        <f>STOCK[[#This Row],[Precio Final]]-STOCK[[#This Row],[Costo total]]</f>
        <v>12.67</v>
      </c>
      <c r="X818" s="77">
        <f>STOCK[[#This Row],[Ganancia Unitaria]]*STOCK[[#This Row],[Salidas]]</f>
        <v>12.67</v>
      </c>
      <c r="Y818" s="77" t="s">
        <v>1600</v>
      </c>
      <c r="AA818" s="77">
        <f>STOCK[[#This Row],[Costo total]]*STOCK[[#This Row],[Entradas]]</f>
        <v>17.33</v>
      </c>
      <c r="AB818" s="77">
        <f>STOCK[[#This Row],[Stock Actual]]*STOCK[[#This Row],[Costo total]]</f>
        <v>0</v>
      </c>
    </row>
    <row r="819" s="76" customFormat="1" ht="50" hidden="1" customHeight="1" spans="1:28">
      <c r="A819" s="76" t="s">
        <v>1629</v>
      </c>
      <c r="B819" s="6"/>
      <c r="C819" s="76" t="s">
        <v>30</v>
      </c>
      <c r="D819" s="76" t="s">
        <v>42</v>
      </c>
      <c r="E819" s="76" t="s">
        <v>1630</v>
      </c>
      <c r="F819" s="76" t="s">
        <v>60</v>
      </c>
      <c r="G819" s="76" t="s">
        <v>34</v>
      </c>
      <c r="H819" s="76">
        <f>STOCK[[#This Row],[Precio Final]]</f>
        <v>30</v>
      </c>
      <c r="I819" s="76">
        <f>STOCK[[#This Row],[Precio Venta Ideal (x1.5)]]</f>
        <v>25.995</v>
      </c>
      <c r="J819" s="91">
        <v>1</v>
      </c>
      <c r="K819" s="91">
        <f>SUMIFS(VENTAS[Cantidad],VENTAS[Código del producto Vendido],STOCK[[#This Row],[Code]])</f>
        <v>1</v>
      </c>
      <c r="L819" s="91">
        <f>STOCK[[#This Row],[Entradas]]-STOCK[[#This Row],[Salidas]]</f>
        <v>0</v>
      </c>
      <c r="M819" s="76">
        <f>STOCK[[#This Row],[Precio Final]]*10%</f>
        <v>3</v>
      </c>
      <c r="N819" s="76">
        <v>0</v>
      </c>
      <c r="O819" s="76">
        <v>0</v>
      </c>
      <c r="P819" s="76">
        <v>12.83</v>
      </c>
      <c r="Q819" s="91">
        <v>0</v>
      </c>
      <c r="R819" s="76">
        <v>0</v>
      </c>
      <c r="S819" s="76">
        <v>1.5</v>
      </c>
      <c r="T819" s="76">
        <f>STOCK[[#This Row],[Costo Unitario (USD)]]+STOCK[[#This Row],[Costo Envío (USD)]]+STOCK[[#This Row],[Comisión 10%]]</f>
        <v>17.33</v>
      </c>
      <c r="U819" s="76">
        <f>STOCK[[#This Row],[Costo total]]*1.5</f>
        <v>25.995</v>
      </c>
      <c r="V819" s="76">
        <v>30</v>
      </c>
      <c r="W819" s="76">
        <f>STOCK[[#This Row],[Precio Final]]-STOCK[[#This Row],[Costo total]]</f>
        <v>12.67</v>
      </c>
      <c r="X819" s="76">
        <f>STOCK[[#This Row],[Ganancia Unitaria]]*STOCK[[#This Row],[Salidas]]</f>
        <v>12.67</v>
      </c>
      <c r="Y819" s="76" t="s">
        <v>1600</v>
      </c>
      <c r="AA819" s="76">
        <f>STOCK[[#This Row],[Costo total]]*STOCK[[#This Row],[Entradas]]</f>
        <v>17.33</v>
      </c>
      <c r="AB819" s="76">
        <f>STOCK[[#This Row],[Stock Actual]]*STOCK[[#This Row],[Costo total]]</f>
        <v>0</v>
      </c>
    </row>
    <row r="820" s="77" customFormat="1" ht="50" hidden="1" customHeight="1" spans="1:28">
      <c r="A820" s="77" t="s">
        <v>1631</v>
      </c>
      <c r="B820" s="6"/>
      <c r="C820" s="77" t="s">
        <v>30</v>
      </c>
      <c r="D820" s="77" t="s">
        <v>42</v>
      </c>
      <c r="E820" s="77" t="s">
        <v>1632</v>
      </c>
      <c r="F820" s="77" t="s">
        <v>38</v>
      </c>
      <c r="G820" s="77" t="s">
        <v>34</v>
      </c>
      <c r="H820" s="77">
        <f>STOCK[[#This Row],[Precio Final]]</f>
        <v>25</v>
      </c>
      <c r="I820" s="77">
        <f>STOCK[[#This Row],[Precio Venta Ideal (x1.5)]]</f>
        <v>20.4</v>
      </c>
      <c r="J820" s="92">
        <v>1</v>
      </c>
      <c r="K820" s="92">
        <f>SUMIFS(VENTAS[Cantidad],VENTAS[Código del producto Vendido],STOCK[[#This Row],[Code]])</f>
        <v>1</v>
      </c>
      <c r="L820" s="92">
        <f>STOCK[[#This Row],[Entradas]]-STOCK[[#This Row],[Salidas]]</f>
        <v>0</v>
      </c>
      <c r="M820" s="77">
        <f>STOCK[[#This Row],[Precio Final]]*10%</f>
        <v>2.5</v>
      </c>
      <c r="N820" s="77">
        <v>0</v>
      </c>
      <c r="O820" s="77">
        <v>0</v>
      </c>
      <c r="P820" s="77">
        <v>9.6</v>
      </c>
      <c r="Q820" s="92">
        <v>0</v>
      </c>
      <c r="R820" s="77">
        <v>0</v>
      </c>
      <c r="S820" s="77">
        <v>1.5</v>
      </c>
      <c r="T820" s="76">
        <f>STOCK[[#This Row],[Costo Unitario (USD)]]+STOCK[[#This Row],[Costo Envío (USD)]]+STOCK[[#This Row],[Comisión 10%]]</f>
        <v>13.6</v>
      </c>
      <c r="U820" s="77">
        <f>STOCK[[#This Row],[Costo total]]*1.5</f>
        <v>20.4</v>
      </c>
      <c r="V820" s="77">
        <v>25</v>
      </c>
      <c r="W820" s="77">
        <f>STOCK[[#This Row],[Precio Final]]-STOCK[[#This Row],[Costo total]]</f>
        <v>11.4</v>
      </c>
      <c r="X820" s="77">
        <f>STOCK[[#This Row],[Ganancia Unitaria]]*STOCK[[#This Row],[Salidas]]</f>
        <v>11.4</v>
      </c>
      <c r="Y820" s="77" t="s">
        <v>1600</v>
      </c>
      <c r="AA820" s="77">
        <f>STOCK[[#This Row],[Costo total]]*STOCK[[#This Row],[Entradas]]</f>
        <v>13.6</v>
      </c>
      <c r="AB820" s="77">
        <f>STOCK[[#This Row],[Stock Actual]]*STOCK[[#This Row],[Costo total]]</f>
        <v>0</v>
      </c>
    </row>
    <row r="821" s="76" customFormat="1" ht="50" hidden="1" customHeight="1" spans="1:28">
      <c r="A821" s="76" t="s">
        <v>1633</v>
      </c>
      <c r="B821" s="6"/>
      <c r="C821" s="76" t="s">
        <v>30</v>
      </c>
      <c r="D821" s="76" t="s">
        <v>212</v>
      </c>
      <c r="E821" s="76" t="s">
        <v>1634</v>
      </c>
      <c r="F821" s="76" t="s">
        <v>204</v>
      </c>
      <c r="G821" s="76" t="s">
        <v>34</v>
      </c>
      <c r="H821" s="76">
        <f>STOCK[[#This Row],[Precio Final]]</f>
        <v>25</v>
      </c>
      <c r="I821" s="76">
        <f>STOCK[[#This Row],[Precio Venta Ideal (x1.5)]]</f>
        <v>20.4</v>
      </c>
      <c r="J821" s="91">
        <v>2</v>
      </c>
      <c r="K821" s="91">
        <f>SUMIFS(VENTAS[Cantidad],VENTAS[Código del producto Vendido],STOCK[[#This Row],[Code]])</f>
        <v>2</v>
      </c>
      <c r="L821" s="91">
        <f>STOCK[[#This Row],[Entradas]]-STOCK[[#This Row],[Salidas]]</f>
        <v>0</v>
      </c>
      <c r="M821" s="76">
        <f>STOCK[[#This Row],[Precio Final]]*10%</f>
        <v>2.5</v>
      </c>
      <c r="N821" s="76">
        <v>0</v>
      </c>
      <c r="O821" s="76">
        <v>0</v>
      </c>
      <c r="P821" s="76">
        <v>9.6</v>
      </c>
      <c r="Q821" s="91">
        <v>0</v>
      </c>
      <c r="R821" s="76">
        <v>0</v>
      </c>
      <c r="S821" s="76">
        <v>1.5</v>
      </c>
      <c r="T821" s="76">
        <f>STOCK[[#This Row],[Costo Unitario (USD)]]+STOCK[[#This Row],[Costo Envío (USD)]]+STOCK[[#This Row],[Comisión 10%]]</f>
        <v>13.6</v>
      </c>
      <c r="U821" s="76">
        <f>STOCK[[#This Row],[Costo total]]*1.5</f>
        <v>20.4</v>
      </c>
      <c r="V821" s="76">
        <v>25</v>
      </c>
      <c r="W821" s="76">
        <f>STOCK[[#This Row],[Precio Final]]-STOCK[[#This Row],[Costo total]]</f>
        <v>11.4</v>
      </c>
      <c r="X821" s="76">
        <f>STOCK[[#This Row],[Ganancia Unitaria]]*STOCK[[#This Row],[Salidas]]</f>
        <v>22.8</v>
      </c>
      <c r="Y821" s="76" t="s">
        <v>1600</v>
      </c>
      <c r="AA821" s="76">
        <f>STOCK[[#This Row],[Costo total]]*STOCK[[#This Row],[Entradas]]</f>
        <v>27.2</v>
      </c>
      <c r="AB821" s="76">
        <f>STOCK[[#This Row],[Stock Actual]]*STOCK[[#This Row],[Costo total]]</f>
        <v>0</v>
      </c>
    </row>
    <row r="822" s="77" customFormat="1" ht="50" hidden="1" customHeight="1" spans="1:28">
      <c r="A822" s="77" t="s">
        <v>1635</v>
      </c>
      <c r="B822" s="6"/>
      <c r="C822" s="77" t="s">
        <v>30</v>
      </c>
      <c r="D822" s="77" t="s">
        <v>42</v>
      </c>
      <c r="E822" s="77" t="s">
        <v>1632</v>
      </c>
      <c r="F822" s="77" t="s">
        <v>210</v>
      </c>
      <c r="G822" s="77" t="s">
        <v>34</v>
      </c>
      <c r="H822" s="77">
        <f>STOCK[[#This Row],[Precio Final]]</f>
        <v>25</v>
      </c>
      <c r="I822" s="77">
        <f>STOCK[[#This Row],[Precio Venta Ideal (x1.5)]]</f>
        <v>20.4</v>
      </c>
      <c r="J822" s="92">
        <v>1</v>
      </c>
      <c r="K822" s="92">
        <f>SUMIFS(VENTAS[Cantidad],VENTAS[Código del producto Vendido],STOCK[[#This Row],[Code]])</f>
        <v>1</v>
      </c>
      <c r="L822" s="92">
        <f>STOCK[[#This Row],[Entradas]]-STOCK[[#This Row],[Salidas]]</f>
        <v>0</v>
      </c>
      <c r="M822" s="77">
        <f>STOCK[[#This Row],[Precio Final]]*10%</f>
        <v>2.5</v>
      </c>
      <c r="N822" s="77">
        <v>0</v>
      </c>
      <c r="O822" s="77">
        <v>0</v>
      </c>
      <c r="P822" s="77">
        <v>9.6</v>
      </c>
      <c r="Q822" s="92">
        <v>0</v>
      </c>
      <c r="R822" s="77">
        <v>0</v>
      </c>
      <c r="S822" s="77">
        <v>1.5</v>
      </c>
      <c r="T822" s="76">
        <f>STOCK[[#This Row],[Costo Unitario (USD)]]+STOCK[[#This Row],[Costo Envío (USD)]]+STOCK[[#This Row],[Comisión 10%]]</f>
        <v>13.6</v>
      </c>
      <c r="U822" s="77">
        <f>STOCK[[#This Row],[Costo total]]*1.5</f>
        <v>20.4</v>
      </c>
      <c r="V822" s="77">
        <v>25</v>
      </c>
      <c r="W822" s="77">
        <f>STOCK[[#This Row],[Precio Final]]-STOCK[[#This Row],[Costo total]]</f>
        <v>11.4</v>
      </c>
      <c r="X822" s="77">
        <f>STOCK[[#This Row],[Ganancia Unitaria]]*STOCK[[#This Row],[Salidas]]</f>
        <v>11.4</v>
      </c>
      <c r="Y822" s="77" t="s">
        <v>1600</v>
      </c>
      <c r="AA822" s="77">
        <f>STOCK[[#This Row],[Costo total]]*STOCK[[#This Row],[Entradas]]</f>
        <v>13.6</v>
      </c>
      <c r="AB822" s="77">
        <f>STOCK[[#This Row],[Stock Actual]]*STOCK[[#This Row],[Costo total]]</f>
        <v>0</v>
      </c>
    </row>
    <row r="823" s="76" customFormat="1" ht="50" hidden="1" customHeight="1" spans="1:28">
      <c r="A823" s="76" t="s">
        <v>1636</v>
      </c>
      <c r="B823" s="6"/>
      <c r="C823" s="76" t="s">
        <v>30</v>
      </c>
      <c r="D823" s="76" t="s">
        <v>1012</v>
      </c>
      <c r="E823" s="76" t="s">
        <v>1637</v>
      </c>
      <c r="F823" s="76" t="s">
        <v>86</v>
      </c>
      <c r="G823" s="76" t="s">
        <v>34</v>
      </c>
      <c r="H823" s="76">
        <f>STOCK[[#This Row],[Precio Final]]</f>
        <v>30</v>
      </c>
      <c r="I823" s="76">
        <f>STOCK[[#This Row],[Precio Venta Ideal (x1.5)]]</f>
        <v>21.15</v>
      </c>
      <c r="J823" s="91">
        <v>1</v>
      </c>
      <c r="K823" s="91">
        <f>SUMIFS(VENTAS[Cantidad],VENTAS[Código del producto Vendido],STOCK[[#This Row],[Code]])</f>
        <v>1</v>
      </c>
      <c r="L823" s="91">
        <f>STOCK[[#This Row],[Entradas]]-STOCK[[#This Row],[Salidas]]</f>
        <v>0</v>
      </c>
      <c r="M823" s="76">
        <f>STOCK[[#This Row],[Precio Final]]*10%</f>
        <v>3</v>
      </c>
      <c r="N823" s="76">
        <v>0</v>
      </c>
      <c r="O823" s="76">
        <v>0</v>
      </c>
      <c r="P823" s="76">
        <v>9.6</v>
      </c>
      <c r="Q823" s="91">
        <v>0</v>
      </c>
      <c r="R823" s="76">
        <v>0</v>
      </c>
      <c r="S823" s="76">
        <v>1.5</v>
      </c>
      <c r="T823" s="76">
        <f>STOCK[[#This Row],[Costo Unitario (USD)]]+STOCK[[#This Row],[Costo Envío (USD)]]+STOCK[[#This Row],[Comisión 10%]]</f>
        <v>14.1</v>
      </c>
      <c r="U823" s="76">
        <f>STOCK[[#This Row],[Costo total]]*1.5</f>
        <v>21.15</v>
      </c>
      <c r="V823" s="76">
        <v>30</v>
      </c>
      <c r="W823" s="76">
        <f>STOCK[[#This Row],[Precio Final]]-STOCK[[#This Row],[Costo total]]</f>
        <v>15.9</v>
      </c>
      <c r="X823" s="76">
        <f>STOCK[[#This Row],[Ganancia Unitaria]]*STOCK[[#This Row],[Salidas]]</f>
        <v>15.9</v>
      </c>
      <c r="Y823" s="76" t="s">
        <v>1600</v>
      </c>
      <c r="AA823" s="76">
        <f>STOCK[[#This Row],[Costo total]]*STOCK[[#This Row],[Entradas]]</f>
        <v>14.1</v>
      </c>
      <c r="AB823" s="76">
        <f>STOCK[[#This Row],[Stock Actual]]*STOCK[[#This Row],[Costo total]]</f>
        <v>0</v>
      </c>
    </row>
    <row r="824" s="77" customFormat="1" ht="50" hidden="1" customHeight="1" spans="1:28">
      <c r="A824" s="77" t="s">
        <v>1638</v>
      </c>
      <c r="B824" s="6"/>
      <c r="C824" s="77" t="s">
        <v>30</v>
      </c>
      <c r="D824" s="77" t="s">
        <v>173</v>
      </c>
      <c r="E824" s="77" t="s">
        <v>1639</v>
      </c>
      <c r="F824" s="77" t="s">
        <v>44</v>
      </c>
      <c r="G824" s="77" t="s">
        <v>34</v>
      </c>
      <c r="H824" s="77">
        <f>STOCK[[#This Row],[Precio Final]]</f>
        <v>12</v>
      </c>
      <c r="I824" s="77">
        <f>STOCK[[#This Row],[Precio Venta Ideal (x1.5)]]</f>
        <v>10.35</v>
      </c>
      <c r="J824" s="92">
        <v>1</v>
      </c>
      <c r="K824" s="92">
        <f>SUMIFS(VENTAS[Cantidad],VENTAS[Código del producto Vendido],STOCK[[#This Row],[Code]])</f>
        <v>1</v>
      </c>
      <c r="L824" s="92">
        <f>STOCK[[#This Row],[Entradas]]-STOCK[[#This Row],[Salidas]]</f>
        <v>0</v>
      </c>
      <c r="M824" s="77">
        <f>STOCK[[#This Row],[Precio Final]]*10%</f>
        <v>1.2</v>
      </c>
      <c r="N824" s="77">
        <v>0</v>
      </c>
      <c r="O824" s="77">
        <v>0</v>
      </c>
      <c r="P824" s="77">
        <v>4.2</v>
      </c>
      <c r="Q824" s="92">
        <v>0</v>
      </c>
      <c r="R824" s="77">
        <v>0</v>
      </c>
      <c r="S824" s="77">
        <v>1.5</v>
      </c>
      <c r="T824" s="76">
        <f>STOCK[[#This Row],[Costo Unitario (USD)]]+STOCK[[#This Row],[Costo Envío (USD)]]+STOCK[[#This Row],[Comisión 10%]]</f>
        <v>6.9</v>
      </c>
      <c r="U824" s="77">
        <f>STOCK[[#This Row],[Costo total]]*1.5</f>
        <v>10.35</v>
      </c>
      <c r="V824" s="77">
        <v>12</v>
      </c>
      <c r="W824" s="77">
        <f>STOCK[[#This Row],[Precio Final]]-STOCK[[#This Row],[Costo total]]</f>
        <v>5.1</v>
      </c>
      <c r="X824" s="77">
        <f>STOCK[[#This Row],[Ganancia Unitaria]]*STOCK[[#This Row],[Salidas]]</f>
        <v>5.1</v>
      </c>
      <c r="Y824" s="77" t="s">
        <v>1600</v>
      </c>
      <c r="AA824" s="77">
        <f>STOCK[[#This Row],[Costo total]]*STOCK[[#This Row],[Entradas]]</f>
        <v>6.9</v>
      </c>
      <c r="AB824" s="77">
        <f>STOCK[[#This Row],[Stock Actual]]*STOCK[[#This Row],[Costo total]]</f>
        <v>0</v>
      </c>
    </row>
    <row r="825" s="76" customFormat="1" ht="50" hidden="1" customHeight="1" spans="1:28">
      <c r="A825" s="76" t="s">
        <v>1640</v>
      </c>
      <c r="B825" s="6"/>
      <c r="C825" s="76" t="s">
        <v>30</v>
      </c>
      <c r="D825" s="76" t="s">
        <v>173</v>
      </c>
      <c r="E825" s="76" t="s">
        <v>1639</v>
      </c>
      <c r="F825" s="76" t="s">
        <v>60</v>
      </c>
      <c r="G825" s="76" t="s">
        <v>34</v>
      </c>
      <c r="H825" s="76">
        <f>STOCK[[#This Row],[Precio Final]]</f>
        <v>12</v>
      </c>
      <c r="I825" s="76">
        <f>STOCK[[#This Row],[Precio Venta Ideal (x1.5)]]</f>
        <v>10.35</v>
      </c>
      <c r="J825" s="91">
        <v>1</v>
      </c>
      <c r="K825" s="91">
        <f>SUMIFS(VENTAS[Cantidad],VENTAS[Código del producto Vendido],STOCK[[#This Row],[Code]])</f>
        <v>1</v>
      </c>
      <c r="L825" s="91">
        <f>STOCK[[#This Row],[Entradas]]-STOCK[[#This Row],[Salidas]]</f>
        <v>0</v>
      </c>
      <c r="M825" s="76">
        <f>STOCK[[#This Row],[Precio Final]]*10%</f>
        <v>1.2</v>
      </c>
      <c r="N825" s="76">
        <v>0</v>
      </c>
      <c r="O825" s="76">
        <v>0</v>
      </c>
      <c r="P825" s="76">
        <v>4.2</v>
      </c>
      <c r="Q825" s="91">
        <v>0</v>
      </c>
      <c r="R825" s="76">
        <v>0</v>
      </c>
      <c r="S825" s="76">
        <v>1.5</v>
      </c>
      <c r="T825" s="76">
        <f>STOCK[[#This Row],[Costo Unitario (USD)]]+STOCK[[#This Row],[Costo Envío (USD)]]+STOCK[[#This Row],[Comisión 10%]]</f>
        <v>6.9</v>
      </c>
      <c r="U825" s="76">
        <f>STOCK[[#This Row],[Costo total]]*1.5</f>
        <v>10.35</v>
      </c>
      <c r="V825" s="76">
        <v>12</v>
      </c>
      <c r="W825" s="76">
        <f>STOCK[[#This Row],[Precio Final]]-STOCK[[#This Row],[Costo total]]</f>
        <v>5.1</v>
      </c>
      <c r="X825" s="76">
        <f>STOCK[[#This Row],[Ganancia Unitaria]]*STOCK[[#This Row],[Salidas]]</f>
        <v>5.1</v>
      </c>
      <c r="Y825" s="76" t="s">
        <v>1600</v>
      </c>
      <c r="AA825" s="76">
        <f>STOCK[[#This Row],[Costo total]]*STOCK[[#This Row],[Entradas]]</f>
        <v>6.9</v>
      </c>
      <c r="AB825" s="76">
        <f>STOCK[[#This Row],[Stock Actual]]*STOCK[[#This Row],[Costo total]]</f>
        <v>0</v>
      </c>
    </row>
    <row r="826" s="77" customFormat="1" ht="50" hidden="1" customHeight="1" spans="1:29">
      <c r="A826" s="77" t="s">
        <v>1641</v>
      </c>
      <c r="B826" s="6"/>
      <c r="C826" s="77" t="s">
        <v>30</v>
      </c>
      <c r="D826" s="77" t="s">
        <v>293</v>
      </c>
      <c r="E826" s="77" t="s">
        <v>1642</v>
      </c>
      <c r="F826" s="77" t="s">
        <v>44</v>
      </c>
      <c r="G826" s="77" t="s">
        <v>34</v>
      </c>
      <c r="H826" s="77">
        <f>STOCK[[#This Row],[Precio Final]]</f>
        <v>20</v>
      </c>
      <c r="I826" s="77">
        <f>STOCK[[#This Row],[Precio Venta Ideal (x1.5)]]</f>
        <v>15.99</v>
      </c>
      <c r="J826" s="92">
        <v>1</v>
      </c>
      <c r="K826" s="92">
        <f>SUMIFS(VENTAS[Cantidad],VENTAS[Código del producto Vendido],STOCK[[#This Row],[Code]])</f>
        <v>0</v>
      </c>
      <c r="L826" s="92">
        <f>STOCK[[#This Row],[Entradas]]-STOCK[[#This Row],[Salidas]]</f>
        <v>1</v>
      </c>
      <c r="M826" s="77">
        <f>STOCK[[#This Row],[Precio Final]]*10%</f>
        <v>2</v>
      </c>
      <c r="N826" s="77">
        <v>0</v>
      </c>
      <c r="O826" s="77">
        <v>0</v>
      </c>
      <c r="P826" s="77">
        <v>7.16</v>
      </c>
      <c r="Q826" s="92">
        <v>0</v>
      </c>
      <c r="R826" s="77">
        <v>0</v>
      </c>
      <c r="S826" s="77">
        <v>1.5</v>
      </c>
      <c r="T826" s="76">
        <f>STOCK[[#This Row],[Costo Unitario (USD)]]+STOCK[[#This Row],[Costo Envío (USD)]]+STOCK[[#This Row],[Comisión 10%]]</f>
        <v>10.66</v>
      </c>
      <c r="U826" s="77">
        <f>STOCK[[#This Row],[Costo total]]*1.5</f>
        <v>15.99</v>
      </c>
      <c r="V826" s="77">
        <v>20</v>
      </c>
      <c r="W826" s="77">
        <f>STOCK[[#This Row],[Precio Final]]-STOCK[[#This Row],[Costo total]]</f>
        <v>9.34</v>
      </c>
      <c r="X826" s="77">
        <f>STOCK[[#This Row],[Ganancia Unitaria]]*STOCK[[#This Row],[Salidas]]</f>
        <v>0</v>
      </c>
      <c r="Y826" s="77" t="s">
        <v>1600</v>
      </c>
      <c r="AA826" s="77">
        <f>STOCK[[#This Row],[Costo total]]*STOCK[[#This Row],[Entradas]]</f>
        <v>10.66</v>
      </c>
      <c r="AB826" s="77">
        <f>STOCK[[#This Row],[Stock Actual]]*STOCK[[#This Row],[Costo total]]</f>
        <v>10.66</v>
      </c>
      <c r="AC826" s="77">
        <v>15</v>
      </c>
    </row>
    <row r="827" s="76" customFormat="1" ht="50" hidden="1" customHeight="1" spans="1:29">
      <c r="A827" s="76" t="s">
        <v>1643</v>
      </c>
      <c r="B827" s="6"/>
      <c r="C827" s="76" t="s">
        <v>30</v>
      </c>
      <c r="D827" s="76" t="s">
        <v>293</v>
      </c>
      <c r="E827" s="76" t="s">
        <v>1644</v>
      </c>
      <c r="F827" s="76" t="s">
        <v>60</v>
      </c>
      <c r="G827" s="76" t="s">
        <v>34</v>
      </c>
      <c r="H827" s="76">
        <f>STOCK[[#This Row],[Precio Final]]</f>
        <v>20</v>
      </c>
      <c r="I827" s="76">
        <f>STOCK[[#This Row],[Precio Venta Ideal (x1.5)]]</f>
        <v>15.99</v>
      </c>
      <c r="J827" s="91">
        <v>1</v>
      </c>
      <c r="K827" s="91">
        <f>SUMIFS(VENTAS[Cantidad],VENTAS[Código del producto Vendido],STOCK[[#This Row],[Code]])</f>
        <v>0</v>
      </c>
      <c r="L827" s="91">
        <f>STOCK[[#This Row],[Entradas]]-STOCK[[#This Row],[Salidas]]</f>
        <v>1</v>
      </c>
      <c r="M827" s="76">
        <f>STOCK[[#This Row],[Precio Final]]*10%</f>
        <v>2</v>
      </c>
      <c r="N827" s="76">
        <v>0</v>
      </c>
      <c r="O827" s="76">
        <v>0</v>
      </c>
      <c r="P827" s="76">
        <v>7.16</v>
      </c>
      <c r="Q827" s="91">
        <v>0</v>
      </c>
      <c r="R827" s="76">
        <v>0</v>
      </c>
      <c r="S827" s="76">
        <v>1.5</v>
      </c>
      <c r="T827" s="76">
        <f>STOCK[[#This Row],[Costo Unitario (USD)]]+STOCK[[#This Row],[Costo Envío (USD)]]+STOCK[[#This Row],[Comisión 10%]]</f>
        <v>10.66</v>
      </c>
      <c r="U827" s="76">
        <f>STOCK[[#This Row],[Costo total]]*1.5</f>
        <v>15.99</v>
      </c>
      <c r="V827" s="76">
        <v>20</v>
      </c>
      <c r="W827" s="76">
        <f>STOCK[[#This Row],[Precio Final]]-STOCK[[#This Row],[Costo total]]</f>
        <v>9.34</v>
      </c>
      <c r="X827" s="76">
        <f>STOCK[[#This Row],[Ganancia Unitaria]]*STOCK[[#This Row],[Salidas]]</f>
        <v>0</v>
      </c>
      <c r="Y827" s="76" t="s">
        <v>1600</v>
      </c>
      <c r="AA827" s="76">
        <f>STOCK[[#This Row],[Costo total]]*STOCK[[#This Row],[Entradas]]</f>
        <v>10.66</v>
      </c>
      <c r="AB827" s="76">
        <f>STOCK[[#This Row],[Stock Actual]]*STOCK[[#This Row],[Costo total]]</f>
        <v>10.66</v>
      </c>
      <c r="AC827" s="76">
        <v>15</v>
      </c>
    </row>
    <row r="828" s="77" customFormat="1" ht="50" hidden="1" customHeight="1" spans="1:28">
      <c r="A828" s="77" t="s">
        <v>1645</v>
      </c>
      <c r="B828" s="6"/>
      <c r="C828" s="77" t="s">
        <v>30</v>
      </c>
      <c r="D828" s="77" t="s">
        <v>301</v>
      </c>
      <c r="E828" s="77" t="s">
        <v>1646</v>
      </c>
      <c r="F828" s="77" t="s">
        <v>210</v>
      </c>
      <c r="G828" s="77" t="s">
        <v>34</v>
      </c>
      <c r="H828" s="77">
        <f>STOCK[[#This Row],[Precio Final]]</f>
        <v>30</v>
      </c>
      <c r="I828" s="77">
        <f>STOCK[[#This Row],[Precio Venta Ideal (x1.5)]]</f>
        <v>31.305</v>
      </c>
      <c r="J828" s="92">
        <v>1</v>
      </c>
      <c r="K828" s="92">
        <f>SUMIFS(VENTAS[Cantidad],VENTAS[Código del producto Vendido],STOCK[[#This Row],[Code]])</f>
        <v>1</v>
      </c>
      <c r="L828" s="92">
        <f>STOCK[[#This Row],[Entradas]]-STOCK[[#This Row],[Salidas]]</f>
        <v>0</v>
      </c>
      <c r="M828" s="77">
        <f>STOCK[[#This Row],[Precio Final]]*10%</f>
        <v>3</v>
      </c>
      <c r="N828" s="77">
        <v>0</v>
      </c>
      <c r="O828" s="77">
        <v>0</v>
      </c>
      <c r="P828" s="77">
        <v>16.37</v>
      </c>
      <c r="Q828" s="92">
        <v>0</v>
      </c>
      <c r="R828" s="77">
        <v>0</v>
      </c>
      <c r="S828" s="77">
        <v>1.5</v>
      </c>
      <c r="T828" s="76">
        <f>STOCK[[#This Row],[Costo Unitario (USD)]]+STOCK[[#This Row],[Costo Envío (USD)]]+STOCK[[#This Row],[Comisión 10%]]</f>
        <v>20.87</v>
      </c>
      <c r="U828" s="77">
        <f>STOCK[[#This Row],[Costo total]]*1.5</f>
        <v>31.305</v>
      </c>
      <c r="V828" s="77">
        <v>30</v>
      </c>
      <c r="W828" s="77">
        <f>STOCK[[#This Row],[Precio Final]]-STOCK[[#This Row],[Costo total]]</f>
        <v>9.13</v>
      </c>
      <c r="X828" s="77">
        <f>STOCK[[#This Row],[Ganancia Unitaria]]*STOCK[[#This Row],[Salidas]]</f>
        <v>9.13</v>
      </c>
      <c r="Y828" s="77" t="s">
        <v>1600</v>
      </c>
      <c r="AA828" s="77">
        <f>STOCK[[#This Row],[Costo total]]*STOCK[[#This Row],[Entradas]]</f>
        <v>20.87</v>
      </c>
      <c r="AB828" s="77">
        <f>STOCK[[#This Row],[Stock Actual]]*STOCK[[#This Row],[Costo total]]</f>
        <v>0</v>
      </c>
    </row>
    <row r="829" s="76" customFormat="1" ht="50" hidden="1" customHeight="1" spans="1:28">
      <c r="A829" s="76" t="s">
        <v>1647</v>
      </c>
      <c r="B829" s="6"/>
      <c r="C829" s="76" t="s">
        <v>30</v>
      </c>
      <c r="D829" s="76" t="s">
        <v>301</v>
      </c>
      <c r="E829" s="76" t="s">
        <v>1646</v>
      </c>
      <c r="F829" s="76" t="s">
        <v>60</v>
      </c>
      <c r="G829" s="76" t="s">
        <v>34</v>
      </c>
      <c r="H829" s="76">
        <f>STOCK[[#This Row],[Precio Final]]</f>
        <v>30</v>
      </c>
      <c r="I829" s="76">
        <f>STOCK[[#This Row],[Precio Venta Ideal (x1.5)]]</f>
        <v>31.305</v>
      </c>
      <c r="J829" s="91">
        <v>1</v>
      </c>
      <c r="K829" s="91">
        <f>SUMIFS(VENTAS[Cantidad],VENTAS[Código del producto Vendido],STOCK[[#This Row],[Code]])</f>
        <v>1</v>
      </c>
      <c r="L829" s="91">
        <f>STOCK[[#This Row],[Entradas]]-STOCK[[#This Row],[Salidas]]</f>
        <v>0</v>
      </c>
      <c r="M829" s="76">
        <f>STOCK[[#This Row],[Precio Final]]*10%</f>
        <v>3</v>
      </c>
      <c r="N829" s="76">
        <v>0</v>
      </c>
      <c r="O829" s="76">
        <v>0</v>
      </c>
      <c r="P829" s="76">
        <v>16.37</v>
      </c>
      <c r="Q829" s="91">
        <v>0</v>
      </c>
      <c r="R829" s="76">
        <v>0</v>
      </c>
      <c r="S829" s="76">
        <v>1.5</v>
      </c>
      <c r="T829" s="76">
        <f>STOCK[[#This Row],[Costo Unitario (USD)]]+STOCK[[#This Row],[Costo Envío (USD)]]+STOCK[[#This Row],[Comisión 10%]]</f>
        <v>20.87</v>
      </c>
      <c r="U829" s="76">
        <f>STOCK[[#This Row],[Costo total]]*1.5</f>
        <v>31.305</v>
      </c>
      <c r="V829" s="76">
        <v>30</v>
      </c>
      <c r="W829" s="76">
        <f>STOCK[[#This Row],[Precio Final]]-STOCK[[#This Row],[Costo total]]</f>
        <v>9.13</v>
      </c>
      <c r="X829" s="76">
        <f>STOCK[[#This Row],[Ganancia Unitaria]]*STOCK[[#This Row],[Salidas]]</f>
        <v>9.13</v>
      </c>
      <c r="Y829" s="76" t="s">
        <v>1600</v>
      </c>
      <c r="AA829" s="76">
        <f>STOCK[[#This Row],[Costo total]]*STOCK[[#This Row],[Entradas]]</f>
        <v>20.87</v>
      </c>
      <c r="AB829" s="76">
        <f>STOCK[[#This Row],[Stock Actual]]*STOCK[[#This Row],[Costo total]]</f>
        <v>0</v>
      </c>
    </row>
    <row r="830" s="77" customFormat="1" ht="50" hidden="1" customHeight="1" spans="1:29">
      <c r="A830" s="77" t="s">
        <v>1648</v>
      </c>
      <c r="B830" s="6"/>
      <c r="C830" s="77" t="s">
        <v>30</v>
      </c>
      <c r="D830" s="77" t="s">
        <v>215</v>
      </c>
      <c r="E830" s="77" t="s">
        <v>1649</v>
      </c>
      <c r="F830" s="77" t="s">
        <v>1466</v>
      </c>
      <c r="G830" s="77" t="s">
        <v>1599</v>
      </c>
      <c r="H830" s="77">
        <f>STOCK[[#This Row],[Precio Final]]</f>
        <v>25</v>
      </c>
      <c r="I830" s="77">
        <f>STOCK[[#This Row],[Precio Venta Ideal (x1.5)]]</f>
        <v>21.09</v>
      </c>
      <c r="J830" s="92">
        <v>1</v>
      </c>
      <c r="K830" s="92">
        <f>SUMIFS(VENTAS[Cantidad],VENTAS[Código del producto Vendido],STOCK[[#This Row],[Code]])</f>
        <v>0</v>
      </c>
      <c r="L830" s="92">
        <f>STOCK[[#This Row],[Entradas]]-STOCK[[#This Row],[Salidas]]</f>
        <v>1</v>
      </c>
      <c r="M830" s="77">
        <f>STOCK[[#This Row],[Precio Final]]*10%</f>
        <v>2.5</v>
      </c>
      <c r="N830" s="77">
        <v>0</v>
      </c>
      <c r="O830" s="77">
        <v>0</v>
      </c>
      <c r="P830" s="77">
        <v>10.06</v>
      </c>
      <c r="Q830" s="92">
        <v>0</v>
      </c>
      <c r="R830" s="77">
        <v>0</v>
      </c>
      <c r="S830" s="77">
        <v>1.5</v>
      </c>
      <c r="T830" s="76">
        <f>STOCK[[#This Row],[Costo Unitario (USD)]]+STOCK[[#This Row],[Costo Envío (USD)]]+STOCK[[#This Row],[Comisión 10%]]</f>
        <v>14.06</v>
      </c>
      <c r="U830" s="77">
        <f>STOCK[[#This Row],[Costo total]]*1.5</f>
        <v>21.09</v>
      </c>
      <c r="V830" s="77">
        <v>25</v>
      </c>
      <c r="W830" s="77">
        <f>STOCK[[#This Row],[Precio Final]]-STOCK[[#This Row],[Costo total]]</f>
        <v>10.94</v>
      </c>
      <c r="X830" s="77">
        <f>STOCK[[#This Row],[Ganancia Unitaria]]*STOCK[[#This Row],[Salidas]]</f>
        <v>0</v>
      </c>
      <c r="Y830" s="77" t="s">
        <v>1600</v>
      </c>
      <c r="AA830" s="77">
        <f>STOCK[[#This Row],[Costo total]]*STOCK[[#This Row],[Entradas]]</f>
        <v>14.06</v>
      </c>
      <c r="AB830" s="77">
        <f>STOCK[[#This Row],[Stock Actual]]*STOCK[[#This Row],[Costo total]]</f>
        <v>14.06</v>
      </c>
      <c r="AC830" s="77">
        <v>20</v>
      </c>
    </row>
    <row r="831" s="76" customFormat="1" ht="50" hidden="1" customHeight="1" spans="1:28">
      <c r="A831" s="76" t="s">
        <v>1650</v>
      </c>
      <c r="B831" s="6"/>
      <c r="C831" s="76" t="s">
        <v>30</v>
      </c>
      <c r="D831" s="76" t="s">
        <v>42</v>
      </c>
      <c r="E831" s="76" t="s">
        <v>1651</v>
      </c>
      <c r="F831" s="76" t="s">
        <v>86</v>
      </c>
      <c r="G831" s="76" t="s">
        <v>1599</v>
      </c>
      <c r="H831" s="76">
        <f>STOCK[[#This Row],[Precio Final]]</f>
        <v>20</v>
      </c>
      <c r="I831" s="76">
        <f>STOCK[[#This Row],[Precio Venta Ideal (x1.5)]]</f>
        <v>20.34</v>
      </c>
      <c r="J831" s="91">
        <v>1</v>
      </c>
      <c r="K831" s="91">
        <f>SUMIFS(VENTAS[Cantidad],VENTAS[Código del producto Vendido],STOCK[[#This Row],[Code]])</f>
        <v>1</v>
      </c>
      <c r="L831" s="91">
        <f>STOCK[[#This Row],[Entradas]]-STOCK[[#This Row],[Salidas]]</f>
        <v>0</v>
      </c>
      <c r="M831" s="76">
        <f>STOCK[[#This Row],[Precio Final]]*10%</f>
        <v>2</v>
      </c>
      <c r="N831" s="76">
        <v>0</v>
      </c>
      <c r="O831" s="76">
        <v>0</v>
      </c>
      <c r="P831" s="76">
        <v>10.06</v>
      </c>
      <c r="Q831" s="91">
        <v>0</v>
      </c>
      <c r="R831" s="76">
        <v>0</v>
      </c>
      <c r="S831" s="76">
        <v>1.5</v>
      </c>
      <c r="T831" s="76">
        <f>STOCK[[#This Row],[Costo Unitario (USD)]]+STOCK[[#This Row],[Costo Envío (USD)]]+STOCK[[#This Row],[Comisión 10%]]</f>
        <v>13.56</v>
      </c>
      <c r="U831" s="76">
        <f>STOCK[[#This Row],[Costo total]]*1.5</f>
        <v>20.34</v>
      </c>
      <c r="V831" s="76">
        <v>20</v>
      </c>
      <c r="W831" s="76">
        <f>STOCK[[#This Row],[Precio Final]]-STOCK[[#This Row],[Costo total]]</f>
        <v>6.44</v>
      </c>
      <c r="X831" s="76">
        <f>STOCK[[#This Row],[Ganancia Unitaria]]*STOCK[[#This Row],[Salidas]]</f>
        <v>6.44</v>
      </c>
      <c r="Y831" s="76" t="s">
        <v>1600</v>
      </c>
      <c r="AA831" s="76">
        <f>STOCK[[#This Row],[Costo total]]*STOCK[[#This Row],[Entradas]]</f>
        <v>13.56</v>
      </c>
      <c r="AB831" s="76">
        <f>STOCK[[#This Row],[Stock Actual]]*STOCK[[#This Row],[Costo total]]</f>
        <v>0</v>
      </c>
    </row>
    <row r="832" s="77" customFormat="1" ht="50" hidden="1" customHeight="1" spans="1:28">
      <c r="A832" s="77" t="s">
        <v>1652</v>
      </c>
      <c r="B832" s="6"/>
      <c r="C832" s="77" t="s">
        <v>30</v>
      </c>
      <c r="D832" s="77" t="s">
        <v>42</v>
      </c>
      <c r="E832" s="77" t="s">
        <v>1653</v>
      </c>
      <c r="F832" s="77" t="s">
        <v>60</v>
      </c>
      <c r="G832" s="77" t="s">
        <v>1599</v>
      </c>
      <c r="H832" s="77">
        <f>STOCK[[#This Row],[Precio Final]]</f>
        <v>28</v>
      </c>
      <c r="I832" s="77">
        <f>STOCK[[#This Row],[Precio Venta Ideal (x1.5)]]</f>
        <v>26.775</v>
      </c>
      <c r="J832" s="92">
        <v>1</v>
      </c>
      <c r="K832" s="92">
        <f>SUMIFS(VENTAS[Cantidad],VENTAS[Código del producto Vendido],STOCK[[#This Row],[Code]])</f>
        <v>1</v>
      </c>
      <c r="L832" s="92">
        <f>STOCK[[#This Row],[Entradas]]-STOCK[[#This Row],[Salidas]]</f>
        <v>0</v>
      </c>
      <c r="M832" s="77">
        <f>STOCK[[#This Row],[Precio Final]]*10%</f>
        <v>2.8</v>
      </c>
      <c r="N832" s="77">
        <v>0</v>
      </c>
      <c r="O832" s="77">
        <v>0</v>
      </c>
      <c r="P832" s="77">
        <v>13.55</v>
      </c>
      <c r="Q832" s="92">
        <v>0</v>
      </c>
      <c r="R832" s="77">
        <v>0</v>
      </c>
      <c r="S832" s="77">
        <v>1.5</v>
      </c>
      <c r="T832" s="76">
        <f>STOCK[[#This Row],[Costo Unitario (USD)]]+STOCK[[#This Row],[Costo Envío (USD)]]+STOCK[[#This Row],[Comisión 10%]]</f>
        <v>17.85</v>
      </c>
      <c r="U832" s="77">
        <f>STOCK[[#This Row],[Costo total]]*1.5</f>
        <v>26.775</v>
      </c>
      <c r="V832" s="77">
        <v>28</v>
      </c>
      <c r="W832" s="77">
        <f>STOCK[[#This Row],[Precio Final]]-STOCK[[#This Row],[Costo total]]</f>
        <v>10.15</v>
      </c>
      <c r="X832" s="77">
        <f>STOCK[[#This Row],[Ganancia Unitaria]]*STOCK[[#This Row],[Salidas]]</f>
        <v>10.15</v>
      </c>
      <c r="Y832" s="77" t="s">
        <v>1600</v>
      </c>
      <c r="AA832" s="77">
        <f>STOCK[[#This Row],[Costo total]]*STOCK[[#This Row],[Entradas]]</f>
        <v>17.85</v>
      </c>
      <c r="AB832" s="77">
        <f>STOCK[[#This Row],[Stock Actual]]*STOCK[[#This Row],[Costo total]]</f>
        <v>0</v>
      </c>
    </row>
    <row r="833" s="76" customFormat="1" ht="50" hidden="1" customHeight="1" spans="1:28">
      <c r="A833" s="76" t="s">
        <v>1654</v>
      </c>
      <c r="B833" s="6"/>
      <c r="C833" s="76" t="s">
        <v>30</v>
      </c>
      <c r="D833" s="76" t="s">
        <v>42</v>
      </c>
      <c r="E833" s="76" t="s">
        <v>1655</v>
      </c>
      <c r="F833" s="76" t="s">
        <v>210</v>
      </c>
      <c r="G833" s="76" t="s">
        <v>1599</v>
      </c>
      <c r="H833" s="76">
        <f>STOCK[[#This Row],[Precio Final]]</f>
        <v>28</v>
      </c>
      <c r="I833" s="76">
        <f>STOCK[[#This Row],[Precio Venta Ideal (x1.5)]]</f>
        <v>26.775</v>
      </c>
      <c r="J833" s="91">
        <v>1</v>
      </c>
      <c r="K833" s="91">
        <f>SUMIFS(VENTAS[Cantidad],VENTAS[Código del producto Vendido],STOCK[[#This Row],[Code]])</f>
        <v>1</v>
      </c>
      <c r="L833" s="91">
        <f>STOCK[[#This Row],[Entradas]]-STOCK[[#This Row],[Salidas]]</f>
        <v>0</v>
      </c>
      <c r="M833" s="76">
        <f>STOCK[[#This Row],[Precio Final]]*10%</f>
        <v>2.8</v>
      </c>
      <c r="N833" s="76">
        <v>0</v>
      </c>
      <c r="O833" s="76">
        <v>0</v>
      </c>
      <c r="P833" s="76">
        <v>13.55</v>
      </c>
      <c r="Q833" s="91">
        <v>0</v>
      </c>
      <c r="R833" s="76">
        <v>0</v>
      </c>
      <c r="S833" s="76">
        <v>1.5</v>
      </c>
      <c r="T833" s="76">
        <f>STOCK[[#This Row],[Costo Unitario (USD)]]+STOCK[[#This Row],[Costo Envío (USD)]]+STOCK[[#This Row],[Comisión 10%]]</f>
        <v>17.85</v>
      </c>
      <c r="U833" s="76">
        <f>STOCK[[#This Row],[Costo total]]*1.5</f>
        <v>26.775</v>
      </c>
      <c r="V833" s="76">
        <v>28</v>
      </c>
      <c r="W833" s="76">
        <f>STOCK[[#This Row],[Precio Final]]-STOCK[[#This Row],[Costo total]]</f>
        <v>10.15</v>
      </c>
      <c r="X833" s="76">
        <f>STOCK[[#This Row],[Ganancia Unitaria]]*STOCK[[#This Row],[Salidas]]</f>
        <v>10.15</v>
      </c>
      <c r="Y833" s="76" t="s">
        <v>1600</v>
      </c>
      <c r="AA833" s="76">
        <f>STOCK[[#This Row],[Costo total]]*STOCK[[#This Row],[Entradas]]</f>
        <v>17.85</v>
      </c>
      <c r="AB833" s="76">
        <f>STOCK[[#This Row],[Stock Actual]]*STOCK[[#This Row],[Costo total]]</f>
        <v>0</v>
      </c>
    </row>
    <row r="834" s="77" customFormat="1" ht="50" hidden="1" customHeight="1" spans="1:28">
      <c r="A834" s="77" t="s">
        <v>1656</v>
      </c>
      <c r="B834" s="6"/>
      <c r="C834" s="77" t="s">
        <v>30</v>
      </c>
      <c r="D834" s="77" t="s">
        <v>173</v>
      </c>
      <c r="E834" s="77" t="s">
        <v>1657</v>
      </c>
      <c r="F834" s="77" t="s">
        <v>38</v>
      </c>
      <c r="G834" s="77" t="s">
        <v>1599</v>
      </c>
      <c r="H834" s="77">
        <f>STOCK[[#This Row],[Precio Final]]</f>
        <v>15</v>
      </c>
      <c r="I834" s="77">
        <f>STOCK[[#This Row],[Precio Venta Ideal (x1.5)]]</f>
        <v>10.92</v>
      </c>
      <c r="J834" s="92">
        <v>1</v>
      </c>
      <c r="K834" s="92">
        <f>SUMIFS(VENTAS[Cantidad],VENTAS[Código del producto Vendido],STOCK[[#This Row],[Code]])</f>
        <v>1</v>
      </c>
      <c r="L834" s="92">
        <f>STOCK[[#This Row],[Entradas]]-STOCK[[#This Row],[Salidas]]</f>
        <v>0</v>
      </c>
      <c r="M834" s="77">
        <f>STOCK[[#This Row],[Precio Final]]*10%</f>
        <v>1.5</v>
      </c>
      <c r="N834" s="77">
        <v>0</v>
      </c>
      <c r="O834" s="77">
        <v>0</v>
      </c>
      <c r="P834" s="77">
        <v>4.28</v>
      </c>
      <c r="Q834" s="92">
        <v>0</v>
      </c>
      <c r="R834" s="77">
        <v>0</v>
      </c>
      <c r="S834" s="77">
        <v>1.5</v>
      </c>
      <c r="T834" s="76">
        <f>STOCK[[#This Row],[Costo Unitario (USD)]]+STOCK[[#This Row],[Costo Envío (USD)]]+STOCK[[#This Row],[Comisión 10%]]</f>
        <v>7.28</v>
      </c>
      <c r="U834" s="77">
        <f>STOCK[[#This Row],[Costo total]]*1.5</f>
        <v>10.92</v>
      </c>
      <c r="V834" s="77">
        <v>15</v>
      </c>
      <c r="W834" s="77">
        <f>STOCK[[#This Row],[Precio Final]]-STOCK[[#This Row],[Costo total]]</f>
        <v>7.72</v>
      </c>
      <c r="X834" s="77">
        <f>STOCK[[#This Row],[Ganancia Unitaria]]*STOCK[[#This Row],[Salidas]]</f>
        <v>7.72</v>
      </c>
      <c r="Y834" s="77" t="s">
        <v>1600</v>
      </c>
      <c r="AA834" s="77">
        <f>STOCK[[#This Row],[Costo total]]*STOCK[[#This Row],[Entradas]]</f>
        <v>7.28</v>
      </c>
      <c r="AB834" s="77">
        <f>STOCK[[#This Row],[Stock Actual]]*STOCK[[#This Row],[Costo total]]</f>
        <v>0</v>
      </c>
    </row>
    <row r="835" s="76" customFormat="1" ht="50" hidden="1" customHeight="1" spans="1:28">
      <c r="A835" s="76" t="s">
        <v>1658</v>
      </c>
      <c r="B835" s="6"/>
      <c r="C835" s="76" t="s">
        <v>30</v>
      </c>
      <c r="D835" s="76" t="s">
        <v>173</v>
      </c>
      <c r="E835" s="76" t="s">
        <v>1657</v>
      </c>
      <c r="F835" s="76" t="s">
        <v>47</v>
      </c>
      <c r="G835" s="76" t="s">
        <v>1599</v>
      </c>
      <c r="H835" s="76">
        <f>STOCK[[#This Row],[Precio Final]]</f>
        <v>15</v>
      </c>
      <c r="I835" s="76">
        <f>STOCK[[#This Row],[Precio Venta Ideal (x1.5)]]</f>
        <v>10.92</v>
      </c>
      <c r="J835" s="91">
        <v>1</v>
      </c>
      <c r="K835" s="91">
        <f>SUMIFS(VENTAS[Cantidad],VENTAS[Código del producto Vendido],STOCK[[#This Row],[Code]])</f>
        <v>1</v>
      </c>
      <c r="L835" s="91">
        <f>STOCK[[#This Row],[Entradas]]-STOCK[[#This Row],[Salidas]]</f>
        <v>0</v>
      </c>
      <c r="M835" s="76">
        <f>STOCK[[#This Row],[Precio Final]]*10%</f>
        <v>1.5</v>
      </c>
      <c r="N835" s="76">
        <v>0</v>
      </c>
      <c r="O835" s="76">
        <v>0</v>
      </c>
      <c r="P835" s="76">
        <v>4.28</v>
      </c>
      <c r="Q835" s="91">
        <v>0</v>
      </c>
      <c r="R835" s="76">
        <v>0</v>
      </c>
      <c r="S835" s="76">
        <v>1.5</v>
      </c>
      <c r="T835" s="76">
        <f>STOCK[[#This Row],[Costo Unitario (USD)]]+STOCK[[#This Row],[Costo Envío (USD)]]+STOCK[[#This Row],[Comisión 10%]]</f>
        <v>7.28</v>
      </c>
      <c r="U835" s="76">
        <f>STOCK[[#This Row],[Costo total]]*1.5</f>
        <v>10.92</v>
      </c>
      <c r="V835" s="76">
        <v>15</v>
      </c>
      <c r="W835" s="76">
        <f>STOCK[[#This Row],[Precio Final]]-STOCK[[#This Row],[Costo total]]</f>
        <v>7.72</v>
      </c>
      <c r="X835" s="76">
        <f>STOCK[[#This Row],[Ganancia Unitaria]]*STOCK[[#This Row],[Salidas]]</f>
        <v>7.72</v>
      </c>
      <c r="Y835" s="76" t="s">
        <v>1600</v>
      </c>
      <c r="AA835" s="76">
        <f>STOCK[[#This Row],[Costo total]]*STOCK[[#This Row],[Entradas]]</f>
        <v>7.28</v>
      </c>
      <c r="AB835" s="76">
        <f>STOCK[[#This Row],[Stock Actual]]*STOCK[[#This Row],[Costo total]]</f>
        <v>0</v>
      </c>
    </row>
    <row r="836" s="77" customFormat="1" ht="50" hidden="1" customHeight="1" spans="1:28">
      <c r="A836" s="77" t="s">
        <v>1659</v>
      </c>
      <c r="B836" s="6"/>
      <c r="C836" s="77" t="s">
        <v>30</v>
      </c>
      <c r="D836" s="77" t="s">
        <v>173</v>
      </c>
      <c r="E836" s="77" t="s">
        <v>1657</v>
      </c>
      <c r="F836" s="77" t="s">
        <v>60</v>
      </c>
      <c r="G836" s="77" t="s">
        <v>1599</v>
      </c>
      <c r="H836" s="77">
        <f>STOCK[[#This Row],[Precio Final]]</f>
        <v>15</v>
      </c>
      <c r="I836" s="77">
        <f>STOCK[[#This Row],[Precio Venta Ideal (x1.5)]]</f>
        <v>10.92</v>
      </c>
      <c r="J836" s="92">
        <v>1</v>
      </c>
      <c r="K836" s="92">
        <f>SUMIFS(VENTAS[Cantidad],VENTAS[Código del producto Vendido],STOCK[[#This Row],[Code]])</f>
        <v>1</v>
      </c>
      <c r="L836" s="92">
        <f>STOCK[[#This Row],[Entradas]]-STOCK[[#This Row],[Salidas]]</f>
        <v>0</v>
      </c>
      <c r="M836" s="77">
        <f>STOCK[[#This Row],[Precio Final]]*10%</f>
        <v>1.5</v>
      </c>
      <c r="N836" s="77">
        <v>0</v>
      </c>
      <c r="O836" s="77">
        <v>0</v>
      </c>
      <c r="P836" s="77">
        <v>4.28</v>
      </c>
      <c r="Q836" s="92">
        <v>0</v>
      </c>
      <c r="R836" s="77">
        <v>0</v>
      </c>
      <c r="S836" s="77">
        <v>1.5</v>
      </c>
      <c r="T836" s="76">
        <f>STOCK[[#This Row],[Costo Unitario (USD)]]+STOCK[[#This Row],[Costo Envío (USD)]]+STOCK[[#This Row],[Comisión 10%]]</f>
        <v>7.28</v>
      </c>
      <c r="U836" s="77">
        <f>STOCK[[#This Row],[Costo total]]*1.5</f>
        <v>10.92</v>
      </c>
      <c r="V836" s="77">
        <v>15</v>
      </c>
      <c r="W836" s="77">
        <f>STOCK[[#This Row],[Precio Final]]-STOCK[[#This Row],[Costo total]]</f>
        <v>7.72</v>
      </c>
      <c r="X836" s="77">
        <f>STOCK[[#This Row],[Ganancia Unitaria]]*STOCK[[#This Row],[Salidas]]</f>
        <v>7.72</v>
      </c>
      <c r="Y836" s="77" t="s">
        <v>1600</v>
      </c>
      <c r="AA836" s="77">
        <f>STOCK[[#This Row],[Costo total]]*STOCK[[#This Row],[Entradas]]</f>
        <v>7.28</v>
      </c>
      <c r="AB836" s="77">
        <f>STOCK[[#This Row],[Stock Actual]]*STOCK[[#This Row],[Costo total]]</f>
        <v>0</v>
      </c>
    </row>
    <row r="837" s="76" customFormat="1" ht="50" hidden="1" customHeight="1" spans="1:28">
      <c r="A837" s="76" t="s">
        <v>1660</v>
      </c>
      <c r="B837" s="6"/>
      <c r="C837" s="76" t="s">
        <v>30</v>
      </c>
      <c r="D837" s="76" t="s">
        <v>173</v>
      </c>
      <c r="E837" s="76" t="s">
        <v>1661</v>
      </c>
      <c r="F837" s="76" t="s">
        <v>60</v>
      </c>
      <c r="G837" s="76" t="s">
        <v>1599</v>
      </c>
      <c r="H837" s="76">
        <f>STOCK[[#This Row],[Precio Final]]</f>
        <v>12</v>
      </c>
      <c r="I837" s="76">
        <f>STOCK[[#This Row],[Precio Venta Ideal (x1.5)]]</f>
        <v>11.355</v>
      </c>
      <c r="J837" s="91">
        <v>1</v>
      </c>
      <c r="K837" s="91">
        <f>SUMIFS(VENTAS[Cantidad],VENTAS[Código del producto Vendido],STOCK[[#This Row],[Code]])</f>
        <v>1</v>
      </c>
      <c r="L837" s="91">
        <f>STOCK[[#This Row],[Entradas]]-STOCK[[#This Row],[Salidas]]</f>
        <v>0</v>
      </c>
      <c r="M837" s="76">
        <f>STOCK[[#This Row],[Precio Final]]*10%</f>
        <v>1.2</v>
      </c>
      <c r="N837" s="76">
        <v>0</v>
      </c>
      <c r="O837" s="76">
        <v>0</v>
      </c>
      <c r="P837" s="76">
        <v>4.87</v>
      </c>
      <c r="Q837" s="91">
        <v>0</v>
      </c>
      <c r="R837" s="76">
        <v>0</v>
      </c>
      <c r="S837" s="76">
        <v>1.5</v>
      </c>
      <c r="T837" s="76">
        <f>STOCK[[#This Row],[Costo Unitario (USD)]]+STOCK[[#This Row],[Costo Envío (USD)]]+STOCK[[#This Row],[Comisión 10%]]</f>
        <v>7.57</v>
      </c>
      <c r="U837" s="76">
        <f>STOCK[[#This Row],[Costo total]]*1.5</f>
        <v>11.355</v>
      </c>
      <c r="V837" s="76">
        <v>12</v>
      </c>
      <c r="W837" s="76">
        <f>STOCK[[#This Row],[Precio Final]]-STOCK[[#This Row],[Costo total]]</f>
        <v>4.43</v>
      </c>
      <c r="X837" s="76">
        <f>STOCK[[#This Row],[Ganancia Unitaria]]*STOCK[[#This Row],[Salidas]]</f>
        <v>4.43</v>
      </c>
      <c r="Y837" s="76" t="s">
        <v>1600</v>
      </c>
      <c r="AA837" s="76">
        <f>STOCK[[#This Row],[Costo total]]*STOCK[[#This Row],[Entradas]]</f>
        <v>7.57</v>
      </c>
      <c r="AB837" s="76">
        <f>STOCK[[#This Row],[Stock Actual]]*STOCK[[#This Row],[Costo total]]</f>
        <v>0</v>
      </c>
    </row>
    <row r="838" s="77" customFormat="1" ht="50" hidden="1" customHeight="1" spans="1:28">
      <c r="A838" s="77" t="s">
        <v>1662</v>
      </c>
      <c r="B838" s="6"/>
      <c r="C838" s="77" t="s">
        <v>30</v>
      </c>
      <c r="D838" s="77" t="s">
        <v>173</v>
      </c>
      <c r="E838" s="77" t="s">
        <v>1663</v>
      </c>
      <c r="F838" s="77" t="s">
        <v>47</v>
      </c>
      <c r="G838" s="77" t="s">
        <v>1599</v>
      </c>
      <c r="H838" s="77">
        <f>STOCK[[#This Row],[Precio Final]]</f>
        <v>12</v>
      </c>
      <c r="I838" s="77">
        <f>STOCK[[#This Row],[Precio Venta Ideal (x1.5)]]</f>
        <v>11.355</v>
      </c>
      <c r="J838" s="92">
        <v>1</v>
      </c>
      <c r="K838" s="92">
        <f>SUMIFS(VENTAS[Cantidad],VENTAS[Código del producto Vendido],STOCK[[#This Row],[Code]])</f>
        <v>1</v>
      </c>
      <c r="L838" s="92">
        <f>STOCK[[#This Row],[Entradas]]-STOCK[[#This Row],[Salidas]]</f>
        <v>0</v>
      </c>
      <c r="M838" s="77">
        <f>STOCK[[#This Row],[Precio Final]]*10%</f>
        <v>1.2</v>
      </c>
      <c r="N838" s="77">
        <v>0</v>
      </c>
      <c r="O838" s="77">
        <v>0</v>
      </c>
      <c r="P838" s="77">
        <v>4.87</v>
      </c>
      <c r="Q838" s="92">
        <v>0</v>
      </c>
      <c r="R838" s="77">
        <v>0</v>
      </c>
      <c r="S838" s="77">
        <v>1.5</v>
      </c>
      <c r="T838" s="76">
        <f>STOCK[[#This Row],[Costo Unitario (USD)]]+STOCK[[#This Row],[Costo Envío (USD)]]+STOCK[[#This Row],[Comisión 10%]]</f>
        <v>7.57</v>
      </c>
      <c r="U838" s="77">
        <f>STOCK[[#This Row],[Costo total]]*1.5</f>
        <v>11.355</v>
      </c>
      <c r="V838" s="77">
        <v>12</v>
      </c>
      <c r="W838" s="77">
        <f>STOCK[[#This Row],[Precio Final]]-STOCK[[#This Row],[Costo total]]</f>
        <v>4.43</v>
      </c>
      <c r="X838" s="77">
        <f>STOCK[[#This Row],[Ganancia Unitaria]]*STOCK[[#This Row],[Salidas]]</f>
        <v>4.43</v>
      </c>
      <c r="Y838" s="77" t="s">
        <v>1600</v>
      </c>
      <c r="AA838" s="77">
        <f>STOCK[[#This Row],[Costo total]]*STOCK[[#This Row],[Entradas]]</f>
        <v>7.57</v>
      </c>
      <c r="AB838" s="77">
        <f>STOCK[[#This Row],[Stock Actual]]*STOCK[[#This Row],[Costo total]]</f>
        <v>0</v>
      </c>
    </row>
    <row r="839" s="76" customFormat="1" ht="50" hidden="1" customHeight="1" spans="1:28">
      <c r="A839" s="76" t="s">
        <v>1664</v>
      </c>
      <c r="B839" s="6"/>
      <c r="C839" s="76" t="s">
        <v>30</v>
      </c>
      <c r="D839" s="76" t="s">
        <v>301</v>
      </c>
      <c r="E839" s="76" t="s">
        <v>1665</v>
      </c>
      <c r="F839" s="76" t="s">
        <v>47</v>
      </c>
      <c r="G839" s="76" t="s">
        <v>1599</v>
      </c>
      <c r="H839" s="76">
        <f>STOCK[[#This Row],[Precio Final]]</f>
        <v>28</v>
      </c>
      <c r="I839" s="76">
        <f>STOCK[[#This Row],[Precio Venta Ideal (x1.5)]]</f>
        <v>32.25</v>
      </c>
      <c r="J839" s="91">
        <v>1</v>
      </c>
      <c r="K839" s="91">
        <f>SUMIFS(VENTAS[Cantidad],VENTAS[Código del producto Vendido],STOCK[[#This Row],[Code]])</f>
        <v>1</v>
      </c>
      <c r="L839" s="91">
        <f>STOCK[[#This Row],[Entradas]]-STOCK[[#This Row],[Salidas]]</f>
        <v>0</v>
      </c>
      <c r="M839" s="76">
        <f>STOCK[[#This Row],[Precio Final]]*10%</f>
        <v>2.8</v>
      </c>
      <c r="N839" s="76">
        <v>0</v>
      </c>
      <c r="O839" s="76">
        <v>0</v>
      </c>
      <c r="P839" s="76">
        <v>17.2</v>
      </c>
      <c r="Q839" s="91">
        <v>0</v>
      </c>
      <c r="R839" s="76">
        <v>0</v>
      </c>
      <c r="S839" s="76">
        <v>1.5</v>
      </c>
      <c r="T839" s="76">
        <f>STOCK[[#This Row],[Costo Unitario (USD)]]+STOCK[[#This Row],[Costo Envío (USD)]]+STOCK[[#This Row],[Comisión 10%]]</f>
        <v>21.5</v>
      </c>
      <c r="U839" s="76">
        <f>STOCK[[#This Row],[Costo total]]*1.5</f>
        <v>32.25</v>
      </c>
      <c r="V839" s="76">
        <v>28</v>
      </c>
      <c r="W839" s="76">
        <f>STOCK[[#This Row],[Precio Final]]-STOCK[[#This Row],[Costo total]]</f>
        <v>6.5</v>
      </c>
      <c r="X839" s="76">
        <f>STOCK[[#This Row],[Ganancia Unitaria]]*STOCK[[#This Row],[Salidas]]</f>
        <v>6.5</v>
      </c>
      <c r="Y839" s="76" t="s">
        <v>1600</v>
      </c>
      <c r="AA839" s="76">
        <f>STOCK[[#This Row],[Costo total]]*STOCK[[#This Row],[Entradas]]</f>
        <v>21.5</v>
      </c>
      <c r="AB839" s="76">
        <f>STOCK[[#This Row],[Stock Actual]]*STOCK[[#This Row],[Costo total]]</f>
        <v>0</v>
      </c>
    </row>
    <row r="840" s="77" customFormat="1" ht="50" hidden="1" customHeight="1" spans="1:28">
      <c r="A840" s="77" t="s">
        <v>1666</v>
      </c>
      <c r="B840" s="6"/>
      <c r="C840" s="77" t="s">
        <v>30</v>
      </c>
      <c r="D840" s="77" t="s">
        <v>212</v>
      </c>
      <c r="E840" s="77" t="s">
        <v>1667</v>
      </c>
      <c r="F840" s="77" t="s">
        <v>40</v>
      </c>
      <c r="G840" s="77" t="s">
        <v>1599</v>
      </c>
      <c r="H840" s="77">
        <f>STOCK[[#This Row],[Precio Final]]</f>
        <v>23</v>
      </c>
      <c r="I840" s="77">
        <f>STOCK[[#This Row],[Precio Venta Ideal (x1.5)]]</f>
        <v>25.425</v>
      </c>
      <c r="J840" s="92">
        <v>1</v>
      </c>
      <c r="K840" s="92">
        <f>SUMIFS(VENTAS[Cantidad],VENTAS[Código del producto Vendido],STOCK[[#This Row],[Code]])</f>
        <v>1</v>
      </c>
      <c r="L840" s="92">
        <f>STOCK[[#This Row],[Entradas]]-STOCK[[#This Row],[Salidas]]</f>
        <v>0</v>
      </c>
      <c r="M840" s="77">
        <f>STOCK[[#This Row],[Precio Final]]*10%</f>
        <v>2.3</v>
      </c>
      <c r="N840" s="77">
        <v>0</v>
      </c>
      <c r="O840" s="77">
        <v>0</v>
      </c>
      <c r="P840" s="77">
        <v>13.15</v>
      </c>
      <c r="Q840" s="92">
        <v>0</v>
      </c>
      <c r="R840" s="77">
        <v>0</v>
      </c>
      <c r="S840" s="77">
        <v>1.5</v>
      </c>
      <c r="T840" s="76">
        <f>STOCK[[#This Row],[Costo Unitario (USD)]]+STOCK[[#This Row],[Costo Envío (USD)]]+STOCK[[#This Row],[Comisión 10%]]</f>
        <v>16.95</v>
      </c>
      <c r="U840" s="77">
        <f>STOCK[[#This Row],[Costo total]]*1.5</f>
        <v>25.425</v>
      </c>
      <c r="V840" s="77">
        <v>23</v>
      </c>
      <c r="W840" s="77">
        <f>STOCK[[#This Row],[Precio Final]]-STOCK[[#This Row],[Costo total]]</f>
        <v>6.05</v>
      </c>
      <c r="X840" s="77">
        <f>STOCK[[#This Row],[Ganancia Unitaria]]*STOCK[[#This Row],[Salidas]]</f>
        <v>6.05</v>
      </c>
      <c r="Y840" s="77" t="s">
        <v>1600</v>
      </c>
      <c r="AA840" s="77">
        <f>STOCK[[#This Row],[Costo total]]*STOCK[[#This Row],[Entradas]]</f>
        <v>16.95</v>
      </c>
      <c r="AB840" s="77">
        <f>STOCK[[#This Row],[Stock Actual]]*STOCK[[#This Row],[Costo total]]</f>
        <v>0</v>
      </c>
    </row>
    <row r="841" s="76" customFormat="1" ht="50" hidden="1" customHeight="1" spans="1:28">
      <c r="A841" s="76" t="s">
        <v>1668</v>
      </c>
      <c r="B841" s="6"/>
      <c r="C841" s="76" t="s">
        <v>30</v>
      </c>
      <c r="D841" s="76" t="s">
        <v>287</v>
      </c>
      <c r="E841" s="76" t="s">
        <v>1669</v>
      </c>
      <c r="F841" s="76" t="s">
        <v>38</v>
      </c>
      <c r="G841" s="76" t="s">
        <v>1599</v>
      </c>
      <c r="H841" s="76">
        <f>STOCK[[#This Row],[Precio Final]]</f>
        <v>25</v>
      </c>
      <c r="I841" s="76">
        <f>STOCK[[#This Row],[Precio Venta Ideal (x1.5)]]</f>
        <v>24.705</v>
      </c>
      <c r="J841" s="91">
        <v>1</v>
      </c>
      <c r="K841" s="91">
        <f>SUMIFS(VENTAS[Cantidad],VENTAS[Código del producto Vendido],STOCK[[#This Row],[Code]])</f>
        <v>1</v>
      </c>
      <c r="L841" s="91">
        <f>STOCK[[#This Row],[Entradas]]-STOCK[[#This Row],[Salidas]]</f>
        <v>0</v>
      </c>
      <c r="M841" s="76">
        <f>STOCK[[#This Row],[Precio Final]]*10%</f>
        <v>2.5</v>
      </c>
      <c r="N841" s="76">
        <v>0</v>
      </c>
      <c r="O841" s="76">
        <v>0</v>
      </c>
      <c r="P841" s="76">
        <v>12.47</v>
      </c>
      <c r="Q841" s="91">
        <v>0</v>
      </c>
      <c r="R841" s="76">
        <v>0</v>
      </c>
      <c r="S841" s="76">
        <v>1.5</v>
      </c>
      <c r="T841" s="76">
        <f>STOCK[[#This Row],[Costo Unitario (USD)]]+STOCK[[#This Row],[Costo Envío (USD)]]+STOCK[[#This Row],[Comisión 10%]]</f>
        <v>16.47</v>
      </c>
      <c r="U841" s="76">
        <f>STOCK[[#This Row],[Costo total]]*1.5</f>
        <v>24.705</v>
      </c>
      <c r="V841" s="76">
        <v>25</v>
      </c>
      <c r="W841" s="76">
        <f>STOCK[[#This Row],[Precio Final]]-STOCK[[#This Row],[Costo total]]</f>
        <v>8.53</v>
      </c>
      <c r="X841" s="76">
        <f>STOCK[[#This Row],[Ganancia Unitaria]]*STOCK[[#This Row],[Salidas]]</f>
        <v>8.53</v>
      </c>
      <c r="Y841" s="76" t="s">
        <v>1600</v>
      </c>
      <c r="AA841" s="76">
        <f>STOCK[[#This Row],[Costo total]]*STOCK[[#This Row],[Entradas]]</f>
        <v>16.47</v>
      </c>
      <c r="AB841" s="76">
        <f>STOCK[[#This Row],[Stock Actual]]*STOCK[[#This Row],[Costo total]]</f>
        <v>0</v>
      </c>
    </row>
    <row r="842" s="77" customFormat="1" ht="50" hidden="1" customHeight="1" spans="1:28">
      <c r="A842" s="77" t="s">
        <v>1670</v>
      </c>
      <c r="B842" s="6"/>
      <c r="C842" s="77" t="s">
        <v>30</v>
      </c>
      <c r="D842" s="77" t="s">
        <v>287</v>
      </c>
      <c r="E842" s="77" t="s">
        <v>1669</v>
      </c>
      <c r="F842" s="77" t="s">
        <v>47</v>
      </c>
      <c r="G842" s="77" t="s">
        <v>1599</v>
      </c>
      <c r="H842" s="77">
        <f>STOCK[[#This Row],[Precio Final]]</f>
        <v>28</v>
      </c>
      <c r="I842" s="77">
        <f>STOCK[[#This Row],[Precio Venta Ideal (x1.5)]]</f>
        <v>25.155</v>
      </c>
      <c r="J842" s="92">
        <v>2</v>
      </c>
      <c r="K842" s="92">
        <f>SUMIFS(VENTAS[Cantidad],VENTAS[Código del producto Vendido],STOCK[[#This Row],[Code]])</f>
        <v>2</v>
      </c>
      <c r="L842" s="92">
        <f>STOCK[[#This Row],[Entradas]]-STOCK[[#This Row],[Salidas]]</f>
        <v>0</v>
      </c>
      <c r="M842" s="77">
        <f>STOCK[[#This Row],[Precio Final]]*10%</f>
        <v>2.8</v>
      </c>
      <c r="N842" s="77">
        <v>0</v>
      </c>
      <c r="O842" s="77">
        <v>0</v>
      </c>
      <c r="P842" s="77">
        <v>12.47</v>
      </c>
      <c r="Q842" s="92">
        <v>0</v>
      </c>
      <c r="R842" s="77">
        <v>0</v>
      </c>
      <c r="S842" s="77">
        <v>1.5</v>
      </c>
      <c r="T842" s="76">
        <f>STOCK[[#This Row],[Costo Unitario (USD)]]+STOCK[[#This Row],[Costo Envío (USD)]]+STOCK[[#This Row],[Comisión 10%]]</f>
        <v>16.77</v>
      </c>
      <c r="U842" s="77">
        <f>STOCK[[#This Row],[Costo total]]*1.5</f>
        <v>25.155</v>
      </c>
      <c r="V842" s="77">
        <v>28</v>
      </c>
      <c r="W842" s="77">
        <f>STOCK[[#This Row],[Precio Final]]-STOCK[[#This Row],[Costo total]]</f>
        <v>11.23</v>
      </c>
      <c r="X842" s="77">
        <f>STOCK[[#This Row],[Ganancia Unitaria]]*STOCK[[#This Row],[Salidas]]</f>
        <v>22.46</v>
      </c>
      <c r="Y842" s="77" t="s">
        <v>1600</v>
      </c>
      <c r="AA842" s="77">
        <f>STOCK[[#This Row],[Costo total]]*STOCK[[#This Row],[Entradas]]</f>
        <v>33.54</v>
      </c>
      <c r="AB842" s="77">
        <f>STOCK[[#This Row],[Stock Actual]]*STOCK[[#This Row],[Costo total]]</f>
        <v>0</v>
      </c>
    </row>
    <row r="843" s="76" customFormat="1" ht="50" hidden="1" customHeight="1" spans="1:28">
      <c r="A843" s="76" t="s">
        <v>1671</v>
      </c>
      <c r="B843" s="6"/>
      <c r="C843" s="76" t="s">
        <v>30</v>
      </c>
      <c r="D843" s="76" t="s">
        <v>287</v>
      </c>
      <c r="E843" s="76" t="s">
        <v>1672</v>
      </c>
      <c r="F843" s="76" t="s">
        <v>186</v>
      </c>
      <c r="G843" s="76" t="s">
        <v>1599</v>
      </c>
      <c r="H843" s="76">
        <f>STOCK[[#This Row],[Precio Final]]</f>
        <v>28</v>
      </c>
      <c r="I843" s="76">
        <f>STOCK[[#This Row],[Precio Venta Ideal (x1.5)]]</f>
        <v>29.25</v>
      </c>
      <c r="J843" s="91">
        <v>1</v>
      </c>
      <c r="K843" s="91">
        <f>SUMIFS(VENTAS[Cantidad],VENTAS[Código del producto Vendido],STOCK[[#This Row],[Code]])</f>
        <v>1</v>
      </c>
      <c r="L843" s="91">
        <f>STOCK[[#This Row],[Entradas]]-STOCK[[#This Row],[Salidas]]</f>
        <v>0</v>
      </c>
      <c r="M843" s="76">
        <f>STOCK[[#This Row],[Precio Final]]*10%</f>
        <v>2.8</v>
      </c>
      <c r="N843" s="76">
        <v>0</v>
      </c>
      <c r="O843" s="76">
        <v>0</v>
      </c>
      <c r="P843" s="76">
        <v>15.2</v>
      </c>
      <c r="Q843" s="91">
        <v>0</v>
      </c>
      <c r="R843" s="76">
        <v>0</v>
      </c>
      <c r="S843" s="76">
        <v>1.5</v>
      </c>
      <c r="T843" s="76">
        <f>STOCK[[#This Row],[Costo Unitario (USD)]]+STOCK[[#This Row],[Costo Envío (USD)]]+STOCK[[#This Row],[Comisión 10%]]</f>
        <v>19.5</v>
      </c>
      <c r="U843" s="76">
        <f>STOCK[[#This Row],[Costo total]]*1.5</f>
        <v>29.25</v>
      </c>
      <c r="V843" s="76">
        <v>28</v>
      </c>
      <c r="W843" s="76">
        <f>STOCK[[#This Row],[Precio Final]]-STOCK[[#This Row],[Costo total]]</f>
        <v>8.5</v>
      </c>
      <c r="X843" s="76">
        <f>STOCK[[#This Row],[Ganancia Unitaria]]*STOCK[[#This Row],[Salidas]]</f>
        <v>8.5</v>
      </c>
      <c r="Y843" s="76" t="s">
        <v>1600</v>
      </c>
      <c r="AA843" s="76">
        <f>STOCK[[#This Row],[Costo total]]*STOCK[[#This Row],[Entradas]]</f>
        <v>19.5</v>
      </c>
      <c r="AB843" s="76">
        <f>STOCK[[#This Row],[Stock Actual]]*STOCK[[#This Row],[Costo total]]</f>
        <v>0</v>
      </c>
    </row>
    <row r="844" s="77" customFormat="1" ht="50" hidden="1" customHeight="1" spans="1:28">
      <c r="A844" s="77" t="s">
        <v>1673</v>
      </c>
      <c r="B844" s="6"/>
      <c r="C844" s="77" t="s">
        <v>30</v>
      </c>
      <c r="D844" s="77" t="s">
        <v>287</v>
      </c>
      <c r="E844" s="77" t="s">
        <v>1674</v>
      </c>
      <c r="F844" s="77" t="s">
        <v>47</v>
      </c>
      <c r="G844" s="77" t="s">
        <v>1599</v>
      </c>
      <c r="H844" s="77">
        <f>STOCK[[#This Row],[Precio Final]]</f>
        <v>28</v>
      </c>
      <c r="I844" s="77">
        <f>STOCK[[#This Row],[Precio Venta Ideal (x1.5)]]</f>
        <v>29.25</v>
      </c>
      <c r="J844" s="92">
        <v>1</v>
      </c>
      <c r="K844" s="92">
        <f>SUMIFS(VENTAS[Cantidad],VENTAS[Código del producto Vendido],STOCK[[#This Row],[Code]])</f>
        <v>1</v>
      </c>
      <c r="L844" s="92">
        <f>STOCK[[#This Row],[Entradas]]-STOCK[[#This Row],[Salidas]]</f>
        <v>0</v>
      </c>
      <c r="M844" s="77">
        <f>STOCK[[#This Row],[Precio Final]]*10%</f>
        <v>2.8</v>
      </c>
      <c r="N844" s="77">
        <v>0</v>
      </c>
      <c r="O844" s="77">
        <v>0</v>
      </c>
      <c r="P844" s="77">
        <v>15.2</v>
      </c>
      <c r="Q844" s="92">
        <v>0</v>
      </c>
      <c r="R844" s="77">
        <v>0</v>
      </c>
      <c r="S844" s="77">
        <v>1.5</v>
      </c>
      <c r="T844" s="76">
        <f>STOCK[[#This Row],[Costo Unitario (USD)]]+STOCK[[#This Row],[Costo Envío (USD)]]+STOCK[[#This Row],[Comisión 10%]]</f>
        <v>19.5</v>
      </c>
      <c r="U844" s="77">
        <f>STOCK[[#This Row],[Costo total]]*1.5</f>
        <v>29.25</v>
      </c>
      <c r="V844" s="77">
        <v>28</v>
      </c>
      <c r="W844" s="77">
        <f>STOCK[[#This Row],[Precio Final]]-STOCK[[#This Row],[Costo total]]</f>
        <v>8.5</v>
      </c>
      <c r="X844" s="77">
        <f>STOCK[[#This Row],[Ganancia Unitaria]]*STOCK[[#This Row],[Salidas]]</f>
        <v>8.5</v>
      </c>
      <c r="Y844" s="77" t="s">
        <v>1600</v>
      </c>
      <c r="AA844" s="77">
        <f>STOCK[[#This Row],[Costo total]]*STOCK[[#This Row],[Entradas]]</f>
        <v>19.5</v>
      </c>
      <c r="AB844" s="77">
        <f>STOCK[[#This Row],[Stock Actual]]*STOCK[[#This Row],[Costo total]]</f>
        <v>0</v>
      </c>
    </row>
    <row r="845" s="76" customFormat="1" ht="50" hidden="1" customHeight="1" spans="1:28">
      <c r="A845" s="76" t="s">
        <v>1675</v>
      </c>
      <c r="B845" s="6"/>
      <c r="C845" s="76" t="s">
        <v>30</v>
      </c>
      <c r="D845" s="76" t="s">
        <v>514</v>
      </c>
      <c r="E845" s="76" t="s">
        <v>1481</v>
      </c>
      <c r="F845" s="76" t="s">
        <v>1676</v>
      </c>
      <c r="G845" s="76" t="s">
        <v>1599</v>
      </c>
      <c r="H845" s="76">
        <f>STOCK[[#This Row],[Precio Final]]</f>
        <v>45</v>
      </c>
      <c r="I845" s="76">
        <f>STOCK[[#This Row],[Precio Venta Ideal (x1.5)]]</f>
        <v>40.38</v>
      </c>
      <c r="J845" s="91">
        <v>2</v>
      </c>
      <c r="K845" s="91">
        <f>SUMIFS(VENTAS[Cantidad],VENTAS[Código del producto Vendido],STOCK[[#This Row],[Code]])</f>
        <v>2</v>
      </c>
      <c r="L845" s="91">
        <f>STOCK[[#This Row],[Entradas]]-STOCK[[#This Row],[Salidas]]</f>
        <v>0</v>
      </c>
      <c r="M845" s="76">
        <f>STOCK[[#This Row],[Precio Final]]*10%</f>
        <v>4.5</v>
      </c>
      <c r="N845" s="76">
        <v>0</v>
      </c>
      <c r="O845" s="76">
        <v>0</v>
      </c>
      <c r="P845" s="76">
        <v>20.92</v>
      </c>
      <c r="Q845" s="91">
        <v>0</v>
      </c>
      <c r="R845" s="76">
        <v>0</v>
      </c>
      <c r="S845" s="76">
        <v>1.5</v>
      </c>
      <c r="T845" s="76">
        <f>STOCK[[#This Row],[Costo Unitario (USD)]]+STOCK[[#This Row],[Costo Envío (USD)]]+STOCK[[#This Row],[Comisión 10%]]</f>
        <v>26.92</v>
      </c>
      <c r="U845" s="76">
        <f>STOCK[[#This Row],[Costo total]]*1.5</f>
        <v>40.38</v>
      </c>
      <c r="V845" s="76">
        <v>45</v>
      </c>
      <c r="W845" s="76">
        <f>STOCK[[#This Row],[Precio Final]]-STOCK[[#This Row],[Costo total]]</f>
        <v>18.08</v>
      </c>
      <c r="X845" s="76">
        <f>STOCK[[#This Row],[Ganancia Unitaria]]*STOCK[[#This Row],[Salidas]]</f>
        <v>36.16</v>
      </c>
      <c r="Y845" s="76" t="s">
        <v>1600</v>
      </c>
      <c r="AA845" s="76">
        <f>STOCK[[#This Row],[Costo total]]*STOCK[[#This Row],[Entradas]]</f>
        <v>53.84</v>
      </c>
      <c r="AB845" s="76">
        <f>STOCK[[#This Row],[Stock Actual]]*STOCK[[#This Row],[Costo total]]</f>
        <v>0</v>
      </c>
    </row>
    <row r="846" s="77" customFormat="1" ht="50" hidden="1" customHeight="1" spans="1:28">
      <c r="A846" s="77" t="s">
        <v>1677</v>
      </c>
      <c r="B846" s="6"/>
      <c r="C846" s="77" t="s">
        <v>30</v>
      </c>
      <c r="D846" s="77" t="s">
        <v>514</v>
      </c>
      <c r="E846" s="77" t="s">
        <v>1481</v>
      </c>
      <c r="F846" s="77" t="s">
        <v>1678</v>
      </c>
      <c r="G846" s="77" t="s">
        <v>1599</v>
      </c>
      <c r="H846" s="77">
        <f>STOCK[[#This Row],[Precio Final]]</f>
        <v>45</v>
      </c>
      <c r="I846" s="77">
        <f>STOCK[[#This Row],[Precio Venta Ideal (x1.5)]]</f>
        <v>40.38</v>
      </c>
      <c r="J846" s="92">
        <v>2</v>
      </c>
      <c r="K846" s="92">
        <f>SUMIFS(VENTAS[Cantidad],VENTAS[Código del producto Vendido],STOCK[[#This Row],[Code]])</f>
        <v>2</v>
      </c>
      <c r="L846" s="92">
        <f>STOCK[[#This Row],[Entradas]]-STOCK[[#This Row],[Salidas]]</f>
        <v>0</v>
      </c>
      <c r="M846" s="77">
        <f>STOCK[[#This Row],[Precio Final]]*10%</f>
        <v>4.5</v>
      </c>
      <c r="N846" s="77">
        <v>0</v>
      </c>
      <c r="O846" s="77">
        <v>0</v>
      </c>
      <c r="P846" s="77">
        <v>20.92</v>
      </c>
      <c r="Q846" s="92">
        <v>0</v>
      </c>
      <c r="R846" s="77">
        <v>0</v>
      </c>
      <c r="S846" s="77">
        <v>1.5</v>
      </c>
      <c r="T846" s="76">
        <f>STOCK[[#This Row],[Costo Unitario (USD)]]+STOCK[[#This Row],[Costo Envío (USD)]]+STOCK[[#This Row],[Comisión 10%]]</f>
        <v>26.92</v>
      </c>
      <c r="U846" s="77">
        <f>STOCK[[#This Row],[Costo total]]*1.5</f>
        <v>40.38</v>
      </c>
      <c r="V846" s="77">
        <v>45</v>
      </c>
      <c r="W846" s="77">
        <f>STOCK[[#This Row],[Precio Final]]-STOCK[[#This Row],[Costo total]]</f>
        <v>18.08</v>
      </c>
      <c r="X846" s="77">
        <f>STOCK[[#This Row],[Ganancia Unitaria]]*STOCK[[#This Row],[Salidas]]</f>
        <v>36.16</v>
      </c>
      <c r="Y846" s="77" t="s">
        <v>1600</v>
      </c>
      <c r="AA846" s="77">
        <f>STOCK[[#This Row],[Costo total]]*STOCK[[#This Row],[Entradas]]</f>
        <v>53.84</v>
      </c>
      <c r="AB846" s="77">
        <f>STOCK[[#This Row],[Stock Actual]]*STOCK[[#This Row],[Costo total]]</f>
        <v>0</v>
      </c>
    </row>
    <row r="847" s="76" customFormat="1" ht="50" hidden="1" customHeight="1" spans="1:28">
      <c r="A847" s="76" t="s">
        <v>1679</v>
      </c>
      <c r="B847" s="6"/>
      <c r="C847" s="76" t="s">
        <v>30</v>
      </c>
      <c r="D847" s="76" t="s">
        <v>42</v>
      </c>
      <c r="E847" s="76" t="s">
        <v>1680</v>
      </c>
      <c r="F847" s="76" t="s">
        <v>1681</v>
      </c>
      <c r="G847" s="76" t="s">
        <v>1599</v>
      </c>
      <c r="H847" s="76">
        <f>STOCK[[#This Row],[Precio Final]]</f>
        <v>20</v>
      </c>
      <c r="I847" s="76">
        <f>STOCK[[#This Row],[Precio Venta Ideal (x1.5)]]</f>
        <v>20.34</v>
      </c>
      <c r="J847" s="91">
        <v>1</v>
      </c>
      <c r="K847" s="91">
        <f>SUMIFS(VENTAS[Cantidad],VENTAS[Código del producto Vendido],STOCK[[#This Row],[Code]])</f>
        <v>1</v>
      </c>
      <c r="L847" s="91">
        <f>STOCK[[#This Row],[Entradas]]-STOCK[[#This Row],[Salidas]]</f>
        <v>0</v>
      </c>
      <c r="M847" s="76">
        <f>STOCK[[#This Row],[Precio Final]]*10%</f>
        <v>2</v>
      </c>
      <c r="N847" s="76">
        <v>0</v>
      </c>
      <c r="O847" s="76">
        <v>0</v>
      </c>
      <c r="P847" s="76">
        <v>10.06</v>
      </c>
      <c r="Q847" s="91">
        <v>0</v>
      </c>
      <c r="R847" s="76">
        <v>0</v>
      </c>
      <c r="S847" s="76">
        <v>1.5</v>
      </c>
      <c r="T847" s="76">
        <f>STOCK[[#This Row],[Costo Unitario (USD)]]+STOCK[[#This Row],[Costo Envío (USD)]]+STOCK[[#This Row],[Comisión 10%]]</f>
        <v>13.56</v>
      </c>
      <c r="U847" s="76">
        <f>STOCK[[#This Row],[Costo total]]*1.5</f>
        <v>20.34</v>
      </c>
      <c r="V847" s="76">
        <v>20</v>
      </c>
      <c r="W847" s="76">
        <f>STOCK[[#This Row],[Precio Final]]-STOCK[[#This Row],[Costo total]]</f>
        <v>6.44</v>
      </c>
      <c r="X847" s="76">
        <f>STOCK[[#This Row],[Ganancia Unitaria]]*STOCK[[#This Row],[Salidas]]</f>
        <v>6.44</v>
      </c>
      <c r="AA847" s="76">
        <f>STOCK[[#This Row],[Costo total]]*STOCK[[#This Row],[Entradas]]</f>
        <v>13.56</v>
      </c>
      <c r="AB847" s="76">
        <f>STOCK[[#This Row],[Stock Actual]]*STOCK[[#This Row],[Costo total]]</f>
        <v>0</v>
      </c>
    </row>
    <row r="848" s="77" customFormat="1" ht="50" hidden="1" customHeight="1" spans="1:28">
      <c r="A848" s="77" t="s">
        <v>1682</v>
      </c>
      <c r="B848" s="6"/>
      <c r="C848" s="77" t="s">
        <v>30</v>
      </c>
      <c r="D848" s="77" t="s">
        <v>212</v>
      </c>
      <c r="E848" s="77" t="s">
        <v>1683</v>
      </c>
      <c r="F848" s="77" t="s">
        <v>40</v>
      </c>
      <c r="G848" s="77" t="s">
        <v>1599</v>
      </c>
      <c r="H848" s="77">
        <f>STOCK[[#This Row],[Precio Final]]</f>
        <v>28</v>
      </c>
      <c r="I848" s="77">
        <f>STOCK[[#This Row],[Precio Venta Ideal (x1.5)]]</f>
        <v>30.075</v>
      </c>
      <c r="J848" s="92">
        <v>2</v>
      </c>
      <c r="K848" s="92">
        <f>SUMIFS(VENTAS[Cantidad],VENTAS[Código del producto Vendido],STOCK[[#This Row],[Code]])</f>
        <v>2</v>
      </c>
      <c r="L848" s="92">
        <f>STOCK[[#This Row],[Entradas]]-STOCK[[#This Row],[Salidas]]</f>
        <v>0</v>
      </c>
      <c r="M848" s="77">
        <f>STOCK[[#This Row],[Precio Final]]*10%</f>
        <v>2.8</v>
      </c>
      <c r="N848" s="77">
        <v>0</v>
      </c>
      <c r="O848" s="77">
        <v>0</v>
      </c>
      <c r="P848" s="77">
        <v>15.75</v>
      </c>
      <c r="Q848" s="92">
        <v>0</v>
      </c>
      <c r="R848" s="77">
        <v>0</v>
      </c>
      <c r="S848" s="77">
        <v>1.5</v>
      </c>
      <c r="T848" s="76">
        <f>STOCK[[#This Row],[Costo Unitario (USD)]]+STOCK[[#This Row],[Costo Envío (USD)]]+STOCK[[#This Row],[Comisión 10%]]</f>
        <v>20.05</v>
      </c>
      <c r="U848" s="77">
        <f>STOCK[[#This Row],[Costo total]]*1.5</f>
        <v>30.075</v>
      </c>
      <c r="V848" s="77">
        <v>28</v>
      </c>
      <c r="W848" s="77">
        <f>STOCK[[#This Row],[Precio Final]]-STOCK[[#This Row],[Costo total]]</f>
        <v>7.95</v>
      </c>
      <c r="X848" s="77">
        <f>STOCK[[#This Row],[Ganancia Unitaria]]*STOCK[[#This Row],[Salidas]]</f>
        <v>15.9</v>
      </c>
      <c r="Y848" s="77" t="s">
        <v>1600</v>
      </c>
      <c r="AA848" s="77">
        <f>STOCK[[#This Row],[Costo total]]*STOCK[[#This Row],[Entradas]]</f>
        <v>40.1</v>
      </c>
      <c r="AB848" s="77">
        <f>STOCK[[#This Row],[Stock Actual]]*STOCK[[#This Row],[Costo total]]</f>
        <v>0</v>
      </c>
    </row>
    <row r="849" s="76" customFormat="1" ht="50" hidden="1" customHeight="1" spans="1:28">
      <c r="A849" s="76" t="s">
        <v>1684</v>
      </c>
      <c r="B849" s="6"/>
      <c r="C849" s="76" t="s">
        <v>30</v>
      </c>
      <c r="D849" s="76" t="s">
        <v>301</v>
      </c>
      <c r="E849" s="76" t="s">
        <v>1685</v>
      </c>
      <c r="F849" s="76" t="s">
        <v>60</v>
      </c>
      <c r="G849" s="76" t="s">
        <v>1599</v>
      </c>
      <c r="H849" s="76">
        <f>STOCK[[#This Row],[Precio Final]]</f>
        <v>30</v>
      </c>
      <c r="I849" s="76">
        <f>STOCK[[#This Row],[Precio Venta Ideal (x1.5)]]</f>
        <v>31.2</v>
      </c>
      <c r="J849" s="91">
        <v>1</v>
      </c>
      <c r="K849" s="91">
        <f>SUMIFS(VENTAS[Cantidad],VENTAS[Código del producto Vendido],STOCK[[#This Row],[Code]])</f>
        <v>1</v>
      </c>
      <c r="L849" s="91">
        <f>STOCK[[#This Row],[Entradas]]-STOCK[[#This Row],[Salidas]]</f>
        <v>0</v>
      </c>
      <c r="M849" s="76">
        <f>STOCK[[#This Row],[Precio Final]]*10%</f>
        <v>3</v>
      </c>
      <c r="N849" s="76">
        <v>0</v>
      </c>
      <c r="O849" s="76">
        <v>0</v>
      </c>
      <c r="P849" s="76">
        <v>16.3</v>
      </c>
      <c r="Q849" s="91">
        <v>0</v>
      </c>
      <c r="R849" s="76">
        <v>0</v>
      </c>
      <c r="S849" s="76">
        <v>1.5</v>
      </c>
      <c r="T849" s="76">
        <f>STOCK[[#This Row],[Costo Unitario (USD)]]+STOCK[[#This Row],[Costo Envío (USD)]]+STOCK[[#This Row],[Comisión 10%]]</f>
        <v>20.8</v>
      </c>
      <c r="U849" s="76">
        <f>STOCK[[#This Row],[Costo total]]*1.5</f>
        <v>31.2</v>
      </c>
      <c r="V849" s="76">
        <v>30</v>
      </c>
      <c r="W849" s="76">
        <f>STOCK[[#This Row],[Precio Final]]-STOCK[[#This Row],[Costo total]]</f>
        <v>9.2</v>
      </c>
      <c r="X849" s="76">
        <f>STOCK[[#This Row],[Ganancia Unitaria]]*STOCK[[#This Row],[Salidas]]</f>
        <v>9.2</v>
      </c>
      <c r="AA849" s="76">
        <f>STOCK[[#This Row],[Costo total]]*STOCK[[#This Row],[Entradas]]</f>
        <v>20.8</v>
      </c>
      <c r="AB849" s="76">
        <f>STOCK[[#This Row],[Stock Actual]]*STOCK[[#This Row],[Costo total]]</f>
        <v>0</v>
      </c>
    </row>
    <row r="850" s="77" customFormat="1" ht="50" hidden="1" customHeight="1" spans="1:28">
      <c r="A850" s="77" t="s">
        <v>1686</v>
      </c>
      <c r="B850" s="6"/>
      <c r="C850" s="77" t="s">
        <v>30</v>
      </c>
      <c r="D850" s="77" t="s">
        <v>1687</v>
      </c>
      <c r="E850" s="77" t="s">
        <v>1688</v>
      </c>
      <c r="F850" s="77" t="s">
        <v>1689</v>
      </c>
      <c r="G850" s="77" t="s">
        <v>34</v>
      </c>
      <c r="H850" s="77">
        <f>STOCK[[#This Row],[Precio Final]]</f>
        <v>30</v>
      </c>
      <c r="I850" s="77">
        <f>STOCK[[#This Row],[Precio Venta Ideal (x1.5)]]</f>
        <v>31.2</v>
      </c>
      <c r="J850" s="92">
        <v>1</v>
      </c>
      <c r="K850" s="92">
        <f>SUMIFS(VENTAS[Cantidad],VENTAS[Código del producto Vendido],STOCK[[#This Row],[Code]])</f>
        <v>1</v>
      </c>
      <c r="L850" s="92">
        <f>STOCK[[#This Row],[Entradas]]-STOCK[[#This Row],[Salidas]]</f>
        <v>0</v>
      </c>
      <c r="M850" s="77">
        <f>STOCK[[#This Row],[Precio Final]]*10%</f>
        <v>3</v>
      </c>
      <c r="N850" s="77">
        <v>0</v>
      </c>
      <c r="O850" s="77">
        <v>0</v>
      </c>
      <c r="P850" s="77">
        <v>16.3</v>
      </c>
      <c r="Q850" s="92">
        <v>0</v>
      </c>
      <c r="R850" s="77">
        <v>0</v>
      </c>
      <c r="S850" s="77">
        <v>1.5</v>
      </c>
      <c r="T850" s="76">
        <f>STOCK[[#This Row],[Costo Unitario (USD)]]+STOCK[[#This Row],[Costo Envío (USD)]]+STOCK[[#This Row],[Comisión 10%]]</f>
        <v>20.8</v>
      </c>
      <c r="U850" s="77">
        <f>STOCK[[#This Row],[Costo total]]*1.5</f>
        <v>31.2</v>
      </c>
      <c r="V850" s="77">
        <v>30</v>
      </c>
      <c r="W850" s="77">
        <f>STOCK[[#This Row],[Precio Final]]-STOCK[[#This Row],[Costo total]]</f>
        <v>9.2</v>
      </c>
      <c r="X850" s="77">
        <f>STOCK[[#This Row],[Ganancia Unitaria]]*STOCK[[#This Row],[Salidas]]</f>
        <v>9.2</v>
      </c>
      <c r="AA850" s="77">
        <f>STOCK[[#This Row],[Costo total]]*STOCK[[#This Row],[Entradas]]</f>
        <v>20.8</v>
      </c>
      <c r="AB850" s="77">
        <f>STOCK[[#This Row],[Stock Actual]]*STOCK[[#This Row],[Costo total]]</f>
        <v>0</v>
      </c>
    </row>
    <row r="851" s="76" customFormat="1" ht="50" hidden="1" customHeight="1" spans="1:28">
      <c r="A851" s="76" t="s">
        <v>1690</v>
      </c>
      <c r="B851" s="6"/>
      <c r="C851" s="76" t="s">
        <v>30</v>
      </c>
      <c r="D851" s="76" t="s">
        <v>778</v>
      </c>
      <c r="E851" s="76" t="s">
        <v>1691</v>
      </c>
      <c r="F851" s="76" t="s">
        <v>38</v>
      </c>
      <c r="G851" s="76" t="s">
        <v>702</v>
      </c>
      <c r="H851" s="76">
        <f>STOCK[[#This Row],[Precio Final]]</f>
        <v>12</v>
      </c>
      <c r="I851" s="76">
        <f>STOCK[[#This Row],[Precio Venta Ideal (x1.5)]]</f>
        <v>15.3</v>
      </c>
      <c r="J851" s="91">
        <v>4</v>
      </c>
      <c r="K851" s="91">
        <f>SUMIFS(VENTAS[Cantidad],VENTAS[Código del producto Vendido],STOCK[[#This Row],[Code]])</f>
        <v>0</v>
      </c>
      <c r="L851" s="91">
        <f>STOCK[[#This Row],[Entradas]]-STOCK[[#This Row],[Salidas]]</f>
        <v>4</v>
      </c>
      <c r="M851" s="76">
        <f>STOCK[[#This Row],[Precio Final]]*10%</f>
        <v>1.2</v>
      </c>
      <c r="N851" s="76">
        <v>0</v>
      </c>
      <c r="O851" s="76">
        <v>0</v>
      </c>
      <c r="P851" s="76">
        <v>7.5</v>
      </c>
      <c r="Q851" s="91">
        <v>0</v>
      </c>
      <c r="R851" s="76">
        <v>0</v>
      </c>
      <c r="S851" s="76">
        <v>1.5</v>
      </c>
      <c r="T851" s="76">
        <f>STOCK[[#This Row],[Costo Unitario (USD)]]+STOCK[[#This Row],[Costo Envío (USD)]]+STOCK[[#This Row],[Comisión 10%]]</f>
        <v>10.2</v>
      </c>
      <c r="U851" s="76">
        <f>STOCK[[#This Row],[Costo total]]*1.5</f>
        <v>15.3</v>
      </c>
      <c r="V851" s="76">
        <v>12</v>
      </c>
      <c r="W851" s="76">
        <f>STOCK[[#This Row],[Precio Final]]-STOCK[[#This Row],[Costo total]]</f>
        <v>1.8</v>
      </c>
      <c r="X851" s="76">
        <f>STOCK[[#This Row],[Ganancia Unitaria]]*STOCK[[#This Row],[Salidas]]</f>
        <v>0</v>
      </c>
      <c r="AA851" s="76">
        <f>STOCK[[#This Row],[Costo total]]*STOCK[[#This Row],[Entradas]]</f>
        <v>40.8</v>
      </c>
      <c r="AB851" s="76">
        <f>STOCK[[#This Row],[Stock Actual]]*STOCK[[#This Row],[Costo total]]</f>
        <v>40.8</v>
      </c>
    </row>
    <row r="852" s="77" customFormat="1" ht="50" hidden="1" customHeight="1" spans="1:28">
      <c r="A852" s="77" t="s">
        <v>1692</v>
      </c>
      <c r="B852" s="6"/>
      <c r="C852" s="77" t="s">
        <v>30</v>
      </c>
      <c r="D852" s="77" t="s">
        <v>173</v>
      </c>
      <c r="E852" s="77" t="s">
        <v>1693</v>
      </c>
      <c r="F852" s="77" t="s">
        <v>60</v>
      </c>
      <c r="G852" s="77" t="s">
        <v>1294</v>
      </c>
      <c r="H852" s="77">
        <f>STOCK[[#This Row],[Precio Final]]</f>
        <v>36</v>
      </c>
      <c r="I852" s="77">
        <f>STOCK[[#This Row],[Precio Venta Ideal (x1.5)]]</f>
        <v>41.4</v>
      </c>
      <c r="J852" s="92">
        <v>2</v>
      </c>
      <c r="K852" s="92">
        <f>SUMIFS(VENTAS[Cantidad],VENTAS[Código del producto Vendido],STOCK[[#This Row],[Code]])</f>
        <v>1</v>
      </c>
      <c r="L852" s="92">
        <f>STOCK[[#This Row],[Entradas]]-STOCK[[#This Row],[Salidas]]</f>
        <v>1</v>
      </c>
      <c r="M852" s="77">
        <f>STOCK[[#This Row],[Precio Final]]*10%</f>
        <v>3.6</v>
      </c>
      <c r="N852" s="77">
        <v>0</v>
      </c>
      <c r="O852" s="77">
        <v>0</v>
      </c>
      <c r="P852" s="77">
        <v>20</v>
      </c>
      <c r="Q852" s="92">
        <v>0</v>
      </c>
      <c r="R852" s="77">
        <v>0</v>
      </c>
      <c r="S852" s="77">
        <v>4</v>
      </c>
      <c r="T852" s="76">
        <f>STOCK[[#This Row],[Costo Unitario (USD)]]+STOCK[[#This Row],[Costo Envío (USD)]]+STOCK[[#This Row],[Comisión 10%]]</f>
        <v>27.6</v>
      </c>
      <c r="U852" s="77">
        <f>STOCK[[#This Row],[Costo total]]*1.5</f>
        <v>41.4</v>
      </c>
      <c r="V852" s="77">
        <v>36</v>
      </c>
      <c r="W852" s="77">
        <f>STOCK[[#This Row],[Precio Final]]-STOCK[[#This Row],[Costo total]]</f>
        <v>8.4</v>
      </c>
      <c r="X852" s="77">
        <f>STOCK[[#This Row],[Ganancia Unitaria]]*STOCK[[#This Row],[Salidas]]</f>
        <v>8.4</v>
      </c>
      <c r="AA852" s="77">
        <f>STOCK[[#This Row],[Costo total]]*STOCK[[#This Row],[Entradas]]</f>
        <v>55.2</v>
      </c>
      <c r="AB852" s="77">
        <f>STOCK[[#This Row],[Stock Actual]]*STOCK[[#This Row],[Costo total]]</f>
        <v>27.6</v>
      </c>
    </row>
    <row r="853" s="76" customFormat="1" ht="50" hidden="1" customHeight="1" spans="1:28">
      <c r="A853" s="76" t="s">
        <v>1694</v>
      </c>
      <c r="B853" s="6"/>
      <c r="C853" s="76" t="s">
        <v>30</v>
      </c>
      <c r="D853" s="76" t="s">
        <v>151</v>
      </c>
      <c r="E853" s="76" t="s">
        <v>1695</v>
      </c>
      <c r="F853" s="76" t="s">
        <v>47</v>
      </c>
      <c r="G853" s="76" t="s">
        <v>1294</v>
      </c>
      <c r="H853" s="76">
        <f>STOCK[[#This Row],[Precio Final]]</f>
        <v>30</v>
      </c>
      <c r="I853" s="76">
        <f>STOCK[[#This Row],[Precio Venta Ideal (x1.5)]]</f>
        <v>35.25</v>
      </c>
      <c r="J853" s="91">
        <v>3</v>
      </c>
      <c r="K853" s="91">
        <f>SUMIFS(VENTAS[Cantidad],VENTAS[Código del producto Vendido],STOCK[[#This Row],[Code]])</f>
        <v>1</v>
      </c>
      <c r="L853" s="91">
        <f>STOCK[[#This Row],[Entradas]]-STOCK[[#This Row],[Salidas]]</f>
        <v>2</v>
      </c>
      <c r="M853" s="76">
        <f>STOCK[[#This Row],[Precio Final]]*10%</f>
        <v>3</v>
      </c>
      <c r="N853" s="76">
        <v>0</v>
      </c>
      <c r="O853" s="76">
        <v>0</v>
      </c>
      <c r="P853" s="76">
        <v>15.5</v>
      </c>
      <c r="Q853" s="91">
        <v>0</v>
      </c>
      <c r="R853" s="76">
        <v>0</v>
      </c>
      <c r="S853" s="76">
        <v>5</v>
      </c>
      <c r="T853" s="76">
        <f>STOCK[[#This Row],[Costo Unitario (USD)]]+STOCK[[#This Row],[Costo Envío (USD)]]+STOCK[[#This Row],[Comisión 10%]]</f>
        <v>23.5</v>
      </c>
      <c r="U853" s="76">
        <f>STOCK[[#This Row],[Costo total]]*1.5</f>
        <v>35.25</v>
      </c>
      <c r="V853" s="76">
        <v>30</v>
      </c>
      <c r="W853" s="76">
        <f>STOCK[[#This Row],[Precio Final]]-STOCK[[#This Row],[Costo total]]</f>
        <v>6.5</v>
      </c>
      <c r="X853" s="76">
        <f>STOCK[[#This Row],[Ganancia Unitaria]]*STOCK[[#This Row],[Salidas]]</f>
        <v>6.5</v>
      </c>
      <c r="AA853" s="76">
        <f>STOCK[[#This Row],[Costo total]]*STOCK[[#This Row],[Entradas]]</f>
        <v>70.5</v>
      </c>
      <c r="AB853" s="76">
        <f>STOCK[[#This Row],[Stock Actual]]*STOCK[[#This Row],[Costo total]]</f>
        <v>47</v>
      </c>
    </row>
    <row r="854" s="77" customFormat="1" ht="50" hidden="1" customHeight="1" spans="1:28">
      <c r="A854" s="77" t="s">
        <v>1696</v>
      </c>
      <c r="B854" s="6"/>
      <c r="C854" s="77" t="s">
        <v>30</v>
      </c>
      <c r="D854" s="77" t="s">
        <v>151</v>
      </c>
      <c r="E854" s="77" t="s">
        <v>1695</v>
      </c>
      <c r="F854" s="77" t="s">
        <v>60</v>
      </c>
      <c r="G854" s="77" t="s">
        <v>1294</v>
      </c>
      <c r="H854" s="77">
        <f>STOCK[[#This Row],[Precio Final]]</f>
        <v>30</v>
      </c>
      <c r="I854" s="77">
        <f>STOCK[[#This Row],[Precio Venta Ideal (x1.5)]]</f>
        <v>35.25</v>
      </c>
      <c r="J854" s="92">
        <v>1</v>
      </c>
      <c r="K854" s="92">
        <f>SUMIFS(VENTAS[Cantidad],VENTAS[Código del producto Vendido],STOCK[[#This Row],[Code]])</f>
        <v>1</v>
      </c>
      <c r="L854" s="92">
        <f>STOCK[[#This Row],[Entradas]]-STOCK[[#This Row],[Salidas]]</f>
        <v>0</v>
      </c>
      <c r="M854" s="77">
        <f>STOCK[[#This Row],[Precio Final]]*10%</f>
        <v>3</v>
      </c>
      <c r="N854" s="77">
        <v>0</v>
      </c>
      <c r="O854" s="77">
        <v>0</v>
      </c>
      <c r="P854" s="77">
        <v>15.5</v>
      </c>
      <c r="Q854" s="92">
        <v>0</v>
      </c>
      <c r="R854" s="77">
        <v>0</v>
      </c>
      <c r="S854" s="77">
        <v>5</v>
      </c>
      <c r="T854" s="76">
        <f>STOCK[[#This Row],[Costo Unitario (USD)]]+STOCK[[#This Row],[Costo Envío (USD)]]+STOCK[[#This Row],[Comisión 10%]]</f>
        <v>23.5</v>
      </c>
      <c r="U854" s="77">
        <f>STOCK[[#This Row],[Costo total]]*1.5</f>
        <v>35.25</v>
      </c>
      <c r="V854" s="77">
        <v>30</v>
      </c>
      <c r="W854" s="77">
        <f>STOCK[[#This Row],[Precio Final]]-STOCK[[#This Row],[Costo total]]</f>
        <v>6.5</v>
      </c>
      <c r="X854" s="77">
        <f>STOCK[[#This Row],[Ganancia Unitaria]]*STOCK[[#This Row],[Salidas]]</f>
        <v>6.5</v>
      </c>
      <c r="AA854" s="77">
        <f>STOCK[[#This Row],[Costo total]]*STOCK[[#This Row],[Entradas]]</f>
        <v>23.5</v>
      </c>
      <c r="AB854" s="77">
        <f>STOCK[[#This Row],[Stock Actual]]*STOCK[[#This Row],[Costo total]]</f>
        <v>0</v>
      </c>
    </row>
    <row r="855" s="76" customFormat="1" ht="50" hidden="1" customHeight="1" spans="1:28">
      <c r="A855" s="76" t="s">
        <v>1697</v>
      </c>
      <c r="B855" s="6"/>
      <c r="C855" s="76" t="s">
        <v>30</v>
      </c>
      <c r="D855" s="76" t="s">
        <v>151</v>
      </c>
      <c r="E855" s="76" t="s">
        <v>1698</v>
      </c>
      <c r="F855" s="76" t="s">
        <v>47</v>
      </c>
      <c r="G855" s="76" t="s">
        <v>1294</v>
      </c>
      <c r="H855" s="76">
        <f>STOCK[[#This Row],[Precio Final]]</f>
        <v>20</v>
      </c>
      <c r="I855" s="76">
        <f>STOCK[[#This Row],[Precio Venta Ideal (x1.5)]]</f>
        <v>19.5</v>
      </c>
      <c r="J855" s="91">
        <v>3</v>
      </c>
      <c r="K855" s="91">
        <f>SUMIFS(VENTAS[Cantidad],VENTAS[Código del producto Vendido],STOCK[[#This Row],[Code]])</f>
        <v>0</v>
      </c>
      <c r="L855" s="91">
        <f>STOCK[[#This Row],[Entradas]]-STOCK[[#This Row],[Salidas]]</f>
        <v>3</v>
      </c>
      <c r="M855" s="76">
        <f>STOCK[[#This Row],[Precio Final]]*10%</f>
        <v>2</v>
      </c>
      <c r="N855" s="76">
        <v>0</v>
      </c>
      <c r="O855" s="76">
        <v>0</v>
      </c>
      <c r="P855" s="76">
        <v>6</v>
      </c>
      <c r="Q855" s="91">
        <v>0</v>
      </c>
      <c r="R855" s="76">
        <v>0</v>
      </c>
      <c r="S855" s="76">
        <v>5</v>
      </c>
      <c r="T855" s="76">
        <f>STOCK[[#This Row],[Costo Unitario (USD)]]+STOCK[[#This Row],[Costo Envío (USD)]]+STOCK[[#This Row],[Comisión 10%]]</f>
        <v>13</v>
      </c>
      <c r="U855" s="76">
        <f>STOCK[[#This Row],[Costo total]]*1.5</f>
        <v>19.5</v>
      </c>
      <c r="V855" s="76">
        <v>20</v>
      </c>
      <c r="W855" s="76">
        <f>STOCK[[#This Row],[Precio Final]]-STOCK[[#This Row],[Costo total]]</f>
        <v>7</v>
      </c>
      <c r="X855" s="76">
        <f>STOCK[[#This Row],[Ganancia Unitaria]]*STOCK[[#This Row],[Salidas]]</f>
        <v>0</v>
      </c>
      <c r="AA855" s="76">
        <f>STOCK[[#This Row],[Costo total]]*STOCK[[#This Row],[Entradas]]</f>
        <v>39</v>
      </c>
      <c r="AB855" s="76">
        <f>STOCK[[#This Row],[Stock Actual]]*STOCK[[#This Row],[Costo total]]</f>
        <v>39</v>
      </c>
    </row>
    <row r="856" s="77" customFormat="1" ht="50" hidden="1" customHeight="1" spans="1:28">
      <c r="A856" s="77" t="s">
        <v>1699</v>
      </c>
      <c r="B856" s="6"/>
      <c r="C856" s="77" t="s">
        <v>30</v>
      </c>
      <c r="D856" s="77" t="s">
        <v>42</v>
      </c>
      <c r="E856" s="77" t="s">
        <v>1700</v>
      </c>
      <c r="F856" s="77" t="s">
        <v>60</v>
      </c>
      <c r="G856" s="77" t="s">
        <v>34</v>
      </c>
      <c r="H856" s="77">
        <f>STOCK[[#This Row],[Precio Final]]</f>
        <v>25</v>
      </c>
      <c r="I856" s="77">
        <f>STOCK[[#This Row],[Precio Venta Ideal (x1.5)]]</f>
        <v>20.85</v>
      </c>
      <c r="J856" s="92">
        <v>1</v>
      </c>
      <c r="K856" s="92">
        <f>SUMIFS(VENTAS[Cantidad],VENTAS[Código del producto Vendido],STOCK[[#This Row],[Code]])</f>
        <v>1</v>
      </c>
      <c r="L856" s="92">
        <f>STOCK[[#This Row],[Entradas]]-STOCK[[#This Row],[Salidas]]</f>
        <v>0</v>
      </c>
      <c r="M856" s="77">
        <f>STOCK[[#This Row],[Precio Final]]*10%</f>
        <v>2.5</v>
      </c>
      <c r="N856" s="77">
        <v>0</v>
      </c>
      <c r="O856" s="77">
        <v>0</v>
      </c>
      <c r="P856" s="77">
        <v>9.9</v>
      </c>
      <c r="Q856" s="92">
        <v>0</v>
      </c>
      <c r="R856" s="77">
        <v>0</v>
      </c>
      <c r="S856" s="77">
        <v>1.5</v>
      </c>
      <c r="T856" s="76">
        <f>STOCK[[#This Row],[Costo Unitario (USD)]]+STOCK[[#This Row],[Costo Envío (USD)]]+STOCK[[#This Row],[Comisión 10%]]</f>
        <v>13.9</v>
      </c>
      <c r="U856" s="77">
        <f>STOCK[[#This Row],[Costo total]]*1.5</f>
        <v>20.85</v>
      </c>
      <c r="V856" s="77">
        <v>25</v>
      </c>
      <c r="W856" s="77">
        <f>STOCK[[#This Row],[Precio Final]]-STOCK[[#This Row],[Costo total]]</f>
        <v>11.1</v>
      </c>
      <c r="X856" s="77">
        <f>STOCK[[#This Row],[Ganancia Unitaria]]*STOCK[[#This Row],[Salidas]]</f>
        <v>11.1</v>
      </c>
      <c r="AA856" s="77">
        <f>STOCK[[#This Row],[Costo total]]*STOCK[[#This Row],[Entradas]]</f>
        <v>13.9</v>
      </c>
      <c r="AB856" s="77">
        <f>STOCK[[#This Row],[Stock Actual]]*STOCK[[#This Row],[Costo total]]</f>
        <v>0</v>
      </c>
    </row>
    <row r="857" s="76" customFormat="1" ht="50" hidden="1" customHeight="1" spans="1:28">
      <c r="A857" s="76" t="s">
        <v>1701</v>
      </c>
      <c r="B857" s="6"/>
      <c r="C857" s="76" t="s">
        <v>30</v>
      </c>
      <c r="D857" s="76" t="s">
        <v>42</v>
      </c>
      <c r="E857" s="76" t="s">
        <v>1700</v>
      </c>
      <c r="F857" s="76" t="s">
        <v>47</v>
      </c>
      <c r="G857" s="76" t="s">
        <v>34</v>
      </c>
      <c r="H857" s="76">
        <f>STOCK[[#This Row],[Precio Final]]</f>
        <v>30</v>
      </c>
      <c r="I857" s="76">
        <f>STOCK[[#This Row],[Precio Venta Ideal (x1.5)]]</f>
        <v>21.6</v>
      </c>
      <c r="J857" s="91">
        <v>1</v>
      </c>
      <c r="K857" s="91">
        <f>SUMIFS(VENTAS[Cantidad],VENTAS[Código del producto Vendido],STOCK[[#This Row],[Code]])</f>
        <v>1</v>
      </c>
      <c r="L857" s="91">
        <f>STOCK[[#This Row],[Entradas]]-STOCK[[#This Row],[Salidas]]</f>
        <v>0</v>
      </c>
      <c r="M857" s="76">
        <f>STOCK[[#This Row],[Precio Final]]*10%</f>
        <v>3</v>
      </c>
      <c r="N857" s="76">
        <v>0</v>
      </c>
      <c r="O857" s="76">
        <v>0</v>
      </c>
      <c r="P857" s="76">
        <v>9.9</v>
      </c>
      <c r="Q857" s="91">
        <v>0</v>
      </c>
      <c r="R857" s="76">
        <v>0</v>
      </c>
      <c r="S857" s="76">
        <v>1.5</v>
      </c>
      <c r="T857" s="76">
        <f>STOCK[[#This Row],[Costo Unitario (USD)]]+STOCK[[#This Row],[Costo Envío (USD)]]+STOCK[[#This Row],[Comisión 10%]]</f>
        <v>14.4</v>
      </c>
      <c r="U857" s="76">
        <f>STOCK[[#This Row],[Costo total]]*1.5</f>
        <v>21.6</v>
      </c>
      <c r="V857" s="76">
        <v>30</v>
      </c>
      <c r="W857" s="76">
        <f>STOCK[[#This Row],[Precio Final]]-STOCK[[#This Row],[Costo total]]</f>
        <v>15.6</v>
      </c>
      <c r="X857" s="76">
        <f>STOCK[[#This Row],[Ganancia Unitaria]]*STOCK[[#This Row],[Salidas]]</f>
        <v>15.6</v>
      </c>
      <c r="AA857" s="76">
        <f>STOCK[[#This Row],[Costo total]]*STOCK[[#This Row],[Entradas]]</f>
        <v>14.4</v>
      </c>
      <c r="AB857" s="76">
        <f>STOCK[[#This Row],[Stock Actual]]*STOCK[[#This Row],[Costo total]]</f>
        <v>0</v>
      </c>
    </row>
    <row r="858" s="77" customFormat="1" ht="50" hidden="1" customHeight="1" spans="1:28">
      <c r="A858" s="77" t="s">
        <v>1702</v>
      </c>
      <c r="B858" s="6"/>
      <c r="C858" s="77" t="s">
        <v>30</v>
      </c>
      <c r="D858" s="77" t="s">
        <v>202</v>
      </c>
      <c r="E858" s="77" t="s">
        <v>1700</v>
      </c>
      <c r="F858" s="77" t="s">
        <v>44</v>
      </c>
      <c r="G858" s="77" t="s">
        <v>34</v>
      </c>
      <c r="H858" s="77">
        <f>STOCK[[#This Row],[Precio Final]]</f>
        <v>30</v>
      </c>
      <c r="I858" s="77">
        <f>STOCK[[#This Row],[Precio Venta Ideal (x1.5)]]</f>
        <v>21.6</v>
      </c>
      <c r="J858" s="92">
        <v>1</v>
      </c>
      <c r="K858" s="92">
        <f>SUMIFS(VENTAS[Cantidad],VENTAS[Código del producto Vendido],STOCK[[#This Row],[Code]])</f>
        <v>0</v>
      </c>
      <c r="L858" s="92">
        <f>STOCK[[#This Row],[Entradas]]-STOCK[[#This Row],[Salidas]]</f>
        <v>1</v>
      </c>
      <c r="M858" s="77">
        <f>STOCK[[#This Row],[Precio Final]]*10%</f>
        <v>3</v>
      </c>
      <c r="N858" s="77">
        <v>0</v>
      </c>
      <c r="O858" s="77">
        <v>0</v>
      </c>
      <c r="P858" s="77">
        <v>9.9</v>
      </c>
      <c r="Q858" s="92">
        <v>0</v>
      </c>
      <c r="R858" s="77">
        <v>0</v>
      </c>
      <c r="S858" s="77">
        <v>1.5</v>
      </c>
      <c r="T858" s="76">
        <f>STOCK[[#This Row],[Costo Unitario (USD)]]+STOCK[[#This Row],[Costo Envío (USD)]]+STOCK[[#This Row],[Comisión 10%]]</f>
        <v>14.4</v>
      </c>
      <c r="U858" s="77">
        <f>STOCK[[#This Row],[Costo total]]*1.5</f>
        <v>21.6</v>
      </c>
      <c r="V858" s="77">
        <v>30</v>
      </c>
      <c r="W858" s="77">
        <f>STOCK[[#This Row],[Precio Final]]-STOCK[[#This Row],[Costo total]]</f>
        <v>15.6</v>
      </c>
      <c r="X858" s="77">
        <f>STOCK[[#This Row],[Ganancia Unitaria]]*STOCK[[#This Row],[Salidas]]</f>
        <v>0</v>
      </c>
      <c r="AA858" s="77">
        <f>STOCK[[#This Row],[Costo total]]*STOCK[[#This Row],[Entradas]]</f>
        <v>14.4</v>
      </c>
      <c r="AB858" s="77">
        <f>STOCK[[#This Row],[Stock Actual]]*STOCK[[#This Row],[Costo total]]</f>
        <v>14.4</v>
      </c>
    </row>
    <row r="859" s="76" customFormat="1" ht="50" hidden="1" customHeight="1" spans="1:28">
      <c r="A859" s="76" t="s">
        <v>1703</v>
      </c>
      <c r="B859" s="6"/>
      <c r="C859" s="76" t="s">
        <v>30</v>
      </c>
      <c r="D859" s="76" t="s">
        <v>42</v>
      </c>
      <c r="E859" s="76" t="s">
        <v>1704</v>
      </c>
      <c r="F859" s="76" t="s">
        <v>60</v>
      </c>
      <c r="G859" s="76" t="s">
        <v>34</v>
      </c>
      <c r="H859" s="76">
        <f>STOCK[[#This Row],[Precio Final]]</f>
        <v>20</v>
      </c>
      <c r="I859" s="76">
        <f>STOCK[[#This Row],[Precio Venta Ideal (x1.5)]]</f>
        <v>17.955</v>
      </c>
      <c r="J859" s="91">
        <v>2</v>
      </c>
      <c r="K859" s="91">
        <f>SUMIFS(VENTAS[Cantidad],VENTAS[Código del producto Vendido],STOCK[[#This Row],[Code]])</f>
        <v>0</v>
      </c>
      <c r="L859" s="91">
        <f>STOCK[[#This Row],[Entradas]]-STOCK[[#This Row],[Salidas]]</f>
        <v>2</v>
      </c>
      <c r="M859" s="76">
        <f>STOCK[[#This Row],[Precio Final]]*10%</f>
        <v>2</v>
      </c>
      <c r="N859" s="76">
        <v>0</v>
      </c>
      <c r="O859" s="76">
        <v>0</v>
      </c>
      <c r="P859" s="76">
        <v>8.47</v>
      </c>
      <c r="Q859" s="91">
        <v>0</v>
      </c>
      <c r="R859" s="76">
        <v>0</v>
      </c>
      <c r="S859" s="76">
        <v>1.5</v>
      </c>
      <c r="T859" s="76">
        <f>STOCK[[#This Row],[Costo Unitario (USD)]]+STOCK[[#This Row],[Costo Envío (USD)]]+STOCK[[#This Row],[Comisión 10%]]</f>
        <v>11.97</v>
      </c>
      <c r="U859" s="76">
        <f>STOCK[[#This Row],[Costo total]]*1.5</f>
        <v>17.955</v>
      </c>
      <c r="V859" s="76">
        <v>20</v>
      </c>
      <c r="W859" s="76">
        <f>STOCK[[#This Row],[Precio Final]]-STOCK[[#This Row],[Costo total]]</f>
        <v>8.03</v>
      </c>
      <c r="X859" s="76">
        <f>STOCK[[#This Row],[Ganancia Unitaria]]*STOCK[[#This Row],[Salidas]]</f>
        <v>0</v>
      </c>
      <c r="AA859" s="76">
        <f>STOCK[[#This Row],[Costo total]]*STOCK[[#This Row],[Entradas]]</f>
        <v>23.94</v>
      </c>
      <c r="AB859" s="76">
        <f>STOCK[[#This Row],[Stock Actual]]*STOCK[[#This Row],[Costo total]]</f>
        <v>23.94</v>
      </c>
    </row>
    <row r="860" s="77" customFormat="1" ht="50" hidden="1" customHeight="1" spans="1:28">
      <c r="A860" s="77" t="s">
        <v>1705</v>
      </c>
      <c r="B860" s="6"/>
      <c r="C860" s="77" t="s">
        <v>30</v>
      </c>
      <c r="D860" s="77" t="s">
        <v>42</v>
      </c>
      <c r="E860" s="77" t="s">
        <v>1704</v>
      </c>
      <c r="F860" s="77" t="s">
        <v>47</v>
      </c>
      <c r="G860" s="77" t="s">
        <v>34</v>
      </c>
      <c r="H860" s="77">
        <f>STOCK[[#This Row],[Precio Final]]</f>
        <v>20</v>
      </c>
      <c r="I860" s="77">
        <f>STOCK[[#This Row],[Precio Venta Ideal (x1.5)]]</f>
        <v>17.955</v>
      </c>
      <c r="J860" s="92">
        <v>2</v>
      </c>
      <c r="K860" s="92">
        <f>SUMIFS(VENTAS[Cantidad],VENTAS[Código del producto Vendido],STOCK[[#This Row],[Code]])</f>
        <v>0</v>
      </c>
      <c r="L860" s="92">
        <f>STOCK[[#This Row],[Entradas]]-STOCK[[#This Row],[Salidas]]</f>
        <v>2</v>
      </c>
      <c r="M860" s="77">
        <f>STOCK[[#This Row],[Precio Final]]*10%</f>
        <v>2</v>
      </c>
      <c r="N860" s="77">
        <v>0</v>
      </c>
      <c r="O860" s="77">
        <v>0</v>
      </c>
      <c r="P860" s="77">
        <v>8.47</v>
      </c>
      <c r="Q860" s="92">
        <v>0</v>
      </c>
      <c r="R860" s="77">
        <v>0</v>
      </c>
      <c r="S860" s="77">
        <v>1.5</v>
      </c>
      <c r="T860" s="76">
        <f>STOCK[[#This Row],[Costo Unitario (USD)]]+STOCK[[#This Row],[Costo Envío (USD)]]+STOCK[[#This Row],[Comisión 10%]]</f>
        <v>11.97</v>
      </c>
      <c r="U860" s="77">
        <f>STOCK[[#This Row],[Costo total]]*1.5</f>
        <v>17.955</v>
      </c>
      <c r="V860" s="77">
        <v>20</v>
      </c>
      <c r="W860" s="77">
        <f>STOCK[[#This Row],[Precio Final]]-STOCK[[#This Row],[Costo total]]</f>
        <v>8.03</v>
      </c>
      <c r="X860" s="77">
        <f>STOCK[[#This Row],[Ganancia Unitaria]]*STOCK[[#This Row],[Salidas]]</f>
        <v>0</v>
      </c>
      <c r="AA860" s="77">
        <f>STOCK[[#This Row],[Costo total]]*STOCK[[#This Row],[Entradas]]</f>
        <v>23.94</v>
      </c>
      <c r="AB860" s="77">
        <f>STOCK[[#This Row],[Stock Actual]]*STOCK[[#This Row],[Costo total]]</f>
        <v>23.94</v>
      </c>
    </row>
    <row r="861" s="76" customFormat="1" ht="50" hidden="1" customHeight="1" spans="1:28">
      <c r="A861" s="76" t="s">
        <v>1706</v>
      </c>
      <c r="B861" s="6"/>
      <c r="C861" s="76" t="s">
        <v>30</v>
      </c>
      <c r="D861" s="76" t="s">
        <v>1012</v>
      </c>
      <c r="E861" s="76" t="s">
        <v>1707</v>
      </c>
      <c r="F861" s="76" t="s">
        <v>1708</v>
      </c>
      <c r="G861" s="76" t="s">
        <v>34</v>
      </c>
      <c r="H861" s="76">
        <f>STOCK[[#This Row],[Precio Final]]</f>
        <v>25</v>
      </c>
      <c r="I861" s="76">
        <f>STOCK[[#This Row],[Precio Venta Ideal (x1.5)]]</f>
        <v>30.9</v>
      </c>
      <c r="J861" s="91">
        <v>3</v>
      </c>
      <c r="K861" s="91">
        <f>SUMIFS(VENTAS[Cantidad],VENTAS[Código del producto Vendido],STOCK[[#This Row],[Code]])</f>
        <v>3</v>
      </c>
      <c r="L861" s="91">
        <f>STOCK[[#This Row],[Entradas]]-STOCK[[#This Row],[Salidas]]</f>
        <v>0</v>
      </c>
      <c r="M861" s="76">
        <f>STOCK[[#This Row],[Precio Final]]*10%</f>
        <v>2.5</v>
      </c>
      <c r="N861" s="76">
        <v>0</v>
      </c>
      <c r="O861" s="76">
        <v>0</v>
      </c>
      <c r="P861" s="76">
        <v>16.6</v>
      </c>
      <c r="Q861" s="91">
        <v>0</v>
      </c>
      <c r="R861" s="76">
        <v>0</v>
      </c>
      <c r="S861" s="76">
        <v>1.5</v>
      </c>
      <c r="T861" s="76">
        <f>STOCK[[#This Row],[Costo Unitario (USD)]]+STOCK[[#This Row],[Costo Envío (USD)]]+STOCK[[#This Row],[Comisión 10%]]</f>
        <v>20.6</v>
      </c>
      <c r="U861" s="76">
        <f>STOCK[[#This Row],[Costo total]]*1.5</f>
        <v>30.9</v>
      </c>
      <c r="V861" s="76">
        <v>25</v>
      </c>
      <c r="W861" s="76">
        <f>STOCK[[#This Row],[Precio Final]]-STOCK[[#This Row],[Costo total]]</f>
        <v>4.4</v>
      </c>
      <c r="X861" s="76">
        <f>STOCK[[#This Row],[Ganancia Unitaria]]*STOCK[[#This Row],[Salidas]]</f>
        <v>13.2</v>
      </c>
      <c r="AA861" s="76">
        <f>STOCK[[#This Row],[Costo total]]*STOCK[[#This Row],[Entradas]]</f>
        <v>61.8</v>
      </c>
      <c r="AB861" s="76">
        <f>STOCK[[#This Row],[Stock Actual]]*STOCK[[#This Row],[Costo total]]</f>
        <v>0</v>
      </c>
    </row>
    <row r="862" s="77" customFormat="1" ht="50" hidden="1" customHeight="1" spans="1:28">
      <c r="A862" s="77" t="s">
        <v>1709</v>
      </c>
      <c r="B862" s="6"/>
      <c r="C862" s="77" t="s">
        <v>30</v>
      </c>
      <c r="D862" s="77" t="s">
        <v>1012</v>
      </c>
      <c r="E862" s="77" t="s">
        <v>1710</v>
      </c>
      <c r="F862" s="77" t="s">
        <v>1711</v>
      </c>
      <c r="G862" s="77" t="s">
        <v>34</v>
      </c>
      <c r="H862" s="77">
        <f>STOCK[[#This Row],[Precio Final]]</f>
        <v>13</v>
      </c>
      <c r="I862" s="77">
        <f>STOCK[[#This Row],[Precio Venta Ideal (x1.5)]]</f>
        <v>19.95</v>
      </c>
      <c r="J862" s="92">
        <v>3</v>
      </c>
      <c r="K862" s="92">
        <f>SUMIFS(VENTAS[Cantidad],VENTAS[Código del producto Vendido],STOCK[[#This Row],[Code]])</f>
        <v>3</v>
      </c>
      <c r="L862" s="92">
        <f>STOCK[[#This Row],[Entradas]]-STOCK[[#This Row],[Salidas]]</f>
        <v>0</v>
      </c>
      <c r="M862" s="77">
        <f>STOCK[[#This Row],[Precio Final]]*10%</f>
        <v>1.3</v>
      </c>
      <c r="N862" s="77">
        <v>0</v>
      </c>
      <c r="O862" s="77">
        <v>0</v>
      </c>
      <c r="P862" s="77">
        <v>10</v>
      </c>
      <c r="Q862" s="92">
        <v>0</v>
      </c>
      <c r="R862" s="77">
        <v>0</v>
      </c>
      <c r="S862" s="77">
        <v>2</v>
      </c>
      <c r="T862" s="76">
        <f>STOCK[[#This Row],[Costo Unitario (USD)]]+STOCK[[#This Row],[Costo Envío (USD)]]+STOCK[[#This Row],[Comisión 10%]]</f>
        <v>13.3</v>
      </c>
      <c r="U862" s="77">
        <f>STOCK[[#This Row],[Costo total]]*1.5</f>
        <v>19.95</v>
      </c>
      <c r="V862" s="77">
        <v>13</v>
      </c>
      <c r="W862" s="77">
        <f>STOCK[[#This Row],[Precio Final]]-STOCK[[#This Row],[Costo total]]</f>
        <v>-0.300000000000001</v>
      </c>
      <c r="X862" s="77">
        <f>STOCK[[#This Row],[Ganancia Unitaria]]*STOCK[[#This Row],[Salidas]]</f>
        <v>-0.900000000000002</v>
      </c>
      <c r="AA862" s="77">
        <f>STOCK[[#This Row],[Costo total]]*STOCK[[#This Row],[Entradas]]</f>
        <v>39.9</v>
      </c>
      <c r="AB862" s="77">
        <f>STOCK[[#This Row],[Stock Actual]]*STOCK[[#This Row],[Costo total]]</f>
        <v>0</v>
      </c>
    </row>
    <row r="863" s="76" customFormat="1" ht="50" hidden="1" customHeight="1" spans="1:28">
      <c r="A863" s="76" t="s">
        <v>1712</v>
      </c>
      <c r="B863" s="6"/>
      <c r="C863" s="76" t="s">
        <v>30</v>
      </c>
      <c r="D863" s="76" t="s">
        <v>1012</v>
      </c>
      <c r="E863" s="76" t="s">
        <v>1710</v>
      </c>
      <c r="F863" s="76" t="s">
        <v>1274</v>
      </c>
      <c r="G863" s="76" t="s">
        <v>34</v>
      </c>
      <c r="H863" s="76">
        <f>STOCK[[#This Row],[Precio Final]]</f>
        <v>13</v>
      </c>
      <c r="I863" s="76">
        <f>STOCK[[#This Row],[Precio Venta Ideal (x1.5)]]</f>
        <v>19.95</v>
      </c>
      <c r="J863" s="91">
        <v>3</v>
      </c>
      <c r="K863" s="91">
        <f>SUMIFS(VENTAS[Cantidad],VENTAS[Código del producto Vendido],STOCK[[#This Row],[Code]])</f>
        <v>3</v>
      </c>
      <c r="L863" s="91">
        <f>STOCK[[#This Row],[Entradas]]-STOCK[[#This Row],[Salidas]]</f>
        <v>0</v>
      </c>
      <c r="M863" s="76">
        <f>STOCK[[#This Row],[Precio Final]]*10%</f>
        <v>1.3</v>
      </c>
      <c r="N863" s="76">
        <v>0</v>
      </c>
      <c r="O863" s="76">
        <v>0</v>
      </c>
      <c r="P863" s="76">
        <v>10</v>
      </c>
      <c r="Q863" s="91">
        <v>0</v>
      </c>
      <c r="R863" s="76">
        <v>0</v>
      </c>
      <c r="S863" s="76">
        <v>2</v>
      </c>
      <c r="T863" s="76">
        <f>STOCK[[#This Row],[Costo Unitario (USD)]]+STOCK[[#This Row],[Costo Envío (USD)]]+STOCK[[#This Row],[Comisión 10%]]</f>
        <v>13.3</v>
      </c>
      <c r="U863" s="76">
        <f>STOCK[[#This Row],[Costo total]]*1.5</f>
        <v>19.95</v>
      </c>
      <c r="V863" s="76">
        <v>13</v>
      </c>
      <c r="W863" s="76">
        <f>STOCK[[#This Row],[Precio Final]]-STOCK[[#This Row],[Costo total]]</f>
        <v>-0.300000000000001</v>
      </c>
      <c r="X863" s="76">
        <f>STOCK[[#This Row],[Ganancia Unitaria]]*STOCK[[#This Row],[Salidas]]</f>
        <v>-0.900000000000002</v>
      </c>
      <c r="AA863" s="76">
        <f>STOCK[[#This Row],[Costo total]]*STOCK[[#This Row],[Entradas]]</f>
        <v>39.9</v>
      </c>
      <c r="AB863" s="76">
        <f>STOCK[[#This Row],[Stock Actual]]*STOCK[[#This Row],[Costo total]]</f>
        <v>0</v>
      </c>
    </row>
    <row r="864" s="77" customFormat="1" ht="50" hidden="1" customHeight="1" spans="1:28">
      <c r="A864" s="77" t="s">
        <v>1713</v>
      </c>
      <c r="B864" s="6"/>
      <c r="C864" s="77" t="s">
        <v>30</v>
      </c>
      <c r="D864" s="77" t="s">
        <v>1714</v>
      </c>
      <c r="E864" s="77" t="s">
        <v>1715</v>
      </c>
      <c r="F864" s="77" t="s">
        <v>47</v>
      </c>
      <c r="G864" s="77" t="s">
        <v>702</v>
      </c>
      <c r="H864" s="77">
        <f>STOCK[[#This Row],[Precio Final]]</f>
        <v>30</v>
      </c>
      <c r="I864" s="77">
        <f>STOCK[[#This Row],[Precio Venta Ideal (x1.5)]]</f>
        <v>24</v>
      </c>
      <c r="J864" s="92">
        <v>1</v>
      </c>
      <c r="K864" s="92">
        <f>SUMIFS(VENTAS[Cantidad],VENTAS[Código del producto Vendido],STOCK[[#This Row],[Code]])</f>
        <v>0</v>
      </c>
      <c r="L864" s="92">
        <f>STOCK[[#This Row],[Entradas]]-STOCK[[#This Row],[Salidas]]</f>
        <v>1</v>
      </c>
      <c r="M864" s="77">
        <f>STOCK[[#This Row],[Precio Final]]*10%</f>
        <v>3</v>
      </c>
      <c r="N864" s="77">
        <v>0</v>
      </c>
      <c r="O864" s="77">
        <v>0</v>
      </c>
      <c r="P864" s="77">
        <v>10</v>
      </c>
      <c r="Q864" s="92">
        <v>0</v>
      </c>
      <c r="R864" s="77">
        <v>0</v>
      </c>
      <c r="S864" s="77">
        <v>3</v>
      </c>
      <c r="T864" s="76">
        <f>STOCK[[#This Row],[Costo Unitario (USD)]]+STOCK[[#This Row],[Costo Envío (USD)]]+STOCK[[#This Row],[Comisión 10%]]</f>
        <v>16</v>
      </c>
      <c r="U864" s="77">
        <f>STOCK[[#This Row],[Costo total]]*1.5</f>
        <v>24</v>
      </c>
      <c r="V864" s="77">
        <v>30</v>
      </c>
      <c r="W864" s="77">
        <f>STOCK[[#This Row],[Precio Final]]-STOCK[[#This Row],[Costo total]]</f>
        <v>14</v>
      </c>
      <c r="X864" s="77">
        <f>STOCK[[#This Row],[Ganancia Unitaria]]*STOCK[[#This Row],[Salidas]]</f>
        <v>0</v>
      </c>
      <c r="AA864" s="77">
        <f>STOCK[[#This Row],[Costo total]]*STOCK[[#This Row],[Entradas]]</f>
        <v>16</v>
      </c>
      <c r="AB864" s="77">
        <f>STOCK[[#This Row],[Stock Actual]]*STOCK[[#This Row],[Costo total]]</f>
        <v>16</v>
      </c>
    </row>
    <row r="865" s="76" customFormat="1" ht="50" hidden="1" customHeight="1" spans="1:28">
      <c r="A865" s="76" t="s">
        <v>1716</v>
      </c>
      <c r="B865" s="6"/>
      <c r="C865" s="76" t="s">
        <v>30</v>
      </c>
      <c r="D865" s="76" t="s">
        <v>42</v>
      </c>
      <c r="E865" s="76" t="s">
        <v>1717</v>
      </c>
      <c r="F865" s="76" t="s">
        <v>718</v>
      </c>
      <c r="G865" s="76" t="s">
        <v>702</v>
      </c>
      <c r="H865" s="76">
        <f>STOCK[[#This Row],[Precio Final]]</f>
        <v>28</v>
      </c>
      <c r="I865" s="76">
        <f>STOCK[[#This Row],[Precio Venta Ideal (x1.5)]]</f>
        <v>31.2</v>
      </c>
      <c r="J865" s="91">
        <v>1</v>
      </c>
      <c r="K865" s="91">
        <f>SUMIFS(VENTAS[Cantidad],VENTAS[Código del producto Vendido],STOCK[[#This Row],[Code]])</f>
        <v>1</v>
      </c>
      <c r="L865" s="91">
        <f>STOCK[[#This Row],[Entradas]]-STOCK[[#This Row],[Salidas]]</f>
        <v>0</v>
      </c>
      <c r="M865" s="76">
        <f>STOCK[[#This Row],[Precio Final]]*10%</f>
        <v>2.8</v>
      </c>
      <c r="N865" s="76">
        <v>0</v>
      </c>
      <c r="O865" s="76">
        <v>0</v>
      </c>
      <c r="P865" s="76">
        <v>15</v>
      </c>
      <c r="Q865" s="91">
        <v>0</v>
      </c>
      <c r="R865" s="76">
        <v>0</v>
      </c>
      <c r="S865" s="76">
        <v>3</v>
      </c>
      <c r="T865" s="76">
        <f>STOCK[[#This Row],[Costo Unitario (USD)]]+STOCK[[#This Row],[Costo Envío (USD)]]+STOCK[[#This Row],[Comisión 10%]]</f>
        <v>20.8</v>
      </c>
      <c r="U865" s="76">
        <f>STOCK[[#This Row],[Costo total]]*1.5</f>
        <v>31.2</v>
      </c>
      <c r="V865" s="76">
        <v>28</v>
      </c>
      <c r="W865" s="76">
        <f>STOCK[[#This Row],[Precio Final]]-STOCK[[#This Row],[Costo total]]</f>
        <v>7.2</v>
      </c>
      <c r="X865" s="76">
        <f>STOCK[[#This Row],[Ganancia Unitaria]]*STOCK[[#This Row],[Salidas]]</f>
        <v>7.2</v>
      </c>
      <c r="AA865" s="76">
        <f>STOCK[[#This Row],[Costo total]]*STOCK[[#This Row],[Entradas]]</f>
        <v>20.8</v>
      </c>
      <c r="AB865" s="76">
        <f>STOCK[[#This Row],[Stock Actual]]*STOCK[[#This Row],[Costo total]]</f>
        <v>0</v>
      </c>
    </row>
    <row r="866" s="77" customFormat="1" ht="50" hidden="1" customHeight="1" spans="1:28">
      <c r="A866" s="77" t="s">
        <v>1718</v>
      </c>
      <c r="B866" s="6"/>
      <c r="C866" s="77" t="s">
        <v>30</v>
      </c>
      <c r="D866" s="77" t="s">
        <v>1714</v>
      </c>
      <c r="E866" s="77" t="s">
        <v>1719</v>
      </c>
      <c r="F866" s="77" t="s">
        <v>443</v>
      </c>
      <c r="G866" s="77" t="s">
        <v>702</v>
      </c>
      <c r="H866" s="77">
        <f>STOCK[[#This Row],[Precio Final]]</f>
        <v>25</v>
      </c>
      <c r="I866" s="77">
        <f>STOCK[[#This Row],[Precio Venta Ideal (x1.5)]]</f>
        <v>23.25</v>
      </c>
      <c r="J866" s="92">
        <v>1</v>
      </c>
      <c r="K866" s="92">
        <f>SUMIFS(VENTAS[Cantidad],VENTAS[Código del producto Vendido],STOCK[[#This Row],[Code]])</f>
        <v>0</v>
      </c>
      <c r="L866" s="92">
        <f>STOCK[[#This Row],[Entradas]]-STOCK[[#This Row],[Salidas]]</f>
        <v>1</v>
      </c>
      <c r="M866" s="77">
        <f>STOCK[[#This Row],[Precio Final]]*10%</f>
        <v>2.5</v>
      </c>
      <c r="N866" s="77">
        <v>0</v>
      </c>
      <c r="O866" s="77">
        <v>0</v>
      </c>
      <c r="P866" s="77">
        <v>10</v>
      </c>
      <c r="Q866" s="92">
        <v>0</v>
      </c>
      <c r="R866" s="77">
        <v>0</v>
      </c>
      <c r="S866" s="77">
        <v>3</v>
      </c>
      <c r="T866" s="76">
        <f>STOCK[[#This Row],[Costo Unitario (USD)]]+STOCK[[#This Row],[Costo Envío (USD)]]+STOCK[[#This Row],[Comisión 10%]]</f>
        <v>15.5</v>
      </c>
      <c r="U866" s="77">
        <f>STOCK[[#This Row],[Costo total]]*1.5</f>
        <v>23.25</v>
      </c>
      <c r="V866" s="77">
        <v>25</v>
      </c>
      <c r="W866" s="77">
        <f>STOCK[[#This Row],[Precio Final]]-STOCK[[#This Row],[Costo total]]</f>
        <v>9.5</v>
      </c>
      <c r="X866" s="77">
        <f>STOCK[[#This Row],[Ganancia Unitaria]]*STOCK[[#This Row],[Salidas]]</f>
        <v>0</v>
      </c>
      <c r="AA866" s="77">
        <f>STOCK[[#This Row],[Costo total]]*STOCK[[#This Row],[Entradas]]</f>
        <v>15.5</v>
      </c>
      <c r="AB866" s="77">
        <f>STOCK[[#This Row],[Stock Actual]]*STOCK[[#This Row],[Costo total]]</f>
        <v>15.5</v>
      </c>
    </row>
    <row r="867" s="76" customFormat="1" ht="50" hidden="1" customHeight="1" spans="1:28">
      <c r="A867" s="76" t="s">
        <v>1720</v>
      </c>
      <c r="B867" s="6"/>
      <c r="C867" s="76" t="s">
        <v>30</v>
      </c>
      <c r="D867" s="76" t="s">
        <v>1714</v>
      </c>
      <c r="E867" s="76" t="s">
        <v>1721</v>
      </c>
      <c r="F867" s="76" t="s">
        <v>443</v>
      </c>
      <c r="G867" s="76" t="s">
        <v>702</v>
      </c>
      <c r="H867" s="76">
        <f>STOCK[[#This Row],[Precio Final]]</f>
        <v>25</v>
      </c>
      <c r="I867" s="76">
        <f>STOCK[[#This Row],[Precio Venta Ideal (x1.5)]]</f>
        <v>23.25</v>
      </c>
      <c r="J867" s="91">
        <v>2</v>
      </c>
      <c r="K867" s="91">
        <f>SUMIFS(VENTAS[Cantidad],VENTAS[Código del producto Vendido],STOCK[[#This Row],[Code]])</f>
        <v>1</v>
      </c>
      <c r="L867" s="91">
        <f>STOCK[[#This Row],[Entradas]]-STOCK[[#This Row],[Salidas]]</f>
        <v>1</v>
      </c>
      <c r="M867" s="76">
        <f>STOCK[[#This Row],[Precio Final]]*10%</f>
        <v>2.5</v>
      </c>
      <c r="N867" s="76">
        <v>0</v>
      </c>
      <c r="O867" s="76">
        <v>0</v>
      </c>
      <c r="P867" s="76">
        <v>10</v>
      </c>
      <c r="Q867" s="91">
        <v>0</v>
      </c>
      <c r="R867" s="76">
        <v>0</v>
      </c>
      <c r="S867" s="76">
        <v>3</v>
      </c>
      <c r="T867" s="76">
        <f>STOCK[[#This Row],[Costo Unitario (USD)]]+STOCK[[#This Row],[Costo Envío (USD)]]+STOCK[[#This Row],[Comisión 10%]]</f>
        <v>15.5</v>
      </c>
      <c r="U867" s="76">
        <f>STOCK[[#This Row],[Costo total]]*1.5</f>
        <v>23.25</v>
      </c>
      <c r="V867" s="76">
        <v>25</v>
      </c>
      <c r="W867" s="76">
        <f>STOCK[[#This Row],[Precio Final]]-STOCK[[#This Row],[Costo total]]</f>
        <v>9.5</v>
      </c>
      <c r="X867" s="76">
        <f>STOCK[[#This Row],[Ganancia Unitaria]]*STOCK[[#This Row],[Salidas]]</f>
        <v>9.5</v>
      </c>
      <c r="AA867" s="76">
        <f>STOCK[[#This Row],[Costo total]]*STOCK[[#This Row],[Entradas]]</f>
        <v>31</v>
      </c>
      <c r="AB867" s="76">
        <f>STOCK[[#This Row],[Stock Actual]]*STOCK[[#This Row],[Costo total]]</f>
        <v>15.5</v>
      </c>
    </row>
    <row r="868" s="77" customFormat="1" ht="50" hidden="1" customHeight="1" spans="1:28">
      <c r="A868" s="77" t="s">
        <v>1722</v>
      </c>
      <c r="B868" s="6"/>
      <c r="C868" s="77" t="s">
        <v>30</v>
      </c>
      <c r="D868" s="77" t="s">
        <v>42</v>
      </c>
      <c r="E868" s="77" t="s">
        <v>1723</v>
      </c>
      <c r="F868" s="77" t="s">
        <v>47</v>
      </c>
      <c r="G868" s="77" t="s">
        <v>1294</v>
      </c>
      <c r="H868" s="77">
        <f>STOCK[[#This Row],[Precio Final]]</f>
        <v>19</v>
      </c>
      <c r="I868" s="77">
        <f>STOCK[[#This Row],[Precio Venta Ideal (x1.5)]]</f>
        <v>19.35</v>
      </c>
      <c r="J868" s="92">
        <v>1</v>
      </c>
      <c r="K868" s="92">
        <f>SUMIFS(VENTAS[Cantidad],VENTAS[Código del producto Vendido],STOCK[[#This Row],[Code]])</f>
        <v>1</v>
      </c>
      <c r="L868" s="92">
        <f>STOCK[[#This Row],[Entradas]]-STOCK[[#This Row],[Salidas]]</f>
        <v>0</v>
      </c>
      <c r="M868" s="77">
        <f>STOCK[[#This Row],[Precio Final]]*10%</f>
        <v>1.9</v>
      </c>
      <c r="N868" s="77">
        <v>0</v>
      </c>
      <c r="O868" s="77">
        <v>0</v>
      </c>
      <c r="P868" s="77">
        <v>8</v>
      </c>
      <c r="Q868" s="92">
        <v>0</v>
      </c>
      <c r="R868" s="77">
        <v>0</v>
      </c>
      <c r="S868" s="77">
        <v>3</v>
      </c>
      <c r="T868" s="76">
        <f>STOCK[[#This Row],[Costo Unitario (USD)]]+STOCK[[#This Row],[Costo Envío (USD)]]+STOCK[[#This Row],[Comisión 10%]]</f>
        <v>12.9</v>
      </c>
      <c r="U868" s="77">
        <f>STOCK[[#This Row],[Costo total]]*1.5</f>
        <v>19.35</v>
      </c>
      <c r="V868" s="77">
        <v>19</v>
      </c>
      <c r="W868" s="77">
        <f>STOCK[[#This Row],[Precio Final]]-STOCK[[#This Row],[Costo total]]</f>
        <v>6.1</v>
      </c>
      <c r="X868" s="77">
        <f>STOCK[[#This Row],[Ganancia Unitaria]]*STOCK[[#This Row],[Salidas]]</f>
        <v>6.1</v>
      </c>
      <c r="AA868" s="77">
        <f>STOCK[[#This Row],[Costo total]]*STOCK[[#This Row],[Entradas]]</f>
        <v>12.9</v>
      </c>
      <c r="AB868" s="77">
        <f>STOCK[[#This Row],[Stock Actual]]*STOCK[[#This Row],[Costo total]]</f>
        <v>0</v>
      </c>
    </row>
    <row r="869" s="76" customFormat="1" ht="50" hidden="1" customHeight="1" spans="1:28">
      <c r="A869" s="76" t="s">
        <v>1724</v>
      </c>
      <c r="B869" s="6"/>
      <c r="C869" s="76" t="s">
        <v>30</v>
      </c>
      <c r="D869" s="76" t="s">
        <v>215</v>
      </c>
      <c r="E869" s="76" t="s">
        <v>1725</v>
      </c>
      <c r="F869" s="76" t="s">
        <v>47</v>
      </c>
      <c r="G869" s="76" t="s">
        <v>34</v>
      </c>
      <c r="H869" s="76">
        <f>STOCK[[#This Row],[Precio Final]]</f>
        <v>18</v>
      </c>
      <c r="I869" s="76">
        <f>STOCK[[#This Row],[Precio Venta Ideal (x1.5)]]</f>
        <v>19.2</v>
      </c>
      <c r="J869" s="91">
        <v>1</v>
      </c>
      <c r="K869" s="91">
        <f>SUMIFS(VENTAS[Cantidad],VENTAS[Código del producto Vendido],STOCK[[#This Row],[Code]])</f>
        <v>0</v>
      </c>
      <c r="L869" s="91">
        <f>STOCK[[#This Row],[Entradas]]-STOCK[[#This Row],[Salidas]]</f>
        <v>1</v>
      </c>
      <c r="M869" s="76">
        <f>STOCK[[#This Row],[Precio Final]]*10%</f>
        <v>1.8</v>
      </c>
      <c r="N869" s="76">
        <v>0</v>
      </c>
      <c r="O869" s="76">
        <v>0</v>
      </c>
      <c r="P869" s="76">
        <v>6</v>
      </c>
      <c r="Q869" s="91">
        <v>0</v>
      </c>
      <c r="R869" s="76">
        <v>0</v>
      </c>
      <c r="S869" s="76">
        <v>5</v>
      </c>
      <c r="T869" s="76">
        <f>STOCK[[#This Row],[Costo Unitario (USD)]]+STOCK[[#This Row],[Costo Envío (USD)]]+STOCK[[#This Row],[Comisión 10%]]</f>
        <v>12.8</v>
      </c>
      <c r="U869" s="76">
        <f>STOCK[[#This Row],[Costo total]]*1.5</f>
        <v>19.2</v>
      </c>
      <c r="V869" s="76">
        <v>18</v>
      </c>
      <c r="W869" s="76">
        <f>STOCK[[#This Row],[Precio Final]]-STOCK[[#This Row],[Costo total]]</f>
        <v>5.2</v>
      </c>
      <c r="X869" s="76">
        <f>STOCK[[#This Row],[Ganancia Unitaria]]*STOCK[[#This Row],[Salidas]]</f>
        <v>0</v>
      </c>
      <c r="AA869" s="76">
        <f>STOCK[[#This Row],[Costo total]]*STOCK[[#This Row],[Entradas]]</f>
        <v>12.8</v>
      </c>
      <c r="AB869" s="76">
        <f>STOCK[[#This Row],[Stock Actual]]*STOCK[[#This Row],[Costo total]]</f>
        <v>12.8</v>
      </c>
    </row>
    <row r="870" s="77" customFormat="1" ht="50" hidden="1" customHeight="1" spans="1:28">
      <c r="A870" s="77" t="s">
        <v>1726</v>
      </c>
      <c r="B870" s="6"/>
      <c r="C870" s="77" t="s">
        <v>30</v>
      </c>
      <c r="D870" s="76" t="s">
        <v>514</v>
      </c>
      <c r="E870" s="77" t="s">
        <v>1523</v>
      </c>
      <c r="F870" s="77" t="s">
        <v>1440</v>
      </c>
      <c r="G870" s="77" t="s">
        <v>34</v>
      </c>
      <c r="H870" s="77">
        <f>STOCK[[#This Row],[Precio Final]]</f>
        <v>40</v>
      </c>
      <c r="I870" s="77">
        <f>STOCK[[#This Row],[Precio Venta Ideal (x1.5)]]</f>
        <v>47.25</v>
      </c>
      <c r="J870" s="92">
        <v>1</v>
      </c>
      <c r="K870" s="92">
        <f>SUMIFS(VENTAS[Cantidad],VENTAS[Código del producto Vendido],STOCK[[#This Row],[Code]])</f>
        <v>1</v>
      </c>
      <c r="L870" s="92">
        <f>STOCK[[#This Row],[Entradas]]-STOCK[[#This Row],[Salidas]]</f>
        <v>0</v>
      </c>
      <c r="M870" s="77">
        <f>STOCK[[#This Row],[Precio Final]]*10%</f>
        <v>4</v>
      </c>
      <c r="N870" s="77">
        <v>0</v>
      </c>
      <c r="O870" s="77">
        <v>0</v>
      </c>
      <c r="P870" s="77">
        <v>26</v>
      </c>
      <c r="Q870" s="92">
        <v>0</v>
      </c>
      <c r="R870" s="77">
        <v>0</v>
      </c>
      <c r="S870" s="77">
        <v>1.5</v>
      </c>
      <c r="T870" s="76">
        <f>STOCK[[#This Row],[Costo Unitario (USD)]]+STOCK[[#This Row],[Costo Envío (USD)]]+STOCK[[#This Row],[Comisión 10%]]</f>
        <v>31.5</v>
      </c>
      <c r="U870" s="77">
        <f>STOCK[[#This Row],[Costo total]]*1.5</f>
        <v>47.25</v>
      </c>
      <c r="V870" s="77">
        <v>40</v>
      </c>
      <c r="W870" s="77">
        <f>STOCK[[#This Row],[Precio Final]]-STOCK[[#This Row],[Costo total]]</f>
        <v>8.5</v>
      </c>
      <c r="X870" s="77">
        <f>STOCK[[#This Row],[Ganancia Unitaria]]*STOCK[[#This Row],[Salidas]]</f>
        <v>8.5</v>
      </c>
      <c r="Y870" s="77" t="s">
        <v>1470</v>
      </c>
      <c r="AA870" s="77">
        <f>STOCK[[#This Row],[Costo total]]*STOCK[[#This Row],[Entradas]]</f>
        <v>31.5</v>
      </c>
      <c r="AB870" s="77">
        <f>STOCK[[#This Row],[Stock Actual]]*STOCK[[#This Row],[Costo total]]</f>
        <v>0</v>
      </c>
    </row>
    <row r="871" s="76" customFormat="1" ht="50" hidden="1" customHeight="1" spans="1:28">
      <c r="A871" s="76" t="s">
        <v>1727</v>
      </c>
      <c r="B871" s="6"/>
      <c r="C871" s="76" t="s">
        <v>30</v>
      </c>
      <c r="D871" s="76" t="s">
        <v>1728</v>
      </c>
      <c r="E871" s="76" t="s">
        <v>1729</v>
      </c>
      <c r="F871" s="76" t="s">
        <v>1708</v>
      </c>
      <c r="G871" s="76" t="s">
        <v>34</v>
      </c>
      <c r="H871" s="76">
        <f>STOCK[[#This Row],[Precio Final]]</f>
        <v>25</v>
      </c>
      <c r="I871" s="76">
        <f>STOCK[[#This Row],[Precio Venta Ideal (x1.5)]]</f>
        <v>30.6617647058823</v>
      </c>
      <c r="J871" s="91">
        <v>2</v>
      </c>
      <c r="K871" s="91">
        <f>SUMIFS(VENTAS[Cantidad],VENTAS[Código del producto Vendido],STOCK[[#This Row],[Code]])</f>
        <v>2</v>
      </c>
      <c r="L871" s="91">
        <f>STOCK[[#This Row],[Entradas]]-STOCK[[#This Row],[Salidas]]</f>
        <v>0</v>
      </c>
      <c r="M871" s="76">
        <f>STOCK[[#This Row],[Precio Final]]*10%</f>
        <v>2.5</v>
      </c>
      <c r="N871" s="76">
        <v>237</v>
      </c>
      <c r="O871" s="76">
        <v>17</v>
      </c>
      <c r="P871" s="76">
        <v>13.9411764705882</v>
      </c>
      <c r="Q871" s="91">
        <v>0</v>
      </c>
      <c r="R871" s="76">
        <v>0</v>
      </c>
      <c r="S871" s="76">
        <v>4</v>
      </c>
      <c r="T871" s="76">
        <f>STOCK[[#This Row],[Costo Unitario (USD)]]+STOCK[[#This Row],[Costo Envío (USD)]]+STOCK[[#This Row],[Comisión 10%]]</f>
        <v>20.4411764705882</v>
      </c>
      <c r="U871" s="76">
        <f>STOCK[[#This Row],[Costo total]]*1.5</f>
        <v>30.6617647058823</v>
      </c>
      <c r="V871" s="76">
        <v>25</v>
      </c>
      <c r="W871" s="76">
        <f>STOCK[[#This Row],[Precio Final]]-STOCK[[#This Row],[Costo total]]</f>
        <v>4.5588235294118</v>
      </c>
      <c r="X871" s="76">
        <f>STOCK[[#This Row],[Ganancia Unitaria]]*STOCK[[#This Row],[Salidas]]</f>
        <v>9.1176470588236</v>
      </c>
      <c r="Y871" s="76" t="s">
        <v>1730</v>
      </c>
      <c r="Z871" s="76">
        <f>STOCK[[#This Row],[Costo Envío (USD)]]*STOCK[[#This Row],[Entradas]]</f>
        <v>8</v>
      </c>
      <c r="AA871" s="76">
        <f>STOCK[[#This Row],[Costo total]]*STOCK[[#This Row],[Entradas]]</f>
        <v>40.8823529411764</v>
      </c>
      <c r="AB871" s="76">
        <f>STOCK[[#This Row],[Stock Actual]]*STOCK[[#This Row],[Costo total]]</f>
        <v>0</v>
      </c>
    </row>
    <row r="872" s="77" customFormat="1" ht="50" hidden="1" customHeight="1" spans="1:28">
      <c r="A872" s="77" t="s">
        <v>1731</v>
      </c>
      <c r="B872" s="6"/>
      <c r="C872" s="77" t="s">
        <v>30</v>
      </c>
      <c r="D872" s="77" t="s">
        <v>1728</v>
      </c>
      <c r="E872" s="77" t="s">
        <v>1729</v>
      </c>
      <c r="F872" s="77" t="s">
        <v>1732</v>
      </c>
      <c r="G872" s="77" t="s">
        <v>34</v>
      </c>
      <c r="H872" s="77">
        <f>STOCK[[#This Row],[Precio Final]]</f>
        <v>25</v>
      </c>
      <c r="I872" s="77">
        <f>STOCK[[#This Row],[Precio Venta Ideal (x1.5)]]</f>
        <v>30.6617647058823</v>
      </c>
      <c r="J872" s="92">
        <v>2</v>
      </c>
      <c r="K872" s="92">
        <f>SUMIFS(VENTAS[Cantidad],VENTAS[Código del producto Vendido],STOCK[[#This Row],[Code]])</f>
        <v>2</v>
      </c>
      <c r="L872" s="92">
        <f>STOCK[[#This Row],[Entradas]]-STOCK[[#This Row],[Salidas]]</f>
        <v>0</v>
      </c>
      <c r="M872" s="77">
        <f>STOCK[[#This Row],[Precio Final]]*10%</f>
        <v>2.5</v>
      </c>
      <c r="N872" s="77">
        <v>237</v>
      </c>
      <c r="O872" s="77">
        <v>17</v>
      </c>
      <c r="P872" s="77">
        <v>13.9411764705882</v>
      </c>
      <c r="Q872" s="92">
        <v>0</v>
      </c>
      <c r="R872" s="77">
        <v>0</v>
      </c>
      <c r="S872" s="77">
        <v>4</v>
      </c>
      <c r="T872" s="76">
        <f>STOCK[[#This Row],[Costo Unitario (USD)]]+STOCK[[#This Row],[Costo Envío (USD)]]+STOCK[[#This Row],[Comisión 10%]]</f>
        <v>20.4411764705882</v>
      </c>
      <c r="U872" s="77">
        <f>STOCK[[#This Row],[Costo total]]*1.5</f>
        <v>30.6617647058823</v>
      </c>
      <c r="V872" s="77">
        <v>25</v>
      </c>
      <c r="W872" s="77">
        <f>STOCK[[#This Row],[Precio Final]]-STOCK[[#This Row],[Costo total]]</f>
        <v>4.5588235294118</v>
      </c>
      <c r="X872" s="77">
        <f>STOCK[[#This Row],[Ganancia Unitaria]]*STOCK[[#This Row],[Salidas]]</f>
        <v>9.1176470588236</v>
      </c>
      <c r="Y872" s="77" t="s">
        <v>1730</v>
      </c>
      <c r="Z872" s="77">
        <f>STOCK[[#This Row],[Costo Envío (USD)]]*STOCK[[#This Row],[Entradas]]</f>
        <v>8</v>
      </c>
      <c r="AA872" s="77">
        <f>STOCK[[#This Row],[Costo total]]*STOCK[[#This Row],[Entradas]]</f>
        <v>40.8823529411764</v>
      </c>
      <c r="AB872" s="77">
        <f>STOCK[[#This Row],[Stock Actual]]*STOCK[[#This Row],[Costo total]]</f>
        <v>0</v>
      </c>
    </row>
    <row r="873" s="76" customFormat="1" ht="50" hidden="1" customHeight="1" spans="1:28">
      <c r="A873" s="76" t="s">
        <v>1733</v>
      </c>
      <c r="B873" s="6"/>
      <c r="C873" s="76" t="s">
        <v>30</v>
      </c>
      <c r="D873" s="76" t="s">
        <v>1728</v>
      </c>
      <c r="E873" s="76" t="s">
        <v>1734</v>
      </c>
      <c r="F873" s="76" t="s">
        <v>60</v>
      </c>
      <c r="G873" s="76" t="s">
        <v>34</v>
      </c>
      <c r="H873" s="76">
        <f>STOCK[[#This Row],[Precio Final]]</f>
        <v>25</v>
      </c>
      <c r="I873" s="76">
        <f>STOCK[[#This Row],[Precio Venta Ideal (x1.5)]]</f>
        <v>30.6617647058823</v>
      </c>
      <c r="J873" s="91">
        <v>3</v>
      </c>
      <c r="K873" s="91">
        <f>SUMIFS(VENTAS[Cantidad],VENTAS[Código del producto Vendido],STOCK[[#This Row],[Code]])</f>
        <v>3</v>
      </c>
      <c r="L873" s="91">
        <f>STOCK[[#This Row],[Entradas]]-STOCK[[#This Row],[Salidas]]</f>
        <v>0</v>
      </c>
      <c r="M873" s="76">
        <f>STOCK[[#This Row],[Precio Final]]*10%</f>
        <v>2.5</v>
      </c>
      <c r="N873" s="76">
        <v>237</v>
      </c>
      <c r="O873" s="76">
        <v>17</v>
      </c>
      <c r="P873" s="76">
        <v>13.9411764705882</v>
      </c>
      <c r="Q873" s="91">
        <v>0</v>
      </c>
      <c r="R873" s="76">
        <v>0</v>
      </c>
      <c r="S873" s="76">
        <v>4</v>
      </c>
      <c r="T873" s="76">
        <f>STOCK[[#This Row],[Costo Unitario (USD)]]+STOCK[[#This Row],[Costo Envío (USD)]]+STOCK[[#This Row],[Comisión 10%]]</f>
        <v>20.4411764705882</v>
      </c>
      <c r="U873" s="76">
        <f>STOCK[[#This Row],[Costo total]]*1.5</f>
        <v>30.6617647058823</v>
      </c>
      <c r="V873" s="76">
        <v>25</v>
      </c>
      <c r="W873" s="76">
        <f>STOCK[[#This Row],[Precio Final]]-STOCK[[#This Row],[Costo total]]</f>
        <v>4.5588235294118</v>
      </c>
      <c r="X873" s="76">
        <f>STOCK[[#This Row],[Ganancia Unitaria]]*STOCK[[#This Row],[Salidas]]</f>
        <v>13.6764705882354</v>
      </c>
      <c r="Y873" s="76" t="s">
        <v>1730</v>
      </c>
      <c r="Z873" s="76">
        <f>STOCK[[#This Row],[Costo Envío (USD)]]*STOCK[[#This Row],[Entradas]]</f>
        <v>12</v>
      </c>
      <c r="AA873" s="76">
        <f>STOCK[[#This Row],[Costo total]]*STOCK[[#This Row],[Entradas]]</f>
        <v>61.3235294117646</v>
      </c>
      <c r="AB873" s="76">
        <f>STOCK[[#This Row],[Stock Actual]]*STOCK[[#This Row],[Costo total]]</f>
        <v>0</v>
      </c>
    </row>
    <row r="874" s="77" customFormat="1" ht="50" hidden="1" customHeight="1" spans="1:28">
      <c r="A874" s="77" t="s">
        <v>1735</v>
      </c>
      <c r="B874" s="6"/>
      <c r="C874" s="77" t="s">
        <v>30</v>
      </c>
      <c r="D874" s="77" t="s">
        <v>1728</v>
      </c>
      <c r="E874" s="77" t="s">
        <v>1734</v>
      </c>
      <c r="F874" s="77" t="s">
        <v>47</v>
      </c>
      <c r="G874" s="77" t="s">
        <v>34</v>
      </c>
      <c r="H874" s="77">
        <f>STOCK[[#This Row],[Precio Final]]</f>
        <v>25</v>
      </c>
      <c r="I874" s="77">
        <f>STOCK[[#This Row],[Precio Venta Ideal (x1.5)]]</f>
        <v>30.6617647058823</v>
      </c>
      <c r="J874" s="92">
        <v>2</v>
      </c>
      <c r="K874" s="92">
        <f>SUMIFS(VENTAS[Cantidad],VENTAS[Código del producto Vendido],STOCK[[#This Row],[Code]])</f>
        <v>2</v>
      </c>
      <c r="L874" s="92">
        <f>STOCK[[#This Row],[Entradas]]-STOCK[[#This Row],[Salidas]]</f>
        <v>0</v>
      </c>
      <c r="M874" s="77">
        <f>STOCK[[#This Row],[Precio Final]]*10%</f>
        <v>2.5</v>
      </c>
      <c r="N874" s="77">
        <v>237</v>
      </c>
      <c r="O874" s="77">
        <v>17</v>
      </c>
      <c r="P874" s="77">
        <v>13.9411764705882</v>
      </c>
      <c r="Q874" s="92">
        <v>0</v>
      </c>
      <c r="R874" s="77">
        <v>0</v>
      </c>
      <c r="S874" s="77">
        <v>4</v>
      </c>
      <c r="T874" s="76">
        <f>STOCK[[#This Row],[Costo Unitario (USD)]]+STOCK[[#This Row],[Costo Envío (USD)]]+STOCK[[#This Row],[Comisión 10%]]</f>
        <v>20.4411764705882</v>
      </c>
      <c r="U874" s="77">
        <f>STOCK[[#This Row],[Costo total]]*1.5</f>
        <v>30.6617647058823</v>
      </c>
      <c r="V874" s="77">
        <v>25</v>
      </c>
      <c r="W874" s="77">
        <f>STOCK[[#This Row],[Precio Final]]-STOCK[[#This Row],[Costo total]]</f>
        <v>4.5588235294118</v>
      </c>
      <c r="X874" s="77">
        <f>STOCK[[#This Row],[Ganancia Unitaria]]*STOCK[[#This Row],[Salidas]]</f>
        <v>9.1176470588236</v>
      </c>
      <c r="Y874" s="77" t="s">
        <v>1730</v>
      </c>
      <c r="Z874" s="77">
        <f>STOCK[[#This Row],[Costo Envío (USD)]]*STOCK[[#This Row],[Entradas]]</f>
        <v>8</v>
      </c>
      <c r="AA874" s="77">
        <f>STOCK[[#This Row],[Costo total]]*STOCK[[#This Row],[Entradas]]</f>
        <v>40.8823529411764</v>
      </c>
      <c r="AB874" s="77">
        <f>STOCK[[#This Row],[Stock Actual]]*STOCK[[#This Row],[Costo total]]</f>
        <v>0</v>
      </c>
    </row>
    <row r="875" s="76" customFormat="1" ht="50" hidden="1" customHeight="1" spans="1:28">
      <c r="A875" s="76" t="s">
        <v>1736</v>
      </c>
      <c r="B875" s="6"/>
      <c r="C875" s="76" t="s">
        <v>30</v>
      </c>
      <c r="D875" s="76" t="s">
        <v>1728</v>
      </c>
      <c r="E875" s="76" t="s">
        <v>1737</v>
      </c>
      <c r="F875" s="76" t="s">
        <v>60</v>
      </c>
      <c r="G875" s="76" t="s">
        <v>34</v>
      </c>
      <c r="H875" s="76">
        <f>STOCK[[#This Row],[Precio Final]]</f>
        <v>25</v>
      </c>
      <c r="I875" s="76">
        <f>STOCK[[#This Row],[Precio Venta Ideal (x1.5)]]</f>
        <v>30.6617647058823</v>
      </c>
      <c r="J875" s="91">
        <v>2</v>
      </c>
      <c r="K875" s="91">
        <f>SUMIFS(VENTAS[Cantidad],VENTAS[Código del producto Vendido],STOCK[[#This Row],[Code]])</f>
        <v>2</v>
      </c>
      <c r="L875" s="91">
        <f>STOCK[[#This Row],[Entradas]]-STOCK[[#This Row],[Salidas]]</f>
        <v>0</v>
      </c>
      <c r="M875" s="76">
        <f>STOCK[[#This Row],[Precio Final]]*10%</f>
        <v>2.5</v>
      </c>
      <c r="N875" s="76">
        <v>237</v>
      </c>
      <c r="O875" s="76">
        <v>17</v>
      </c>
      <c r="P875" s="76">
        <v>13.9411764705882</v>
      </c>
      <c r="Q875" s="91">
        <v>0</v>
      </c>
      <c r="R875" s="76">
        <v>0</v>
      </c>
      <c r="S875" s="76">
        <v>4</v>
      </c>
      <c r="T875" s="76">
        <f>STOCK[[#This Row],[Costo Unitario (USD)]]+STOCK[[#This Row],[Costo Envío (USD)]]+STOCK[[#This Row],[Comisión 10%]]</f>
        <v>20.4411764705882</v>
      </c>
      <c r="U875" s="76">
        <f>STOCK[[#This Row],[Costo total]]*1.5</f>
        <v>30.6617647058823</v>
      </c>
      <c r="V875" s="76">
        <v>25</v>
      </c>
      <c r="W875" s="76">
        <f>STOCK[[#This Row],[Precio Final]]-STOCK[[#This Row],[Costo total]]</f>
        <v>4.5588235294118</v>
      </c>
      <c r="X875" s="76">
        <f>STOCK[[#This Row],[Ganancia Unitaria]]*STOCK[[#This Row],[Salidas]]</f>
        <v>9.1176470588236</v>
      </c>
      <c r="Y875" s="76" t="s">
        <v>1730</v>
      </c>
      <c r="Z875" s="76">
        <f>STOCK[[#This Row],[Costo Envío (USD)]]*STOCK[[#This Row],[Entradas]]</f>
        <v>8</v>
      </c>
      <c r="AA875" s="76">
        <f>STOCK[[#This Row],[Costo total]]*STOCK[[#This Row],[Entradas]]</f>
        <v>40.8823529411764</v>
      </c>
      <c r="AB875" s="76">
        <f>STOCK[[#This Row],[Stock Actual]]*STOCK[[#This Row],[Costo total]]</f>
        <v>0</v>
      </c>
    </row>
    <row r="876" s="77" customFormat="1" ht="50" hidden="1" customHeight="1" spans="1:28">
      <c r="A876" s="77" t="s">
        <v>1738</v>
      </c>
      <c r="B876" s="6"/>
      <c r="C876" s="77" t="s">
        <v>30</v>
      </c>
      <c r="D876" s="77" t="s">
        <v>1739</v>
      </c>
      <c r="E876" s="77" t="s">
        <v>1737</v>
      </c>
      <c r="F876" s="77" t="s">
        <v>257</v>
      </c>
      <c r="G876" s="77" t="s">
        <v>34</v>
      </c>
      <c r="H876" s="77">
        <f>STOCK[[#This Row],[Precio Final]]</f>
        <v>25</v>
      </c>
      <c r="I876" s="77">
        <f>STOCK[[#This Row],[Precio Venta Ideal (x1.5)]]</f>
        <v>30.6617647058823</v>
      </c>
      <c r="J876" s="92">
        <v>2</v>
      </c>
      <c r="K876" s="92">
        <f>SUMIFS(VENTAS[Cantidad],VENTAS[Código del producto Vendido],STOCK[[#This Row],[Code]])</f>
        <v>2</v>
      </c>
      <c r="L876" s="92">
        <f>STOCK[[#This Row],[Entradas]]-STOCK[[#This Row],[Salidas]]</f>
        <v>0</v>
      </c>
      <c r="M876" s="77">
        <f>STOCK[[#This Row],[Precio Final]]*10%</f>
        <v>2.5</v>
      </c>
      <c r="N876" s="77">
        <v>237</v>
      </c>
      <c r="O876" s="77">
        <v>17</v>
      </c>
      <c r="P876" s="77">
        <v>13.9411764705882</v>
      </c>
      <c r="Q876" s="92">
        <v>0</v>
      </c>
      <c r="R876" s="77">
        <v>0</v>
      </c>
      <c r="S876" s="77">
        <v>4</v>
      </c>
      <c r="T876" s="76">
        <f>STOCK[[#This Row],[Costo Unitario (USD)]]+STOCK[[#This Row],[Costo Envío (USD)]]+STOCK[[#This Row],[Comisión 10%]]</f>
        <v>20.4411764705882</v>
      </c>
      <c r="U876" s="77">
        <f>STOCK[[#This Row],[Costo total]]*1.5</f>
        <v>30.6617647058823</v>
      </c>
      <c r="V876" s="77">
        <v>25</v>
      </c>
      <c r="W876" s="77">
        <f>STOCK[[#This Row],[Precio Final]]-STOCK[[#This Row],[Costo total]]</f>
        <v>4.5588235294118</v>
      </c>
      <c r="X876" s="77">
        <f>STOCK[[#This Row],[Ganancia Unitaria]]*STOCK[[#This Row],[Salidas]]</f>
        <v>9.1176470588236</v>
      </c>
      <c r="Y876" s="77" t="s">
        <v>1730</v>
      </c>
      <c r="Z876" s="77">
        <f>STOCK[[#This Row],[Costo Envío (USD)]]*STOCK[[#This Row],[Entradas]]</f>
        <v>8</v>
      </c>
      <c r="AA876" s="77">
        <f>STOCK[[#This Row],[Costo total]]*STOCK[[#This Row],[Entradas]]</f>
        <v>40.8823529411764</v>
      </c>
      <c r="AB876" s="77">
        <f>STOCK[[#This Row],[Stock Actual]]*STOCK[[#This Row],[Costo total]]</f>
        <v>0</v>
      </c>
    </row>
    <row r="877" s="76" customFormat="1" ht="50" hidden="1" customHeight="1" spans="1:28">
      <c r="A877" s="76" t="s">
        <v>1740</v>
      </c>
      <c r="B877" s="6"/>
      <c r="C877" s="76" t="s">
        <v>30</v>
      </c>
      <c r="D877" s="76" t="s">
        <v>1741</v>
      </c>
      <c r="E877" s="76" t="s">
        <v>1742</v>
      </c>
      <c r="F877" s="76" t="s">
        <v>60</v>
      </c>
      <c r="G877" s="76" t="s">
        <v>1599</v>
      </c>
      <c r="H877" s="76">
        <f>STOCK[[#This Row],[Precio Final]]</f>
        <v>22</v>
      </c>
      <c r="I877" s="76">
        <f>STOCK[[#This Row],[Precio Venta Ideal (x1.5)]]</f>
        <v>23.3294117647059</v>
      </c>
      <c r="J877" s="91">
        <v>4</v>
      </c>
      <c r="K877" s="91">
        <f>SUMIFS(VENTAS[Cantidad],VENTAS[Código del producto Vendido],STOCK[[#This Row],[Code]])</f>
        <v>2</v>
      </c>
      <c r="L877" s="91">
        <f>STOCK[[#This Row],[Entradas]]-STOCK[[#This Row],[Salidas]]</f>
        <v>2</v>
      </c>
      <c r="M877" s="76">
        <f>STOCK[[#This Row],[Precio Final]]*10%</f>
        <v>2.2</v>
      </c>
      <c r="N877" s="76">
        <v>159</v>
      </c>
      <c r="O877" s="76">
        <v>17</v>
      </c>
      <c r="P877" s="76">
        <v>9.35294117647059</v>
      </c>
      <c r="Q877" s="91">
        <v>0</v>
      </c>
      <c r="R877" s="76">
        <v>0</v>
      </c>
      <c r="S877" s="76">
        <v>4</v>
      </c>
      <c r="T877" s="76">
        <f>STOCK[[#This Row],[Costo Unitario (USD)]]+STOCK[[#This Row],[Costo Envío (USD)]]+STOCK[[#This Row],[Comisión 10%]]</f>
        <v>15.5529411764706</v>
      </c>
      <c r="U877" s="76">
        <f>STOCK[[#This Row],[Costo total]]*1.5</f>
        <v>23.3294117647059</v>
      </c>
      <c r="V877" s="76">
        <v>22</v>
      </c>
      <c r="W877" s="76">
        <f>STOCK[[#This Row],[Precio Final]]-STOCK[[#This Row],[Costo total]]</f>
        <v>6.44705882352941</v>
      </c>
      <c r="X877" s="76">
        <f>STOCK[[#This Row],[Ganancia Unitaria]]*STOCK[[#This Row],[Salidas]]</f>
        <v>12.8941176470588</v>
      </c>
      <c r="Y877" s="76" t="s">
        <v>1730</v>
      </c>
      <c r="Z877" s="76">
        <f>STOCK[[#This Row],[Costo Envío (USD)]]*STOCK[[#This Row],[Entradas]]</f>
        <v>16</v>
      </c>
      <c r="AA877" s="76">
        <f>STOCK[[#This Row],[Costo total]]*STOCK[[#This Row],[Entradas]]</f>
        <v>62.2117647058824</v>
      </c>
      <c r="AB877" s="76">
        <f>STOCK[[#This Row],[Stock Actual]]*STOCK[[#This Row],[Costo total]]</f>
        <v>31.1058823529412</v>
      </c>
    </row>
    <row r="878" s="77" customFormat="1" ht="50" hidden="1" customHeight="1" spans="1:28">
      <c r="A878" s="77" t="s">
        <v>1743</v>
      </c>
      <c r="B878" s="6"/>
      <c r="C878" s="77" t="s">
        <v>30</v>
      </c>
      <c r="D878" s="77" t="s">
        <v>1741</v>
      </c>
      <c r="E878" s="77" t="s">
        <v>1742</v>
      </c>
      <c r="F878" s="77" t="s">
        <v>210</v>
      </c>
      <c r="G878" s="77" t="s">
        <v>34</v>
      </c>
      <c r="H878" s="77">
        <f>STOCK[[#This Row],[Precio Final]]</f>
        <v>22</v>
      </c>
      <c r="I878" s="77">
        <f>STOCK[[#This Row],[Precio Venta Ideal (x1.5)]]</f>
        <v>23.3294117647059</v>
      </c>
      <c r="J878" s="92">
        <v>2</v>
      </c>
      <c r="K878" s="92">
        <f>SUMIFS(VENTAS[Cantidad],VENTAS[Código del producto Vendido],STOCK[[#This Row],[Code]])</f>
        <v>2</v>
      </c>
      <c r="L878" s="92">
        <f>STOCK[[#This Row],[Entradas]]-STOCK[[#This Row],[Salidas]]</f>
        <v>0</v>
      </c>
      <c r="M878" s="77">
        <f>STOCK[[#This Row],[Precio Final]]*10%</f>
        <v>2.2</v>
      </c>
      <c r="N878" s="77">
        <v>159</v>
      </c>
      <c r="O878" s="77">
        <v>17</v>
      </c>
      <c r="P878" s="77">
        <v>9.35294117647059</v>
      </c>
      <c r="Q878" s="92">
        <v>0</v>
      </c>
      <c r="R878" s="77">
        <v>0</v>
      </c>
      <c r="S878" s="77">
        <v>4</v>
      </c>
      <c r="T878" s="76">
        <f>STOCK[[#This Row],[Costo Unitario (USD)]]+STOCK[[#This Row],[Costo Envío (USD)]]+STOCK[[#This Row],[Comisión 10%]]</f>
        <v>15.5529411764706</v>
      </c>
      <c r="U878" s="77">
        <f>STOCK[[#This Row],[Costo total]]*1.5</f>
        <v>23.3294117647059</v>
      </c>
      <c r="V878" s="77">
        <v>22</v>
      </c>
      <c r="W878" s="77">
        <f>STOCK[[#This Row],[Precio Final]]-STOCK[[#This Row],[Costo total]]</f>
        <v>6.44705882352941</v>
      </c>
      <c r="X878" s="77">
        <f>STOCK[[#This Row],[Ganancia Unitaria]]*STOCK[[#This Row],[Salidas]]</f>
        <v>12.8941176470588</v>
      </c>
      <c r="Y878" s="77" t="s">
        <v>1730</v>
      </c>
      <c r="Z878" s="77">
        <f>STOCK[[#This Row],[Costo Envío (USD)]]*STOCK[[#This Row],[Entradas]]</f>
        <v>8</v>
      </c>
      <c r="AA878" s="77">
        <f>STOCK[[#This Row],[Costo total]]*STOCK[[#This Row],[Entradas]]</f>
        <v>31.1058823529412</v>
      </c>
      <c r="AB878" s="77">
        <f>STOCK[[#This Row],[Stock Actual]]*STOCK[[#This Row],[Costo total]]</f>
        <v>0</v>
      </c>
    </row>
    <row r="879" s="76" customFormat="1" ht="50" hidden="1" customHeight="1" spans="1:28">
      <c r="A879" s="76" t="s">
        <v>1744</v>
      </c>
      <c r="B879" s="6"/>
      <c r="C879" s="76" t="s">
        <v>30</v>
      </c>
      <c r="D879" s="77" t="s">
        <v>36</v>
      </c>
      <c r="E879" s="76" t="s">
        <v>1745</v>
      </c>
      <c r="F879" s="76" t="s">
        <v>1045</v>
      </c>
      <c r="G879" s="76" t="s">
        <v>34</v>
      </c>
      <c r="H879" s="76">
        <f>STOCK[[#This Row],[Precio Final]]</f>
        <v>20</v>
      </c>
      <c r="I879" s="76">
        <f>STOCK[[#This Row],[Precio Venta Ideal (x1.5)]]</f>
        <v>17.3823529411765</v>
      </c>
      <c r="J879" s="91">
        <v>1</v>
      </c>
      <c r="K879" s="91">
        <f>SUMIFS(VENTAS[Cantidad],VENTAS[Código del producto Vendido],STOCK[[#This Row],[Code]])</f>
        <v>1</v>
      </c>
      <c r="L879" s="91">
        <f>STOCK[[#This Row],[Entradas]]-STOCK[[#This Row],[Salidas]]</f>
        <v>0</v>
      </c>
      <c r="M879" s="76">
        <f>STOCK[[#This Row],[Precio Final]]*10%</f>
        <v>2</v>
      </c>
      <c r="N879" s="76">
        <v>112</v>
      </c>
      <c r="O879" s="76">
        <v>17</v>
      </c>
      <c r="P879" s="76">
        <v>6.58823529411765</v>
      </c>
      <c r="Q879" s="91">
        <v>0</v>
      </c>
      <c r="R879" s="76">
        <v>0</v>
      </c>
      <c r="S879" s="76">
        <v>3</v>
      </c>
      <c r="T879" s="76">
        <f>STOCK[[#This Row],[Costo Unitario (USD)]]+STOCK[[#This Row],[Costo Envío (USD)]]+STOCK[[#This Row],[Comisión 10%]]</f>
        <v>11.5882352941177</v>
      </c>
      <c r="U879" s="76">
        <f>STOCK[[#This Row],[Costo total]]*1.5</f>
        <v>17.3823529411765</v>
      </c>
      <c r="V879" s="76">
        <v>20</v>
      </c>
      <c r="W879" s="76">
        <f>STOCK[[#This Row],[Precio Final]]-STOCK[[#This Row],[Costo total]]</f>
        <v>8.41176470588235</v>
      </c>
      <c r="X879" s="76">
        <f>STOCK[[#This Row],[Ganancia Unitaria]]*STOCK[[#This Row],[Salidas]]</f>
        <v>8.41176470588235</v>
      </c>
      <c r="Y879" s="76" t="s">
        <v>1730</v>
      </c>
      <c r="Z879" s="76">
        <f>STOCK[[#This Row],[Costo Envío (USD)]]*STOCK[[#This Row],[Entradas]]</f>
        <v>3</v>
      </c>
      <c r="AA879" s="76">
        <f>STOCK[[#This Row],[Costo total]]*STOCK[[#This Row],[Entradas]]</f>
        <v>11.5882352941177</v>
      </c>
      <c r="AB879" s="76">
        <f>STOCK[[#This Row],[Stock Actual]]*STOCK[[#This Row],[Costo total]]</f>
        <v>0</v>
      </c>
    </row>
    <row r="880" s="77" customFormat="1" ht="50" hidden="1" customHeight="1" spans="1:28">
      <c r="A880" s="77" t="s">
        <v>1746</v>
      </c>
      <c r="B880" s="6"/>
      <c r="C880" s="77" t="s">
        <v>30</v>
      </c>
      <c r="D880" s="77" t="s">
        <v>974</v>
      </c>
      <c r="E880" s="77" t="s">
        <v>1747</v>
      </c>
      <c r="F880" s="77" t="s">
        <v>40</v>
      </c>
      <c r="G880" s="77" t="s">
        <v>702</v>
      </c>
      <c r="H880" s="77">
        <f>STOCK[[#This Row],[Precio Final]]</f>
        <v>35</v>
      </c>
      <c r="I880" s="77">
        <f>STOCK[[#This Row],[Precio Venta Ideal (x1.5)]]</f>
        <v>48.75</v>
      </c>
      <c r="J880" s="92">
        <v>1</v>
      </c>
      <c r="K880" s="92">
        <f>SUMIFS(VENTAS[Cantidad],VENTAS[Código del producto Vendido],STOCK[[#This Row],[Code]])</f>
        <v>1</v>
      </c>
      <c r="L880" s="92">
        <f>STOCK[[#This Row],[Entradas]]-STOCK[[#This Row],[Salidas]]</f>
        <v>0</v>
      </c>
      <c r="M880" s="77">
        <f>STOCK[[#This Row],[Precio Final]]*10%</f>
        <v>3.5</v>
      </c>
      <c r="N880" s="77">
        <v>159</v>
      </c>
      <c r="O880" s="77">
        <v>17</v>
      </c>
      <c r="P880" s="77">
        <v>25</v>
      </c>
      <c r="Q880" s="92">
        <v>0</v>
      </c>
      <c r="R880" s="77">
        <v>0</v>
      </c>
      <c r="S880" s="77">
        <v>4</v>
      </c>
      <c r="T880" s="76">
        <f>STOCK[[#This Row],[Costo Unitario (USD)]]+STOCK[[#This Row],[Costo Envío (USD)]]+STOCK[[#This Row],[Comisión 10%]]</f>
        <v>32.5</v>
      </c>
      <c r="U880" s="77">
        <f>STOCK[[#This Row],[Costo total]]*1.5</f>
        <v>48.75</v>
      </c>
      <c r="V880" s="77">
        <v>35</v>
      </c>
      <c r="W880" s="77">
        <f>STOCK[[#This Row],[Precio Final]]-STOCK[[#This Row],[Costo total]]</f>
        <v>2.5</v>
      </c>
      <c r="X880" s="77">
        <f>STOCK[[#This Row],[Ganancia Unitaria]]*STOCK[[#This Row],[Salidas]]</f>
        <v>2.5</v>
      </c>
      <c r="Y880" s="77" t="s">
        <v>1730</v>
      </c>
      <c r="Z880" s="77">
        <v>0</v>
      </c>
      <c r="AA880" s="77">
        <f>STOCK[[#This Row],[Costo total]]*STOCK[[#This Row],[Entradas]]</f>
        <v>32.5</v>
      </c>
      <c r="AB880" s="77">
        <f>STOCK[[#This Row],[Stock Actual]]*STOCK[[#This Row],[Costo total]]</f>
        <v>0</v>
      </c>
    </row>
    <row r="881" s="76" customFormat="1" ht="50" hidden="1" customHeight="1" spans="1:28">
      <c r="A881" s="76" t="s">
        <v>1748</v>
      </c>
      <c r="B881" s="6"/>
      <c r="C881" s="76" t="s">
        <v>30</v>
      </c>
      <c r="D881" s="76" t="s">
        <v>1749</v>
      </c>
      <c r="E881" s="76" t="s">
        <v>1750</v>
      </c>
      <c r="F881" s="76" t="s">
        <v>1751</v>
      </c>
      <c r="G881" s="76" t="s">
        <v>1599</v>
      </c>
      <c r="H881" s="76">
        <f>STOCK[[#This Row],[Precio Final]]</f>
        <v>25</v>
      </c>
      <c r="I881" s="76">
        <f>STOCK[[#This Row],[Precio Venta Ideal (x1.5)]]</f>
        <v>22.3676470588236</v>
      </c>
      <c r="J881" s="91">
        <v>4</v>
      </c>
      <c r="K881" s="91">
        <f>SUMIFS(VENTAS[Cantidad],VENTAS[Código del producto Vendido],STOCK[[#This Row],[Code]])</f>
        <v>4</v>
      </c>
      <c r="L881" s="91">
        <f>STOCK[[#This Row],[Entradas]]-STOCK[[#This Row],[Salidas]]</f>
        <v>0</v>
      </c>
      <c r="M881" s="76">
        <f>STOCK[[#This Row],[Precio Final]]*10%</f>
        <v>2.5</v>
      </c>
      <c r="N881" s="76">
        <v>211</v>
      </c>
      <c r="O881" s="76">
        <v>17</v>
      </c>
      <c r="P881" s="76">
        <v>12.4117647058824</v>
      </c>
      <c r="Q881" s="91">
        <v>0</v>
      </c>
      <c r="R881" s="76">
        <v>0</v>
      </c>
      <c r="S881" s="76">
        <v>0</v>
      </c>
      <c r="T881" s="76">
        <f>STOCK[[#This Row],[Costo Unitario (USD)]]+STOCK[[#This Row],[Costo Envío (USD)]]+STOCK[[#This Row],[Comisión 10%]]</f>
        <v>14.9117647058824</v>
      </c>
      <c r="U881" s="76">
        <f>STOCK[[#This Row],[Costo total]]*1.5</f>
        <v>22.3676470588236</v>
      </c>
      <c r="V881" s="76">
        <v>25</v>
      </c>
      <c r="W881" s="76">
        <f>STOCK[[#This Row],[Precio Final]]-STOCK[[#This Row],[Costo total]]</f>
        <v>10.0882352941176</v>
      </c>
      <c r="X881" s="76">
        <f>STOCK[[#This Row],[Ganancia Unitaria]]*STOCK[[#This Row],[Salidas]]</f>
        <v>40.3529411764704</v>
      </c>
      <c r="Y881" s="76" t="s">
        <v>1730</v>
      </c>
      <c r="Z881" s="76">
        <f>STOCK[[#This Row],[Costo Envío (USD)]]*STOCK[[#This Row],[Entradas]]</f>
        <v>0</v>
      </c>
      <c r="AA881" s="76">
        <f>STOCK[[#This Row],[Costo total]]*STOCK[[#This Row],[Entradas]]</f>
        <v>59.6470588235296</v>
      </c>
      <c r="AB881" s="76">
        <f>STOCK[[#This Row],[Stock Actual]]*STOCK[[#This Row],[Costo total]]</f>
        <v>0</v>
      </c>
    </row>
    <row r="882" s="77" customFormat="1" ht="50" hidden="1" customHeight="1" spans="1:28">
      <c r="A882" s="77" t="s">
        <v>1752</v>
      </c>
      <c r="B882" s="6"/>
      <c r="C882" s="77" t="s">
        <v>30</v>
      </c>
      <c r="D882" s="77" t="s">
        <v>1753</v>
      </c>
      <c r="E882" s="77" t="s">
        <v>1742</v>
      </c>
      <c r="F882" s="77" t="s">
        <v>40</v>
      </c>
      <c r="G882" s="77" t="s">
        <v>34</v>
      </c>
      <c r="H882" s="77">
        <f>STOCK[[#This Row],[Precio Final]]</f>
        <v>22</v>
      </c>
      <c r="I882" s="77">
        <f>STOCK[[#This Row],[Precio Venta Ideal (x1.5)]]</f>
        <v>23.3294117647059</v>
      </c>
      <c r="J882" s="92">
        <v>3</v>
      </c>
      <c r="K882" s="92">
        <f>SUMIFS(VENTAS[Cantidad],VENTAS[Código del producto Vendido],STOCK[[#This Row],[Code]])</f>
        <v>0</v>
      </c>
      <c r="L882" s="92">
        <f>STOCK[[#This Row],[Entradas]]-STOCK[[#This Row],[Salidas]]</f>
        <v>3</v>
      </c>
      <c r="M882" s="77">
        <f>STOCK[[#This Row],[Precio Final]]*10%</f>
        <v>2.2</v>
      </c>
      <c r="N882" s="77">
        <v>159</v>
      </c>
      <c r="O882" s="77">
        <v>17</v>
      </c>
      <c r="P882" s="77">
        <v>9.35294117647059</v>
      </c>
      <c r="Q882" s="92">
        <v>0</v>
      </c>
      <c r="R882" s="77">
        <v>0</v>
      </c>
      <c r="S882" s="77">
        <v>4</v>
      </c>
      <c r="T882" s="76">
        <f>STOCK[[#This Row],[Costo Unitario (USD)]]+STOCK[[#This Row],[Costo Envío (USD)]]+STOCK[[#This Row],[Comisión 10%]]</f>
        <v>15.5529411764706</v>
      </c>
      <c r="U882" s="77">
        <f>STOCK[[#This Row],[Costo total]]*1.5</f>
        <v>23.3294117647059</v>
      </c>
      <c r="V882" s="77">
        <v>22</v>
      </c>
      <c r="W882" s="77">
        <f>STOCK[[#This Row],[Precio Final]]-STOCK[[#This Row],[Costo total]]</f>
        <v>6.44705882352941</v>
      </c>
      <c r="X882" s="77">
        <f>STOCK[[#This Row],[Ganancia Unitaria]]*STOCK[[#This Row],[Salidas]]</f>
        <v>0</v>
      </c>
      <c r="Y882" s="77" t="s">
        <v>1730</v>
      </c>
      <c r="Z882" s="77">
        <f>STOCK[[#This Row],[Costo Envío (USD)]]*STOCK[[#This Row],[Entradas]]</f>
        <v>12</v>
      </c>
      <c r="AA882" s="77">
        <f>STOCK[[#This Row],[Costo total]]*STOCK[[#This Row],[Entradas]]</f>
        <v>46.6588235294118</v>
      </c>
      <c r="AB882" s="77">
        <f>STOCK[[#This Row],[Stock Actual]]*STOCK[[#This Row],[Costo total]]</f>
        <v>46.6588235294118</v>
      </c>
    </row>
    <row r="883" s="76" customFormat="1" ht="50" hidden="1" customHeight="1" spans="1:28">
      <c r="A883" s="76" t="s">
        <v>1754</v>
      </c>
      <c r="B883" s="6"/>
      <c r="C883" s="76" t="s">
        <v>30</v>
      </c>
      <c r="D883" s="76" t="s">
        <v>1480</v>
      </c>
      <c r="E883" s="76" t="s">
        <v>1755</v>
      </c>
      <c r="F883" s="76" t="s">
        <v>1756</v>
      </c>
      <c r="G883" s="76" t="s">
        <v>34</v>
      </c>
      <c r="H883" s="76">
        <f>STOCK[[#This Row],[Precio Final]]</f>
        <v>30</v>
      </c>
      <c r="I883" s="76">
        <f>STOCK[[#This Row],[Precio Venta Ideal (x1.5)]]</f>
        <v>41.2058823529412</v>
      </c>
      <c r="J883" s="91">
        <v>3</v>
      </c>
      <c r="K883" s="91">
        <f>SUMIFS(VENTAS[Cantidad],VENTAS[Código del producto Vendido],STOCK[[#This Row],[Code]])</f>
        <v>3</v>
      </c>
      <c r="L883" s="91">
        <f>STOCK[[#This Row],[Entradas]]-STOCK[[#This Row],[Salidas]]</f>
        <v>0</v>
      </c>
      <c r="M883" s="76">
        <f>STOCK[[#This Row],[Precio Final]]*10%</f>
        <v>3</v>
      </c>
      <c r="N883" s="76">
        <v>348</v>
      </c>
      <c r="O883" s="76">
        <v>17</v>
      </c>
      <c r="P883" s="76">
        <v>20.4705882352941</v>
      </c>
      <c r="Q883" s="91">
        <v>0</v>
      </c>
      <c r="R883" s="76">
        <v>0</v>
      </c>
      <c r="S883" s="76">
        <v>4</v>
      </c>
      <c r="T883" s="76">
        <f>STOCK[[#This Row],[Costo Unitario (USD)]]+STOCK[[#This Row],[Costo Envío (USD)]]+STOCK[[#This Row],[Comisión 10%]]</f>
        <v>27.4705882352941</v>
      </c>
      <c r="U883" s="76">
        <f>STOCK[[#This Row],[Costo total]]*1.5</f>
        <v>41.2058823529412</v>
      </c>
      <c r="V883" s="76">
        <v>30</v>
      </c>
      <c r="W883" s="76">
        <f>STOCK[[#This Row],[Precio Final]]-STOCK[[#This Row],[Costo total]]</f>
        <v>2.5294117647059</v>
      </c>
      <c r="X883" s="76">
        <f>STOCK[[#This Row],[Ganancia Unitaria]]*STOCK[[#This Row],[Salidas]]</f>
        <v>7.58823529411769</v>
      </c>
      <c r="Y883" s="76" t="s">
        <v>1730</v>
      </c>
      <c r="Z883" s="76">
        <f>STOCK[[#This Row],[Costo Envío (USD)]]*STOCK[[#This Row],[Entradas]]</f>
        <v>12</v>
      </c>
      <c r="AA883" s="76">
        <f>STOCK[[#This Row],[Costo total]]*STOCK[[#This Row],[Entradas]]</f>
        <v>82.4117647058823</v>
      </c>
      <c r="AB883" s="76">
        <f>STOCK[[#This Row],[Stock Actual]]*STOCK[[#This Row],[Costo total]]</f>
        <v>0</v>
      </c>
    </row>
    <row r="884" s="77" customFormat="1" ht="50" hidden="1" customHeight="1" spans="1:28">
      <c r="A884" s="77" t="s">
        <v>1757</v>
      </c>
      <c r="B884" s="6"/>
      <c r="C884" s="77" t="s">
        <v>30</v>
      </c>
      <c r="D884" s="77" t="s">
        <v>1480</v>
      </c>
      <c r="E884" s="77" t="s">
        <v>1755</v>
      </c>
      <c r="F884" s="77" t="s">
        <v>1758</v>
      </c>
      <c r="G884" s="77" t="s">
        <v>1599</v>
      </c>
      <c r="H884" s="77">
        <f>STOCK[[#This Row],[Precio Final]]</f>
        <v>30</v>
      </c>
      <c r="I884" s="77">
        <f>STOCK[[#This Row],[Precio Venta Ideal (x1.5)]]</f>
        <v>42.7058823529412</v>
      </c>
      <c r="J884" s="92">
        <v>3</v>
      </c>
      <c r="K884" s="92">
        <f>SUMIFS(VENTAS[Cantidad],VENTAS[Código del producto Vendido],STOCK[[#This Row],[Code]])</f>
        <v>3</v>
      </c>
      <c r="L884" s="92">
        <f>STOCK[[#This Row],[Entradas]]-STOCK[[#This Row],[Salidas]]</f>
        <v>0</v>
      </c>
      <c r="M884" s="77">
        <f>STOCK[[#This Row],[Precio Final]]*10%</f>
        <v>3</v>
      </c>
      <c r="N884" s="77">
        <v>348</v>
      </c>
      <c r="O884" s="77">
        <v>17</v>
      </c>
      <c r="P884" s="77">
        <v>20.4705882352941</v>
      </c>
      <c r="Q884" s="92">
        <v>0</v>
      </c>
      <c r="R884" s="77">
        <v>0</v>
      </c>
      <c r="S884" s="77">
        <v>5</v>
      </c>
      <c r="T884" s="76">
        <f>STOCK[[#This Row],[Costo Unitario (USD)]]+STOCK[[#This Row],[Costo Envío (USD)]]+STOCK[[#This Row],[Comisión 10%]]</f>
        <v>28.4705882352941</v>
      </c>
      <c r="U884" s="77">
        <f>STOCK[[#This Row],[Costo total]]*1.5</f>
        <v>42.7058823529412</v>
      </c>
      <c r="V884" s="77">
        <v>30</v>
      </c>
      <c r="W884" s="77">
        <f>STOCK[[#This Row],[Precio Final]]-STOCK[[#This Row],[Costo total]]</f>
        <v>1.5294117647059</v>
      </c>
      <c r="X884" s="77">
        <f>STOCK[[#This Row],[Ganancia Unitaria]]*STOCK[[#This Row],[Salidas]]</f>
        <v>4.58823529411769</v>
      </c>
      <c r="Y884" s="77" t="s">
        <v>1730</v>
      </c>
      <c r="Z884" s="77">
        <f>STOCK[[#This Row],[Costo Envío (USD)]]*STOCK[[#This Row],[Entradas]]</f>
        <v>15</v>
      </c>
      <c r="AA884" s="77">
        <f>STOCK[[#This Row],[Costo total]]*STOCK[[#This Row],[Entradas]]</f>
        <v>85.4117647058823</v>
      </c>
      <c r="AB884" s="77">
        <f>STOCK[[#This Row],[Stock Actual]]*STOCK[[#This Row],[Costo total]]</f>
        <v>0</v>
      </c>
    </row>
    <row r="885" s="76" customFormat="1" ht="50" hidden="1" customHeight="1" spans="1:28">
      <c r="A885" s="76" t="s">
        <v>1759</v>
      </c>
      <c r="B885" s="6"/>
      <c r="C885" s="76" t="s">
        <v>30</v>
      </c>
      <c r="D885" s="76" t="s">
        <v>1480</v>
      </c>
      <c r="E885" s="76" t="s">
        <v>1755</v>
      </c>
      <c r="F885" s="76" t="s">
        <v>762</v>
      </c>
      <c r="G885" s="76" t="s">
        <v>1599</v>
      </c>
      <c r="H885" s="76">
        <f>STOCK[[#This Row],[Precio Final]]</f>
        <v>32</v>
      </c>
      <c r="I885" s="76">
        <f>STOCK[[#This Row],[Precio Venta Ideal (x1.5)]]</f>
        <v>43.0058823529411</v>
      </c>
      <c r="J885" s="91">
        <v>4</v>
      </c>
      <c r="K885" s="91">
        <f>SUMIFS(VENTAS[Cantidad],VENTAS[Código del producto Vendido],STOCK[[#This Row],[Code]])</f>
        <v>3</v>
      </c>
      <c r="L885" s="91">
        <f>STOCK[[#This Row],[Entradas]]-STOCK[[#This Row],[Salidas]]</f>
        <v>1</v>
      </c>
      <c r="M885" s="76">
        <f>STOCK[[#This Row],[Precio Final]]*10%</f>
        <v>3.2</v>
      </c>
      <c r="N885" s="76">
        <v>348</v>
      </c>
      <c r="O885" s="76">
        <v>17</v>
      </c>
      <c r="P885" s="76">
        <v>20.4705882352941</v>
      </c>
      <c r="Q885" s="91">
        <v>0</v>
      </c>
      <c r="R885" s="76">
        <v>0</v>
      </c>
      <c r="S885" s="76">
        <v>5</v>
      </c>
      <c r="T885" s="76">
        <f>STOCK[[#This Row],[Costo Unitario (USD)]]+STOCK[[#This Row],[Costo Envío (USD)]]+STOCK[[#This Row],[Comisión 10%]]</f>
        <v>28.6705882352941</v>
      </c>
      <c r="U885" s="76">
        <f>STOCK[[#This Row],[Costo total]]*1.5</f>
        <v>43.0058823529411</v>
      </c>
      <c r="V885" s="76">
        <v>32</v>
      </c>
      <c r="W885" s="76">
        <f>STOCK[[#This Row],[Precio Final]]-STOCK[[#This Row],[Costo total]]</f>
        <v>3.3294117647059</v>
      </c>
      <c r="X885" s="76">
        <f>STOCK[[#This Row],[Ganancia Unitaria]]*STOCK[[#This Row],[Salidas]]</f>
        <v>9.9882352941177</v>
      </c>
      <c r="Y885" s="76" t="s">
        <v>1730</v>
      </c>
      <c r="Z885" s="76">
        <f>STOCK[[#This Row],[Costo Envío (USD)]]*STOCK[[#This Row],[Entradas]]</f>
        <v>20</v>
      </c>
      <c r="AA885" s="76">
        <f>STOCK[[#This Row],[Costo total]]*STOCK[[#This Row],[Entradas]]</f>
        <v>114.682352941176</v>
      </c>
      <c r="AB885" s="76">
        <f>STOCK[[#This Row],[Stock Actual]]*STOCK[[#This Row],[Costo total]]</f>
        <v>28.6705882352941</v>
      </c>
    </row>
    <row r="886" s="77" customFormat="1" ht="50" hidden="1" customHeight="1" spans="1:28">
      <c r="A886" s="77" t="s">
        <v>1760</v>
      </c>
      <c r="B886" s="6"/>
      <c r="C886" s="77" t="s">
        <v>30</v>
      </c>
      <c r="D886" s="77" t="s">
        <v>1480</v>
      </c>
      <c r="E886" s="77" t="s">
        <v>1755</v>
      </c>
      <c r="F886" s="77" t="s">
        <v>1676</v>
      </c>
      <c r="G886" s="77" t="s">
        <v>1599</v>
      </c>
      <c r="H886" s="77">
        <f>STOCK[[#This Row],[Precio Final]]</f>
        <v>30</v>
      </c>
      <c r="I886" s="77">
        <f>STOCK[[#This Row],[Precio Venta Ideal (x1.5)]]</f>
        <v>42.7058823529412</v>
      </c>
      <c r="J886" s="92">
        <v>3</v>
      </c>
      <c r="K886" s="92">
        <f>SUMIFS(VENTAS[Cantidad],VENTAS[Código del producto Vendido],STOCK[[#This Row],[Code]])</f>
        <v>3</v>
      </c>
      <c r="L886" s="92">
        <f>STOCK[[#This Row],[Entradas]]-STOCK[[#This Row],[Salidas]]</f>
        <v>0</v>
      </c>
      <c r="M886" s="77">
        <f>STOCK[[#This Row],[Precio Final]]*10%</f>
        <v>3</v>
      </c>
      <c r="N886" s="77">
        <v>348</v>
      </c>
      <c r="O886" s="77">
        <v>17</v>
      </c>
      <c r="P886" s="77">
        <v>20.4705882352941</v>
      </c>
      <c r="Q886" s="92">
        <v>0</v>
      </c>
      <c r="R886" s="77">
        <v>0</v>
      </c>
      <c r="S886" s="77">
        <v>5</v>
      </c>
      <c r="T886" s="76">
        <f>STOCK[[#This Row],[Costo Unitario (USD)]]+STOCK[[#This Row],[Costo Envío (USD)]]+STOCK[[#This Row],[Comisión 10%]]</f>
        <v>28.4705882352941</v>
      </c>
      <c r="U886" s="77">
        <f>STOCK[[#This Row],[Costo total]]*1.5</f>
        <v>42.7058823529412</v>
      </c>
      <c r="V886" s="77">
        <v>30</v>
      </c>
      <c r="W886" s="77">
        <f>STOCK[[#This Row],[Precio Final]]-STOCK[[#This Row],[Costo total]]</f>
        <v>1.5294117647059</v>
      </c>
      <c r="X886" s="77">
        <f>STOCK[[#This Row],[Ganancia Unitaria]]*STOCK[[#This Row],[Salidas]]</f>
        <v>4.58823529411769</v>
      </c>
      <c r="Y886" s="77" t="s">
        <v>1730</v>
      </c>
      <c r="Z886" s="77">
        <f>STOCK[[#This Row],[Costo Envío (USD)]]*STOCK[[#This Row],[Entradas]]</f>
        <v>15</v>
      </c>
      <c r="AA886" s="77">
        <f>STOCK[[#This Row],[Costo total]]*STOCK[[#This Row],[Entradas]]</f>
        <v>85.4117647058823</v>
      </c>
      <c r="AB886" s="77">
        <f>STOCK[[#This Row],[Stock Actual]]*STOCK[[#This Row],[Costo total]]</f>
        <v>0</v>
      </c>
    </row>
    <row r="887" s="76" customFormat="1" ht="50" hidden="1" customHeight="1" spans="1:28">
      <c r="A887" s="76" t="s">
        <v>1761</v>
      </c>
      <c r="B887" s="6"/>
      <c r="C887" s="76" t="s">
        <v>30</v>
      </c>
      <c r="D887" s="76" t="s">
        <v>1762</v>
      </c>
      <c r="E887" s="76" t="s">
        <v>1763</v>
      </c>
      <c r="F887" s="76" t="s">
        <v>524</v>
      </c>
      <c r="G887" s="76" t="s">
        <v>1599</v>
      </c>
      <c r="H887" s="76">
        <f>STOCK[[#This Row],[Precio Final]]</f>
        <v>1.2</v>
      </c>
      <c r="I887" s="76">
        <f>STOCK[[#This Row],[Precio Venta Ideal (x1.5)]]</f>
        <v>0.634411764705882</v>
      </c>
      <c r="J887" s="91">
        <v>10</v>
      </c>
      <c r="K887" s="91">
        <f>SUMIFS(VENTAS[Cantidad],VENTAS[Código del producto Vendido],STOCK[[#This Row],[Code]])</f>
        <v>0</v>
      </c>
      <c r="L887" s="91">
        <f>STOCK[[#This Row],[Entradas]]-STOCK[[#This Row],[Salidas]]</f>
        <v>10</v>
      </c>
      <c r="M887" s="76">
        <f>STOCK[[#This Row],[Precio Final]]*10%</f>
        <v>0.12</v>
      </c>
      <c r="N887" s="76">
        <v>4.3</v>
      </c>
      <c r="O887" s="76">
        <v>17</v>
      </c>
      <c r="P887" s="76">
        <v>0.252941176470588</v>
      </c>
      <c r="Q887" s="91">
        <v>0</v>
      </c>
      <c r="R887" s="76">
        <v>0</v>
      </c>
      <c r="S887" s="76">
        <v>0.05</v>
      </c>
      <c r="T887" s="76">
        <f>STOCK[[#This Row],[Costo Unitario (USD)]]+STOCK[[#This Row],[Costo Envío (USD)]]+STOCK[[#This Row],[Comisión 10%]]</f>
        <v>0.422941176470588</v>
      </c>
      <c r="U887" s="76">
        <f>STOCK[[#This Row],[Costo total]]*1.5</f>
        <v>0.634411764705882</v>
      </c>
      <c r="V887" s="76">
        <v>1.2</v>
      </c>
      <c r="W887" s="76">
        <f>STOCK[[#This Row],[Precio Final]]-STOCK[[#This Row],[Costo total]]</f>
        <v>0.777058823529412</v>
      </c>
      <c r="X887" s="76">
        <f>STOCK[[#This Row],[Ganancia Unitaria]]*STOCK[[#This Row],[Salidas]]</f>
        <v>0</v>
      </c>
      <c r="Y887" s="76" t="s">
        <v>1730</v>
      </c>
      <c r="Z887" s="76">
        <f>STOCK[[#This Row],[Costo Envío (USD)]]*STOCK[[#This Row],[Entradas]]</f>
        <v>0.5</v>
      </c>
      <c r="AA887" s="76">
        <f>STOCK[[#This Row],[Costo total]]*STOCK[[#This Row],[Entradas]]</f>
        <v>4.22941176470588</v>
      </c>
      <c r="AB887" s="76">
        <f>STOCK[[#This Row],[Stock Actual]]*STOCK[[#This Row],[Costo total]]</f>
        <v>4.22941176470588</v>
      </c>
    </row>
    <row r="888" s="77" customFormat="1" ht="50" hidden="1" customHeight="1" spans="1:28">
      <c r="A888" s="77" t="s">
        <v>1764</v>
      </c>
      <c r="B888" s="6"/>
      <c r="C888" s="77" t="s">
        <v>30</v>
      </c>
      <c r="D888" s="77" t="s">
        <v>1762</v>
      </c>
      <c r="E888" s="77" t="s">
        <v>1765</v>
      </c>
      <c r="F888" s="77" t="s">
        <v>524</v>
      </c>
      <c r="G888" s="77" t="s">
        <v>1599</v>
      </c>
      <c r="H888" s="77">
        <f>STOCK[[#This Row],[Precio Final]]</f>
        <v>1.2</v>
      </c>
      <c r="I888" s="77">
        <f>STOCK[[#This Row],[Precio Venta Ideal (x1.5)]]</f>
        <v>0.634411764705882</v>
      </c>
      <c r="J888" s="92">
        <v>10</v>
      </c>
      <c r="K888" s="92">
        <f>SUMIFS(VENTAS[Cantidad],VENTAS[Código del producto Vendido],STOCK[[#This Row],[Code]])</f>
        <v>0</v>
      </c>
      <c r="L888" s="92">
        <f>STOCK[[#This Row],[Entradas]]-STOCK[[#This Row],[Salidas]]</f>
        <v>10</v>
      </c>
      <c r="M888" s="77">
        <f>STOCK[[#This Row],[Precio Final]]*10%</f>
        <v>0.12</v>
      </c>
      <c r="N888" s="77">
        <v>4.3</v>
      </c>
      <c r="O888" s="77">
        <v>17</v>
      </c>
      <c r="P888" s="77">
        <v>0.252941176470588</v>
      </c>
      <c r="Q888" s="92">
        <v>0</v>
      </c>
      <c r="R888" s="77">
        <v>0</v>
      </c>
      <c r="S888" s="77">
        <v>0.05</v>
      </c>
      <c r="T888" s="76">
        <f>STOCK[[#This Row],[Costo Unitario (USD)]]+STOCK[[#This Row],[Costo Envío (USD)]]+STOCK[[#This Row],[Comisión 10%]]</f>
        <v>0.422941176470588</v>
      </c>
      <c r="U888" s="77">
        <f>STOCK[[#This Row],[Costo total]]*1.5</f>
        <v>0.634411764705882</v>
      </c>
      <c r="V888" s="77">
        <v>1.2</v>
      </c>
      <c r="W888" s="77">
        <f>STOCK[[#This Row],[Precio Final]]-STOCK[[#This Row],[Costo total]]</f>
        <v>0.777058823529412</v>
      </c>
      <c r="X888" s="77">
        <f>STOCK[[#This Row],[Ganancia Unitaria]]*STOCK[[#This Row],[Salidas]]</f>
        <v>0</v>
      </c>
      <c r="Y888" s="77" t="s">
        <v>1730</v>
      </c>
      <c r="Z888" s="77">
        <f>STOCK[[#This Row],[Costo Envío (USD)]]*STOCK[[#This Row],[Entradas]]</f>
        <v>0.5</v>
      </c>
      <c r="AA888" s="77">
        <f>STOCK[[#This Row],[Costo total]]*STOCK[[#This Row],[Entradas]]</f>
        <v>4.22941176470588</v>
      </c>
      <c r="AB888" s="77">
        <f>STOCK[[#This Row],[Stock Actual]]*STOCK[[#This Row],[Costo total]]</f>
        <v>4.22941176470588</v>
      </c>
    </row>
    <row r="889" s="76" customFormat="1" ht="50" hidden="1" customHeight="1" spans="1:28">
      <c r="A889" s="76" t="s">
        <v>1766</v>
      </c>
      <c r="B889" s="6"/>
      <c r="C889" s="76" t="s">
        <v>30</v>
      </c>
      <c r="D889" s="76" t="s">
        <v>1767</v>
      </c>
      <c r="E889" s="76" t="s">
        <v>1768</v>
      </c>
      <c r="F889" s="76" t="s">
        <v>524</v>
      </c>
      <c r="G889" s="76" t="s">
        <v>1599</v>
      </c>
      <c r="H889" s="76">
        <f>STOCK[[#This Row],[Precio Final]]</f>
        <v>1</v>
      </c>
      <c r="I889" s="76">
        <f>STOCK[[#This Row],[Precio Venta Ideal (x1.5)]]</f>
        <v>0.794117647058823</v>
      </c>
      <c r="J889" s="91">
        <v>20</v>
      </c>
      <c r="K889" s="91">
        <f>SUMIFS(VENTAS[Cantidad],VENTAS[Código del producto Vendido],STOCK[[#This Row],[Code]])</f>
        <v>7</v>
      </c>
      <c r="L889" s="91">
        <f>STOCK[[#This Row],[Entradas]]-STOCK[[#This Row],[Salidas]]</f>
        <v>13</v>
      </c>
      <c r="M889" s="76">
        <f>STOCK[[#This Row],[Precio Final]]*10%</f>
        <v>0.1</v>
      </c>
      <c r="N889" s="76">
        <v>6.45</v>
      </c>
      <c r="O889" s="76">
        <v>17</v>
      </c>
      <c r="P889" s="76">
        <v>0.379411764705882</v>
      </c>
      <c r="Q889" s="91">
        <v>0</v>
      </c>
      <c r="R889" s="76">
        <v>0</v>
      </c>
      <c r="S889" s="76">
        <v>0.05</v>
      </c>
      <c r="T889" s="76">
        <f>STOCK[[#This Row],[Costo Unitario (USD)]]+STOCK[[#This Row],[Costo Envío (USD)]]+STOCK[[#This Row],[Comisión 10%]]</f>
        <v>0.529411764705882</v>
      </c>
      <c r="U889" s="76">
        <f>STOCK[[#This Row],[Costo total]]*1.5</f>
        <v>0.794117647058823</v>
      </c>
      <c r="V889" s="76">
        <v>1</v>
      </c>
      <c r="W889" s="76">
        <f>STOCK[[#This Row],[Precio Final]]-STOCK[[#This Row],[Costo total]]</f>
        <v>0.470588235294118</v>
      </c>
      <c r="X889" s="76">
        <f>STOCK[[#This Row],[Ganancia Unitaria]]*STOCK[[#This Row],[Salidas]]</f>
        <v>3.29411764705883</v>
      </c>
      <c r="Y889" s="76" t="s">
        <v>1730</v>
      </c>
      <c r="Z889" s="76">
        <f>STOCK[[#This Row],[Costo Envío (USD)]]*STOCK[[#This Row],[Entradas]]</f>
        <v>1</v>
      </c>
      <c r="AA889" s="76">
        <f>STOCK[[#This Row],[Costo total]]*STOCK[[#This Row],[Entradas]]</f>
        <v>10.5882352941176</v>
      </c>
      <c r="AB889" s="76">
        <f>STOCK[[#This Row],[Stock Actual]]*STOCK[[#This Row],[Costo total]]</f>
        <v>6.88235294117647</v>
      </c>
    </row>
    <row r="890" s="77" customFormat="1" ht="50" hidden="1" customHeight="1" spans="1:28">
      <c r="A890" s="77" t="s">
        <v>1769</v>
      </c>
      <c r="B890" s="6"/>
      <c r="C890" s="77" t="s">
        <v>30</v>
      </c>
      <c r="D890" s="77" t="s">
        <v>1770</v>
      </c>
      <c r="E890" s="77" t="s">
        <v>1742</v>
      </c>
      <c r="F890" s="77" t="s">
        <v>44</v>
      </c>
      <c r="G890" s="77" t="s">
        <v>1599</v>
      </c>
      <c r="H890" s="77">
        <f>STOCK[[#This Row],[Precio Final]]</f>
        <v>22</v>
      </c>
      <c r="I890" s="77">
        <f>STOCK[[#This Row],[Precio Venta Ideal (x1.5)]]</f>
        <v>23.3294117647059</v>
      </c>
      <c r="J890" s="92">
        <v>3</v>
      </c>
      <c r="K890" s="92">
        <f>SUMIFS(VENTAS[Cantidad],VENTAS[Código del producto Vendido],STOCK[[#This Row],[Code]])</f>
        <v>1</v>
      </c>
      <c r="L890" s="92">
        <f>STOCK[[#This Row],[Entradas]]-STOCK[[#This Row],[Salidas]]</f>
        <v>2</v>
      </c>
      <c r="M890" s="77">
        <f>STOCK[[#This Row],[Precio Final]]*10%</f>
        <v>2.2</v>
      </c>
      <c r="N890" s="77">
        <v>159</v>
      </c>
      <c r="O890" s="77">
        <v>17</v>
      </c>
      <c r="P890" s="77">
        <v>9.35294117647059</v>
      </c>
      <c r="Q890" s="92">
        <v>0</v>
      </c>
      <c r="R890" s="77">
        <v>0</v>
      </c>
      <c r="S890" s="77">
        <v>4</v>
      </c>
      <c r="T890" s="76">
        <f>STOCK[[#This Row],[Costo Unitario (USD)]]+STOCK[[#This Row],[Costo Envío (USD)]]+STOCK[[#This Row],[Comisión 10%]]</f>
        <v>15.5529411764706</v>
      </c>
      <c r="U890" s="77">
        <f>STOCK[[#This Row],[Costo total]]*1.5</f>
        <v>23.3294117647059</v>
      </c>
      <c r="V890" s="77">
        <v>22</v>
      </c>
      <c r="W890" s="77">
        <f>STOCK[[#This Row],[Precio Final]]-STOCK[[#This Row],[Costo total]]</f>
        <v>6.44705882352941</v>
      </c>
      <c r="X890" s="77">
        <f>STOCK[[#This Row],[Ganancia Unitaria]]*STOCK[[#This Row],[Salidas]]</f>
        <v>6.44705882352941</v>
      </c>
      <c r="Y890" s="77" t="s">
        <v>1730</v>
      </c>
      <c r="Z890" s="77">
        <f>STOCK[[#This Row],[Costo Envío (USD)]]*STOCK[[#This Row],[Entradas]]</f>
        <v>12</v>
      </c>
      <c r="AA890" s="77">
        <f>STOCK[[#This Row],[Costo total]]*STOCK[[#This Row],[Entradas]]</f>
        <v>46.6588235294118</v>
      </c>
      <c r="AB890" s="77">
        <f>STOCK[[#This Row],[Stock Actual]]*STOCK[[#This Row],[Costo total]]</f>
        <v>31.1058823529412</v>
      </c>
    </row>
    <row r="891" s="76" customFormat="1" ht="50" hidden="1" customHeight="1" spans="1:28">
      <c r="A891" s="76" t="s">
        <v>1771</v>
      </c>
      <c r="B891" s="6"/>
      <c r="C891" s="76" t="s">
        <v>30</v>
      </c>
      <c r="D891" s="76" t="s">
        <v>36</v>
      </c>
      <c r="E891" s="76" t="s">
        <v>1772</v>
      </c>
      <c r="F891" s="76" t="s">
        <v>38</v>
      </c>
      <c r="G891" s="76" t="s">
        <v>1599</v>
      </c>
      <c r="H891" s="76">
        <f>STOCK[[#This Row],[Precio Final]]</f>
        <v>20</v>
      </c>
      <c r="I891" s="76">
        <f>STOCK[[#This Row],[Precio Venta Ideal (x1.5)]]</f>
        <v>21.5294117647059</v>
      </c>
      <c r="J891" s="91">
        <v>1</v>
      </c>
      <c r="K891" s="91">
        <f>SUMIFS(VENTAS[Cantidad],VENTAS[Código del producto Vendido],STOCK[[#This Row],[Code]])</f>
        <v>0</v>
      </c>
      <c r="L891" s="91">
        <f>STOCK[[#This Row],[Entradas]]-STOCK[[#This Row],[Salidas]]</f>
        <v>1</v>
      </c>
      <c r="M891" s="76">
        <f>STOCK[[#This Row],[Precio Final]]*10%</f>
        <v>2</v>
      </c>
      <c r="N891" s="76">
        <v>142</v>
      </c>
      <c r="O891" s="76">
        <v>17</v>
      </c>
      <c r="P891" s="76">
        <v>8.35294117647059</v>
      </c>
      <c r="Q891" s="91">
        <v>0</v>
      </c>
      <c r="R891" s="76">
        <v>0</v>
      </c>
      <c r="S891" s="76">
        <v>4</v>
      </c>
      <c r="T891" s="76">
        <f>STOCK[[#This Row],[Costo Unitario (USD)]]+STOCK[[#This Row],[Costo Envío (USD)]]+STOCK[[#This Row],[Comisión 10%]]</f>
        <v>14.3529411764706</v>
      </c>
      <c r="U891" s="76">
        <f>STOCK[[#This Row],[Costo total]]*1.5</f>
        <v>21.5294117647059</v>
      </c>
      <c r="V891" s="76">
        <v>20</v>
      </c>
      <c r="W891" s="76">
        <f>STOCK[[#This Row],[Precio Final]]-STOCK[[#This Row],[Costo total]]</f>
        <v>5.64705882352941</v>
      </c>
      <c r="X891" s="76">
        <f>STOCK[[#This Row],[Ganancia Unitaria]]*STOCK[[#This Row],[Salidas]]</f>
        <v>0</v>
      </c>
      <c r="Y891" s="76" t="s">
        <v>1730</v>
      </c>
      <c r="Z891" s="76">
        <f>STOCK[[#This Row],[Costo Envío (USD)]]*STOCK[[#This Row],[Entradas]]</f>
        <v>4</v>
      </c>
      <c r="AA891" s="76">
        <f>STOCK[[#This Row],[Costo total]]*STOCK[[#This Row],[Entradas]]</f>
        <v>14.3529411764706</v>
      </c>
      <c r="AB891" s="76">
        <f>STOCK[[#This Row],[Stock Actual]]*STOCK[[#This Row],[Costo total]]</f>
        <v>14.3529411764706</v>
      </c>
    </row>
    <row r="892" s="77" customFormat="1" ht="50" hidden="1" customHeight="1" spans="1:28">
      <c r="A892" s="77" t="s">
        <v>1773</v>
      </c>
      <c r="B892" s="6"/>
      <c r="C892" s="77" t="s">
        <v>30</v>
      </c>
      <c r="D892" s="76" t="s">
        <v>36</v>
      </c>
      <c r="E892" s="76" t="s">
        <v>1772</v>
      </c>
      <c r="F892" s="77" t="s">
        <v>60</v>
      </c>
      <c r="G892" s="77" t="s">
        <v>1599</v>
      </c>
      <c r="H892" s="77">
        <f>STOCK[[#This Row],[Precio Final]]</f>
        <v>20</v>
      </c>
      <c r="I892" s="77">
        <f>STOCK[[#This Row],[Precio Venta Ideal (x1.5)]]</f>
        <v>21.5294117647059</v>
      </c>
      <c r="J892" s="92">
        <v>1</v>
      </c>
      <c r="K892" s="92">
        <f>SUMIFS(VENTAS[Cantidad],VENTAS[Código del producto Vendido],STOCK[[#This Row],[Code]])</f>
        <v>0</v>
      </c>
      <c r="L892" s="92">
        <f>STOCK[[#This Row],[Entradas]]-STOCK[[#This Row],[Salidas]]</f>
        <v>1</v>
      </c>
      <c r="M892" s="77">
        <f>STOCK[[#This Row],[Precio Final]]*10%</f>
        <v>2</v>
      </c>
      <c r="N892" s="77">
        <v>142</v>
      </c>
      <c r="O892" s="77">
        <v>17</v>
      </c>
      <c r="P892" s="77">
        <v>8.35294117647059</v>
      </c>
      <c r="Q892" s="92">
        <v>0</v>
      </c>
      <c r="R892" s="77">
        <v>0</v>
      </c>
      <c r="S892" s="77">
        <v>4</v>
      </c>
      <c r="T892" s="76">
        <f>STOCK[[#This Row],[Costo Unitario (USD)]]+STOCK[[#This Row],[Costo Envío (USD)]]+STOCK[[#This Row],[Comisión 10%]]</f>
        <v>14.3529411764706</v>
      </c>
      <c r="U892" s="77">
        <f>STOCK[[#This Row],[Costo total]]*1.5</f>
        <v>21.5294117647059</v>
      </c>
      <c r="V892" s="77">
        <v>20</v>
      </c>
      <c r="W892" s="77">
        <f>STOCK[[#This Row],[Precio Final]]-STOCK[[#This Row],[Costo total]]</f>
        <v>5.64705882352941</v>
      </c>
      <c r="X892" s="77">
        <f>STOCK[[#This Row],[Ganancia Unitaria]]*STOCK[[#This Row],[Salidas]]</f>
        <v>0</v>
      </c>
      <c r="Y892" s="77" t="s">
        <v>1730</v>
      </c>
      <c r="Z892" s="77">
        <f>STOCK[[#This Row],[Costo Envío (USD)]]*STOCK[[#This Row],[Entradas]]</f>
        <v>4</v>
      </c>
      <c r="AA892" s="77">
        <f>STOCK[[#This Row],[Costo total]]*STOCK[[#This Row],[Entradas]]</f>
        <v>14.3529411764706</v>
      </c>
      <c r="AB892" s="77">
        <f>STOCK[[#This Row],[Stock Actual]]*STOCK[[#This Row],[Costo total]]</f>
        <v>14.3529411764706</v>
      </c>
    </row>
    <row r="893" s="76" customFormat="1" ht="50" hidden="1" customHeight="1" spans="1:28">
      <c r="A893" s="76" t="s">
        <v>1774</v>
      </c>
      <c r="B893" s="6"/>
      <c r="C893" s="76" t="s">
        <v>30</v>
      </c>
      <c r="D893" s="76" t="s">
        <v>974</v>
      </c>
      <c r="E893" s="76" t="s">
        <v>1772</v>
      </c>
      <c r="F893" s="76" t="s">
        <v>47</v>
      </c>
      <c r="G893" s="76" t="s">
        <v>1599</v>
      </c>
      <c r="H893" s="76">
        <f>STOCK[[#This Row],[Precio Final]]</f>
        <v>20</v>
      </c>
      <c r="I893" s="76">
        <f>STOCK[[#This Row],[Precio Venta Ideal (x1.5)]]</f>
        <v>21.5294117647059</v>
      </c>
      <c r="J893" s="91">
        <v>1</v>
      </c>
      <c r="K893" s="91">
        <f>SUMIFS(VENTAS[Cantidad],VENTAS[Código del producto Vendido],STOCK[[#This Row],[Code]])</f>
        <v>0</v>
      </c>
      <c r="L893" s="91">
        <f>STOCK[[#This Row],[Entradas]]-STOCK[[#This Row],[Salidas]]</f>
        <v>1</v>
      </c>
      <c r="M893" s="76">
        <f>STOCK[[#This Row],[Precio Final]]*10%</f>
        <v>2</v>
      </c>
      <c r="N893" s="76">
        <v>142</v>
      </c>
      <c r="O893" s="76">
        <v>17</v>
      </c>
      <c r="P893" s="76">
        <v>8.35294117647059</v>
      </c>
      <c r="Q893" s="91">
        <v>0</v>
      </c>
      <c r="R893" s="76">
        <v>0</v>
      </c>
      <c r="S893" s="76">
        <v>4</v>
      </c>
      <c r="T893" s="76">
        <f>STOCK[[#This Row],[Costo Unitario (USD)]]+STOCK[[#This Row],[Costo Envío (USD)]]+STOCK[[#This Row],[Comisión 10%]]</f>
        <v>14.3529411764706</v>
      </c>
      <c r="U893" s="76">
        <f>STOCK[[#This Row],[Costo total]]*1.5</f>
        <v>21.5294117647059</v>
      </c>
      <c r="V893" s="76">
        <v>20</v>
      </c>
      <c r="W893" s="76">
        <f>STOCK[[#This Row],[Precio Final]]-STOCK[[#This Row],[Costo total]]</f>
        <v>5.64705882352941</v>
      </c>
      <c r="X893" s="76">
        <f>STOCK[[#This Row],[Ganancia Unitaria]]*STOCK[[#This Row],[Salidas]]</f>
        <v>0</v>
      </c>
      <c r="Y893" s="76" t="s">
        <v>1730</v>
      </c>
      <c r="Z893" s="76">
        <f>STOCK[[#This Row],[Costo Envío (USD)]]*STOCK[[#This Row],[Entradas]]</f>
        <v>4</v>
      </c>
      <c r="AA893" s="76">
        <f>STOCK[[#This Row],[Costo total]]*STOCK[[#This Row],[Entradas]]</f>
        <v>14.3529411764706</v>
      </c>
      <c r="AB893" s="76">
        <f>STOCK[[#This Row],[Stock Actual]]*STOCK[[#This Row],[Costo total]]</f>
        <v>14.3529411764706</v>
      </c>
    </row>
    <row r="894" s="77" customFormat="1" ht="50" hidden="1" customHeight="1" spans="1:28">
      <c r="A894" s="77" t="s">
        <v>1775</v>
      </c>
      <c r="B894" s="6"/>
      <c r="C894" s="77" t="s">
        <v>30</v>
      </c>
      <c r="D894" s="77" t="s">
        <v>974</v>
      </c>
      <c r="E894" s="77" t="s">
        <v>1776</v>
      </c>
      <c r="F894" s="77" t="s">
        <v>204</v>
      </c>
      <c r="G894" s="77" t="s">
        <v>1599</v>
      </c>
      <c r="H894" s="77">
        <f>STOCK[[#This Row],[Precio Final]]</f>
        <v>20</v>
      </c>
      <c r="I894" s="77">
        <f>STOCK[[#This Row],[Precio Venta Ideal (x1.5)]]</f>
        <v>21.5294117647059</v>
      </c>
      <c r="J894" s="92">
        <v>1</v>
      </c>
      <c r="K894" s="92">
        <f>SUMIFS(VENTAS[Cantidad],VENTAS[Código del producto Vendido],STOCK[[#This Row],[Code]])</f>
        <v>1</v>
      </c>
      <c r="L894" s="92">
        <f>STOCK[[#This Row],[Entradas]]-STOCK[[#This Row],[Salidas]]</f>
        <v>0</v>
      </c>
      <c r="M894" s="77">
        <f>STOCK[[#This Row],[Precio Final]]*10%</f>
        <v>2</v>
      </c>
      <c r="N894" s="77">
        <v>142</v>
      </c>
      <c r="O894" s="77">
        <v>17</v>
      </c>
      <c r="P894" s="77">
        <v>8.35294117647059</v>
      </c>
      <c r="Q894" s="92">
        <v>0</v>
      </c>
      <c r="R894" s="77">
        <v>0</v>
      </c>
      <c r="S894" s="77">
        <v>4</v>
      </c>
      <c r="T894" s="76">
        <f>STOCK[[#This Row],[Costo Unitario (USD)]]+STOCK[[#This Row],[Costo Envío (USD)]]+STOCK[[#This Row],[Comisión 10%]]</f>
        <v>14.3529411764706</v>
      </c>
      <c r="U894" s="77">
        <f>STOCK[[#This Row],[Costo total]]*1.5</f>
        <v>21.5294117647059</v>
      </c>
      <c r="V894" s="77">
        <v>20</v>
      </c>
      <c r="W894" s="77">
        <f>STOCK[[#This Row],[Precio Final]]-STOCK[[#This Row],[Costo total]]</f>
        <v>5.64705882352941</v>
      </c>
      <c r="X894" s="77">
        <f>STOCK[[#This Row],[Ganancia Unitaria]]*STOCK[[#This Row],[Salidas]]</f>
        <v>5.64705882352941</v>
      </c>
      <c r="Y894" s="77" t="s">
        <v>1730</v>
      </c>
      <c r="Z894" s="77">
        <f>STOCK[[#This Row],[Costo Envío (USD)]]*STOCK[[#This Row],[Entradas]]</f>
        <v>4</v>
      </c>
      <c r="AA894" s="77">
        <f>STOCK[[#This Row],[Costo total]]*STOCK[[#This Row],[Entradas]]</f>
        <v>14.3529411764706</v>
      </c>
      <c r="AB894" s="77">
        <f>STOCK[[#This Row],[Stock Actual]]*STOCK[[#This Row],[Costo total]]</f>
        <v>0</v>
      </c>
    </row>
    <row r="895" s="76" customFormat="1" ht="50" hidden="1" customHeight="1" spans="1:28">
      <c r="A895" s="76" t="s">
        <v>1777</v>
      </c>
      <c r="B895" s="6"/>
      <c r="C895" s="76" t="s">
        <v>30</v>
      </c>
      <c r="D895" s="77" t="s">
        <v>36</v>
      </c>
      <c r="E895" s="76" t="s">
        <v>1778</v>
      </c>
      <c r="F895" s="76" t="s">
        <v>210</v>
      </c>
      <c r="G895" s="76" t="s">
        <v>1599</v>
      </c>
      <c r="H895" s="76">
        <f>STOCK[[#This Row],[Precio Final]]</f>
        <v>20</v>
      </c>
      <c r="I895" s="76">
        <f>STOCK[[#This Row],[Precio Venta Ideal (x1.5)]]</f>
        <v>21.5294117647059</v>
      </c>
      <c r="J895" s="91">
        <v>2</v>
      </c>
      <c r="K895" s="91">
        <f>SUMIFS(VENTAS[Cantidad],VENTAS[Código del producto Vendido],STOCK[[#This Row],[Code]])</f>
        <v>2</v>
      </c>
      <c r="L895" s="91">
        <f>STOCK[[#This Row],[Entradas]]-STOCK[[#This Row],[Salidas]]</f>
        <v>0</v>
      </c>
      <c r="M895" s="76">
        <f>STOCK[[#This Row],[Precio Final]]*10%</f>
        <v>2</v>
      </c>
      <c r="N895" s="76">
        <v>142</v>
      </c>
      <c r="O895" s="76">
        <v>17</v>
      </c>
      <c r="P895" s="76">
        <v>8.35294117647059</v>
      </c>
      <c r="Q895" s="91">
        <v>0</v>
      </c>
      <c r="R895" s="76">
        <v>0</v>
      </c>
      <c r="S895" s="76">
        <v>4</v>
      </c>
      <c r="T895" s="76">
        <f>STOCK[[#This Row],[Costo Unitario (USD)]]+STOCK[[#This Row],[Costo Envío (USD)]]+STOCK[[#This Row],[Comisión 10%]]</f>
        <v>14.3529411764706</v>
      </c>
      <c r="U895" s="76">
        <f>STOCK[[#This Row],[Costo total]]*1.5</f>
        <v>21.5294117647059</v>
      </c>
      <c r="V895" s="76">
        <v>20</v>
      </c>
      <c r="W895" s="76">
        <f>STOCK[[#This Row],[Precio Final]]-STOCK[[#This Row],[Costo total]]</f>
        <v>5.64705882352941</v>
      </c>
      <c r="X895" s="76">
        <f>STOCK[[#This Row],[Ganancia Unitaria]]*STOCK[[#This Row],[Salidas]]</f>
        <v>11.2941176470588</v>
      </c>
      <c r="Y895" s="76" t="s">
        <v>1730</v>
      </c>
      <c r="Z895" s="76">
        <f>STOCK[[#This Row],[Costo Envío (USD)]]*STOCK[[#This Row],[Entradas]]</f>
        <v>8</v>
      </c>
      <c r="AA895" s="76">
        <f>STOCK[[#This Row],[Costo total]]*STOCK[[#This Row],[Entradas]]</f>
        <v>28.7058823529412</v>
      </c>
      <c r="AB895" s="76">
        <f>STOCK[[#This Row],[Stock Actual]]*STOCK[[#This Row],[Costo total]]</f>
        <v>0</v>
      </c>
    </row>
    <row r="896" s="77" customFormat="1" ht="50" hidden="1" customHeight="1" spans="1:28">
      <c r="A896" s="77" t="s">
        <v>1779</v>
      </c>
      <c r="B896" s="6"/>
      <c r="C896" s="77" t="s">
        <v>30</v>
      </c>
      <c r="D896" s="77" t="s">
        <v>974</v>
      </c>
      <c r="E896" s="77" t="s">
        <v>1778</v>
      </c>
      <c r="F896" s="77" t="s">
        <v>47</v>
      </c>
      <c r="G896" s="77" t="s">
        <v>1599</v>
      </c>
      <c r="H896" s="77">
        <f>STOCK[[#This Row],[Precio Final]]</f>
        <v>20</v>
      </c>
      <c r="I896" s="77">
        <f>STOCK[[#This Row],[Precio Venta Ideal (x1.5)]]</f>
        <v>21.5294117647059</v>
      </c>
      <c r="J896" s="92">
        <v>2</v>
      </c>
      <c r="K896" s="92">
        <f>SUMIFS(VENTAS[Cantidad],VENTAS[Código del producto Vendido],STOCK[[#This Row],[Code]])</f>
        <v>1</v>
      </c>
      <c r="L896" s="92">
        <f>STOCK[[#This Row],[Entradas]]-STOCK[[#This Row],[Salidas]]</f>
        <v>1</v>
      </c>
      <c r="M896" s="77">
        <f>STOCK[[#This Row],[Precio Final]]*10%</f>
        <v>2</v>
      </c>
      <c r="N896" s="77">
        <v>142</v>
      </c>
      <c r="O896" s="77">
        <v>17</v>
      </c>
      <c r="P896" s="77">
        <v>8.35294117647059</v>
      </c>
      <c r="Q896" s="92">
        <v>0</v>
      </c>
      <c r="R896" s="77">
        <v>0</v>
      </c>
      <c r="S896" s="77">
        <v>4</v>
      </c>
      <c r="T896" s="76">
        <f>STOCK[[#This Row],[Costo Unitario (USD)]]+STOCK[[#This Row],[Costo Envío (USD)]]+STOCK[[#This Row],[Comisión 10%]]</f>
        <v>14.3529411764706</v>
      </c>
      <c r="U896" s="77">
        <f>STOCK[[#This Row],[Costo total]]*1.5</f>
        <v>21.5294117647059</v>
      </c>
      <c r="V896" s="77">
        <v>20</v>
      </c>
      <c r="W896" s="77">
        <f>STOCK[[#This Row],[Precio Final]]-STOCK[[#This Row],[Costo total]]</f>
        <v>5.64705882352941</v>
      </c>
      <c r="X896" s="77">
        <f>STOCK[[#This Row],[Ganancia Unitaria]]*STOCK[[#This Row],[Salidas]]</f>
        <v>5.64705882352941</v>
      </c>
      <c r="Y896" s="77" t="s">
        <v>1730</v>
      </c>
      <c r="Z896" s="77">
        <f>STOCK[[#This Row],[Costo Envío (USD)]]*STOCK[[#This Row],[Entradas]]</f>
        <v>8</v>
      </c>
      <c r="AA896" s="77">
        <f>STOCK[[#This Row],[Costo total]]*STOCK[[#This Row],[Entradas]]</f>
        <v>28.7058823529412</v>
      </c>
      <c r="AB896" s="77">
        <f>STOCK[[#This Row],[Stock Actual]]*STOCK[[#This Row],[Costo total]]</f>
        <v>14.3529411764706</v>
      </c>
    </row>
    <row r="897" s="76" customFormat="1" ht="50" hidden="1" customHeight="1" spans="1:28">
      <c r="A897" s="76" t="s">
        <v>1780</v>
      </c>
      <c r="B897" s="6"/>
      <c r="C897" s="76" t="s">
        <v>30</v>
      </c>
      <c r="D897" s="76" t="s">
        <v>1781</v>
      </c>
      <c r="E897" s="76" t="s">
        <v>1782</v>
      </c>
      <c r="F897" s="76" t="s">
        <v>524</v>
      </c>
      <c r="G897" s="76" t="s">
        <v>34</v>
      </c>
      <c r="H897" s="76">
        <f>STOCK[[#This Row],[Precio Final]]</f>
        <v>10</v>
      </c>
      <c r="I897" s="76">
        <f>STOCK[[#This Row],[Precio Venta Ideal (x1.5)]]</f>
        <v>7.23529411764707</v>
      </c>
      <c r="J897" s="91">
        <v>2</v>
      </c>
      <c r="K897" s="91">
        <f>SUMIFS(VENTAS[Cantidad],VENTAS[Código del producto Vendido],STOCK[[#This Row],[Code]])</f>
        <v>2</v>
      </c>
      <c r="L897" s="91">
        <f>STOCK[[#This Row],[Entradas]]-STOCK[[#This Row],[Salidas]]</f>
        <v>0</v>
      </c>
      <c r="M897" s="76">
        <f>STOCK[[#This Row],[Precio Final]]*10%</f>
        <v>1</v>
      </c>
      <c r="N897" s="76">
        <v>48</v>
      </c>
      <c r="O897" s="76">
        <v>17</v>
      </c>
      <c r="P897" s="76">
        <v>2.82352941176471</v>
      </c>
      <c r="Q897" s="91">
        <v>0</v>
      </c>
      <c r="R897" s="76">
        <v>0</v>
      </c>
      <c r="S897" s="76">
        <v>1</v>
      </c>
      <c r="T897" s="76">
        <f>STOCK[[#This Row],[Costo Unitario (USD)]]+STOCK[[#This Row],[Costo Envío (USD)]]+STOCK[[#This Row],[Comisión 10%]]</f>
        <v>4.82352941176471</v>
      </c>
      <c r="U897" s="76">
        <f>STOCK[[#This Row],[Costo total]]*1.5</f>
        <v>7.23529411764707</v>
      </c>
      <c r="V897" s="76">
        <v>10</v>
      </c>
      <c r="W897" s="76">
        <f>STOCK[[#This Row],[Precio Final]]-STOCK[[#This Row],[Costo total]]</f>
        <v>5.17647058823529</v>
      </c>
      <c r="X897" s="76">
        <f>STOCK[[#This Row],[Ganancia Unitaria]]*STOCK[[#This Row],[Salidas]]</f>
        <v>10.3529411764706</v>
      </c>
      <c r="Y897" s="76" t="s">
        <v>1730</v>
      </c>
      <c r="Z897" s="76">
        <f>STOCK[[#This Row],[Costo Envío (USD)]]*STOCK[[#This Row],[Entradas]]</f>
        <v>2</v>
      </c>
      <c r="AA897" s="76">
        <f>STOCK[[#This Row],[Costo total]]*STOCK[[#This Row],[Entradas]]</f>
        <v>9.64705882352942</v>
      </c>
      <c r="AB897" s="76">
        <f>STOCK[[#This Row],[Stock Actual]]*STOCK[[#This Row],[Costo total]]</f>
        <v>0</v>
      </c>
    </row>
    <row r="898" s="77" customFormat="1" ht="50" hidden="1" customHeight="1" spans="1:28">
      <c r="A898" s="77" t="s">
        <v>1783</v>
      </c>
      <c r="B898" s="6"/>
      <c r="C898" s="77" t="s">
        <v>30</v>
      </c>
      <c r="D898" s="77" t="s">
        <v>36</v>
      </c>
      <c r="E898" s="77" t="s">
        <v>1745</v>
      </c>
      <c r="F898" s="77" t="s">
        <v>47</v>
      </c>
      <c r="G898" s="77" t="s">
        <v>34</v>
      </c>
      <c r="H898" s="77">
        <f>STOCK[[#This Row],[Precio Final]]</f>
        <v>20</v>
      </c>
      <c r="I898" s="77">
        <f>STOCK[[#This Row],[Precio Venta Ideal (x1.5)]]</f>
        <v>17.3823529411765</v>
      </c>
      <c r="J898" s="92">
        <v>1</v>
      </c>
      <c r="K898" s="92">
        <f>SUMIFS(VENTAS[Cantidad],VENTAS[Código del producto Vendido],STOCK[[#This Row],[Code]])</f>
        <v>1</v>
      </c>
      <c r="L898" s="92">
        <f>STOCK[[#This Row],[Entradas]]-STOCK[[#This Row],[Salidas]]</f>
        <v>0</v>
      </c>
      <c r="M898" s="77">
        <f>STOCK[[#This Row],[Precio Final]]*10%</f>
        <v>2</v>
      </c>
      <c r="N898" s="77">
        <v>112</v>
      </c>
      <c r="O898" s="77">
        <v>17</v>
      </c>
      <c r="P898" s="77">
        <v>6.58823529411765</v>
      </c>
      <c r="Q898" s="92">
        <v>0</v>
      </c>
      <c r="R898" s="77">
        <v>0</v>
      </c>
      <c r="S898" s="77">
        <v>3</v>
      </c>
      <c r="T898" s="76">
        <f>STOCK[[#This Row],[Costo Unitario (USD)]]+STOCK[[#This Row],[Costo Envío (USD)]]+STOCK[[#This Row],[Comisión 10%]]</f>
        <v>11.5882352941177</v>
      </c>
      <c r="U898" s="77">
        <f>STOCK[[#This Row],[Costo total]]*1.5</f>
        <v>17.3823529411765</v>
      </c>
      <c r="V898" s="77">
        <v>20</v>
      </c>
      <c r="W898" s="77">
        <f>STOCK[[#This Row],[Precio Final]]-STOCK[[#This Row],[Costo total]]</f>
        <v>8.41176470588235</v>
      </c>
      <c r="X898" s="77">
        <f>STOCK[[#This Row],[Ganancia Unitaria]]*STOCK[[#This Row],[Salidas]]</f>
        <v>8.41176470588235</v>
      </c>
      <c r="Y898" s="77" t="s">
        <v>1730</v>
      </c>
      <c r="Z898" s="77">
        <f>STOCK[[#This Row],[Costo Envío (USD)]]*STOCK[[#This Row],[Entradas]]</f>
        <v>3</v>
      </c>
      <c r="AA898" s="77">
        <f>STOCK[[#This Row],[Costo total]]*STOCK[[#This Row],[Entradas]]</f>
        <v>11.5882352941177</v>
      </c>
      <c r="AB898" s="77">
        <f>STOCK[[#This Row],[Stock Actual]]*STOCK[[#This Row],[Costo total]]</f>
        <v>0</v>
      </c>
    </row>
    <row r="899" s="76" customFormat="1" ht="50" hidden="1" customHeight="1" spans="1:28">
      <c r="A899" s="76" t="s">
        <v>1784</v>
      </c>
      <c r="B899" s="6"/>
      <c r="C899" s="76" t="s">
        <v>30</v>
      </c>
      <c r="D899" s="76" t="s">
        <v>974</v>
      </c>
      <c r="E899" s="76" t="s">
        <v>1785</v>
      </c>
      <c r="F899" s="76" t="s">
        <v>44</v>
      </c>
      <c r="G899" s="76" t="s">
        <v>34</v>
      </c>
      <c r="H899" s="76">
        <f>STOCK[[#This Row],[Precio Final]]</f>
        <v>20</v>
      </c>
      <c r="I899" s="76">
        <f>STOCK[[#This Row],[Precio Venta Ideal (x1.5)]]</f>
        <v>17.3823529411765</v>
      </c>
      <c r="J899" s="91">
        <v>1</v>
      </c>
      <c r="K899" s="91">
        <f>SUMIFS(VENTAS[Cantidad],VENTAS[Código del producto Vendido],STOCK[[#This Row],[Code]])</f>
        <v>1</v>
      </c>
      <c r="L899" s="91">
        <f>STOCK[[#This Row],[Entradas]]-STOCK[[#This Row],[Salidas]]</f>
        <v>0</v>
      </c>
      <c r="M899" s="76">
        <f>STOCK[[#This Row],[Precio Final]]*10%</f>
        <v>2</v>
      </c>
      <c r="N899" s="76">
        <v>112</v>
      </c>
      <c r="O899" s="76">
        <v>17</v>
      </c>
      <c r="P899" s="76">
        <v>6.58823529411765</v>
      </c>
      <c r="Q899" s="91">
        <v>0</v>
      </c>
      <c r="R899" s="76">
        <v>0</v>
      </c>
      <c r="S899" s="76">
        <v>3</v>
      </c>
      <c r="T899" s="76">
        <f>STOCK[[#This Row],[Costo Unitario (USD)]]+STOCK[[#This Row],[Costo Envío (USD)]]+STOCK[[#This Row],[Comisión 10%]]</f>
        <v>11.5882352941177</v>
      </c>
      <c r="U899" s="76">
        <f>STOCK[[#This Row],[Costo total]]*1.5</f>
        <v>17.3823529411765</v>
      </c>
      <c r="V899" s="76">
        <v>20</v>
      </c>
      <c r="W899" s="76">
        <f>STOCK[[#This Row],[Precio Final]]-STOCK[[#This Row],[Costo total]]</f>
        <v>8.41176470588235</v>
      </c>
      <c r="X899" s="76">
        <f>STOCK[[#This Row],[Ganancia Unitaria]]*STOCK[[#This Row],[Salidas]]</f>
        <v>8.41176470588235</v>
      </c>
      <c r="Y899" s="76" t="s">
        <v>1730</v>
      </c>
      <c r="Z899" s="76">
        <f>STOCK[[#This Row],[Costo Envío (USD)]]*STOCK[[#This Row],[Entradas]]</f>
        <v>3</v>
      </c>
      <c r="AA899" s="76">
        <f>STOCK[[#This Row],[Costo total]]*STOCK[[#This Row],[Entradas]]</f>
        <v>11.5882352941177</v>
      </c>
      <c r="AB899" s="76">
        <f>STOCK[[#This Row],[Stock Actual]]*STOCK[[#This Row],[Costo total]]</f>
        <v>0</v>
      </c>
    </row>
    <row r="900" s="77" customFormat="1" ht="50" hidden="1" customHeight="1" spans="1:28">
      <c r="A900" s="77" t="s">
        <v>1786</v>
      </c>
      <c r="B900" s="6"/>
      <c r="C900" s="77" t="s">
        <v>30</v>
      </c>
      <c r="D900" s="77" t="s">
        <v>1787</v>
      </c>
      <c r="E900" s="77" t="s">
        <v>1788</v>
      </c>
      <c r="F900" s="77" t="s">
        <v>1789</v>
      </c>
      <c r="G900" s="77" t="s">
        <v>34</v>
      </c>
      <c r="H900" s="77">
        <f>STOCK[[#This Row],[Precio Final]]</f>
        <v>8</v>
      </c>
      <c r="I900" s="77">
        <f>STOCK[[#This Row],[Precio Venta Ideal (x1.5)]]</f>
        <v>7.55294117647059</v>
      </c>
      <c r="J900" s="92">
        <v>2</v>
      </c>
      <c r="K900" s="92">
        <f>SUMIFS(VENTAS[Cantidad],VENTAS[Código del producto Vendido],STOCK[[#This Row],[Code]])</f>
        <v>2</v>
      </c>
      <c r="L900" s="92">
        <f>STOCK[[#This Row],[Entradas]]-STOCK[[#This Row],[Salidas]]</f>
        <v>0</v>
      </c>
      <c r="M900" s="77">
        <f>STOCK[[#This Row],[Precio Final]]*10%</f>
        <v>0.8</v>
      </c>
      <c r="N900" s="77">
        <v>55</v>
      </c>
      <c r="O900" s="77">
        <v>17</v>
      </c>
      <c r="P900" s="77">
        <v>3.23529411764706</v>
      </c>
      <c r="Q900" s="92">
        <v>0</v>
      </c>
      <c r="R900" s="77">
        <v>0</v>
      </c>
      <c r="S900" s="77">
        <v>1</v>
      </c>
      <c r="T900" s="76">
        <f>STOCK[[#This Row],[Costo Unitario (USD)]]+STOCK[[#This Row],[Costo Envío (USD)]]+STOCK[[#This Row],[Comisión 10%]]</f>
        <v>5.03529411764706</v>
      </c>
      <c r="U900" s="77">
        <f>STOCK[[#This Row],[Costo total]]*1.5</f>
        <v>7.55294117647059</v>
      </c>
      <c r="V900" s="77">
        <v>8</v>
      </c>
      <c r="W900" s="77">
        <f>STOCK[[#This Row],[Precio Final]]-STOCK[[#This Row],[Costo total]]</f>
        <v>2.96470588235294</v>
      </c>
      <c r="X900" s="77">
        <f>STOCK[[#This Row],[Ganancia Unitaria]]*STOCK[[#This Row],[Salidas]]</f>
        <v>5.92941176470588</v>
      </c>
      <c r="Y900" s="77" t="s">
        <v>1730</v>
      </c>
      <c r="Z900" s="77">
        <f>STOCK[[#This Row],[Costo Envío (USD)]]*STOCK[[#This Row],[Entradas]]</f>
        <v>2</v>
      </c>
      <c r="AA900" s="77">
        <f>STOCK[[#This Row],[Costo total]]*STOCK[[#This Row],[Entradas]]</f>
        <v>10.0705882352941</v>
      </c>
      <c r="AB900" s="77">
        <f>STOCK[[#This Row],[Stock Actual]]*STOCK[[#This Row],[Costo total]]</f>
        <v>0</v>
      </c>
    </row>
    <row r="901" s="76" customFormat="1" ht="50" hidden="1" customHeight="1" spans="1:28">
      <c r="A901" s="76" t="s">
        <v>1790</v>
      </c>
      <c r="B901" s="6"/>
      <c r="C901" s="76" t="s">
        <v>30</v>
      </c>
      <c r="D901" s="76" t="s">
        <v>1781</v>
      </c>
      <c r="E901" s="76" t="s">
        <v>1791</v>
      </c>
      <c r="F901" s="76" t="s">
        <v>524</v>
      </c>
      <c r="G901" s="76" t="s">
        <v>34</v>
      </c>
      <c r="H901" s="76">
        <f>STOCK[[#This Row],[Precio Final]]</f>
        <v>8</v>
      </c>
      <c r="I901" s="76">
        <f>STOCK[[#This Row],[Precio Venta Ideal (x1.5)]]</f>
        <v>6.84705882352941</v>
      </c>
      <c r="J901" s="91">
        <v>1</v>
      </c>
      <c r="K901" s="91">
        <f>SUMIFS(VENTAS[Cantidad],VENTAS[Código del producto Vendido],STOCK[[#This Row],[Code]])</f>
        <v>1</v>
      </c>
      <c r="L901" s="91">
        <f>STOCK[[#This Row],[Entradas]]-STOCK[[#This Row],[Salidas]]</f>
        <v>0</v>
      </c>
      <c r="M901" s="76">
        <f>STOCK[[#This Row],[Precio Final]]*10%</f>
        <v>0.8</v>
      </c>
      <c r="N901" s="76">
        <v>47</v>
      </c>
      <c r="O901" s="76">
        <v>17</v>
      </c>
      <c r="P901" s="76">
        <v>2.76470588235294</v>
      </c>
      <c r="Q901" s="91">
        <v>0</v>
      </c>
      <c r="R901" s="76">
        <v>0</v>
      </c>
      <c r="S901" s="76">
        <v>1</v>
      </c>
      <c r="T901" s="76">
        <f>STOCK[[#This Row],[Costo Unitario (USD)]]+STOCK[[#This Row],[Costo Envío (USD)]]+STOCK[[#This Row],[Comisión 10%]]</f>
        <v>4.56470588235294</v>
      </c>
      <c r="U901" s="76">
        <f>STOCK[[#This Row],[Costo total]]*1.5</f>
        <v>6.84705882352941</v>
      </c>
      <c r="V901" s="76">
        <v>8</v>
      </c>
      <c r="W901" s="76">
        <f>STOCK[[#This Row],[Precio Final]]-STOCK[[#This Row],[Costo total]]</f>
        <v>3.43529411764706</v>
      </c>
      <c r="X901" s="76">
        <f>STOCK[[#This Row],[Ganancia Unitaria]]*STOCK[[#This Row],[Salidas]]</f>
        <v>3.43529411764706</v>
      </c>
      <c r="Y901" s="76" t="s">
        <v>1730</v>
      </c>
      <c r="Z901" s="76">
        <f>STOCK[[#This Row],[Costo Envío (USD)]]*STOCK[[#This Row],[Entradas]]</f>
        <v>1</v>
      </c>
      <c r="AA901" s="76">
        <f>STOCK[[#This Row],[Costo total]]*STOCK[[#This Row],[Entradas]]</f>
        <v>4.56470588235294</v>
      </c>
      <c r="AB901" s="76">
        <f>STOCK[[#This Row],[Stock Actual]]*STOCK[[#This Row],[Costo total]]</f>
        <v>0</v>
      </c>
    </row>
    <row r="902" s="77" customFormat="1" ht="50" hidden="1" customHeight="1" spans="1:28">
      <c r="A902" s="77" t="s">
        <v>1792</v>
      </c>
      <c r="B902" s="12"/>
      <c r="C902" s="77" t="s">
        <v>30</v>
      </c>
      <c r="D902" s="77" t="s">
        <v>1793</v>
      </c>
      <c r="E902" s="77" t="s">
        <v>1794</v>
      </c>
      <c r="F902" s="77" t="s">
        <v>1795</v>
      </c>
      <c r="G902" s="77" t="s">
        <v>34</v>
      </c>
      <c r="H902" s="77">
        <f>STOCK[[#This Row],[Precio Final]]</f>
        <v>2</v>
      </c>
      <c r="I902" s="77">
        <f>STOCK[[#This Row],[Precio Venta Ideal (x1.5)]]</f>
        <v>2.38676470588235</v>
      </c>
      <c r="J902" s="92">
        <v>3</v>
      </c>
      <c r="K902" s="92">
        <f>SUMIFS(VENTAS[Cantidad],VENTAS[Código del producto Vendido],STOCK[[#This Row],[Code]])</f>
        <v>3</v>
      </c>
      <c r="L902" s="92">
        <f>STOCK[[#This Row],[Entradas]]-STOCK[[#This Row],[Salidas]]</f>
        <v>0</v>
      </c>
      <c r="M902" s="77">
        <f>STOCK[[#This Row],[Precio Final]]*10%</f>
        <v>0.2</v>
      </c>
      <c r="N902" s="77">
        <v>16</v>
      </c>
      <c r="O902" s="77">
        <v>17</v>
      </c>
      <c r="P902" s="77">
        <v>0.941176470588235</v>
      </c>
      <c r="Q902" s="92">
        <v>0</v>
      </c>
      <c r="R902" s="77">
        <v>0</v>
      </c>
      <c r="S902" s="77">
        <v>0.45</v>
      </c>
      <c r="T902" s="76">
        <f>STOCK[[#This Row],[Costo Unitario (USD)]]+STOCK[[#This Row],[Costo Envío (USD)]]+STOCK[[#This Row],[Comisión 10%]]</f>
        <v>1.59117647058823</v>
      </c>
      <c r="U902" s="77">
        <f>STOCK[[#This Row],[Costo total]]*1.5</f>
        <v>2.38676470588235</v>
      </c>
      <c r="V902" s="77">
        <v>2</v>
      </c>
      <c r="W902" s="77">
        <f>STOCK[[#This Row],[Precio Final]]-STOCK[[#This Row],[Costo total]]</f>
        <v>0.408823529411765</v>
      </c>
      <c r="X902" s="77">
        <f>STOCK[[#This Row],[Ganancia Unitaria]]*STOCK[[#This Row],[Salidas]]</f>
        <v>1.2264705882353</v>
      </c>
      <c r="Y902" s="77" t="s">
        <v>1730</v>
      </c>
      <c r="Z902" s="77">
        <f>STOCK[[#This Row],[Costo Envío (USD)]]*STOCK[[#This Row],[Entradas]]</f>
        <v>1.35</v>
      </c>
      <c r="AA902" s="77">
        <f>STOCK[[#This Row],[Costo total]]*STOCK[[#This Row],[Entradas]]</f>
        <v>4.7735294117647</v>
      </c>
      <c r="AB902" s="77">
        <f>STOCK[[#This Row],[Stock Actual]]*STOCK[[#This Row],[Costo total]]</f>
        <v>0</v>
      </c>
    </row>
    <row r="903" s="76" customFormat="1" ht="50" hidden="1" customHeight="1" spans="1:28">
      <c r="A903" s="76" t="s">
        <v>1796</v>
      </c>
      <c r="B903" s="6"/>
      <c r="C903" s="76" t="s">
        <v>30</v>
      </c>
      <c r="D903" s="76" t="s">
        <v>1797</v>
      </c>
      <c r="E903" s="76" t="s">
        <v>1794</v>
      </c>
      <c r="F903" s="76" t="s">
        <v>524</v>
      </c>
      <c r="G903" s="76" t="s">
        <v>34</v>
      </c>
      <c r="H903" s="76">
        <f>STOCK[[#This Row],[Precio Final]]</f>
        <v>2</v>
      </c>
      <c r="I903" s="76">
        <f>STOCK[[#This Row],[Precio Venta Ideal (x1.5)]]</f>
        <v>2.38676470588235</v>
      </c>
      <c r="J903" s="91">
        <v>3</v>
      </c>
      <c r="K903" s="91">
        <f>SUMIFS(VENTAS[Cantidad],VENTAS[Código del producto Vendido],STOCK[[#This Row],[Code]])</f>
        <v>2</v>
      </c>
      <c r="L903" s="91">
        <f>STOCK[[#This Row],[Entradas]]-STOCK[[#This Row],[Salidas]]</f>
        <v>1</v>
      </c>
      <c r="M903" s="76">
        <f>STOCK[[#This Row],[Precio Final]]*10%</f>
        <v>0.2</v>
      </c>
      <c r="N903" s="76">
        <v>16</v>
      </c>
      <c r="O903" s="76">
        <v>17</v>
      </c>
      <c r="P903" s="76">
        <v>0.941176470588235</v>
      </c>
      <c r="Q903" s="91">
        <v>0</v>
      </c>
      <c r="R903" s="76">
        <v>0</v>
      </c>
      <c r="S903" s="76">
        <v>0.45</v>
      </c>
      <c r="T903" s="76">
        <f>STOCK[[#This Row],[Costo Unitario (USD)]]+STOCK[[#This Row],[Costo Envío (USD)]]+STOCK[[#This Row],[Comisión 10%]]</f>
        <v>1.59117647058823</v>
      </c>
      <c r="U903" s="76">
        <f>STOCK[[#This Row],[Costo total]]*1.5</f>
        <v>2.38676470588235</v>
      </c>
      <c r="V903" s="76">
        <v>2</v>
      </c>
      <c r="W903" s="76">
        <f>STOCK[[#This Row],[Precio Final]]-STOCK[[#This Row],[Costo total]]</f>
        <v>0.408823529411765</v>
      </c>
      <c r="X903" s="76">
        <f>STOCK[[#This Row],[Ganancia Unitaria]]*STOCK[[#This Row],[Salidas]]</f>
        <v>0.81764705882353</v>
      </c>
      <c r="Y903" s="76" t="s">
        <v>1730</v>
      </c>
      <c r="Z903" s="76">
        <f>STOCK[[#This Row],[Costo Envío (USD)]]*STOCK[[#This Row],[Entradas]]</f>
        <v>1.35</v>
      </c>
      <c r="AA903" s="76">
        <f>STOCK[[#This Row],[Costo total]]*STOCK[[#This Row],[Entradas]]</f>
        <v>4.7735294117647</v>
      </c>
      <c r="AB903" s="76">
        <f>STOCK[[#This Row],[Stock Actual]]*STOCK[[#This Row],[Costo total]]</f>
        <v>1.59117647058823</v>
      </c>
    </row>
    <row r="904" s="77" customFormat="1" ht="50" hidden="1" customHeight="1" spans="1:28">
      <c r="A904" s="77" t="s">
        <v>1798</v>
      </c>
      <c r="B904" s="6"/>
      <c r="C904" s="77" t="s">
        <v>30</v>
      </c>
      <c r="D904" s="77" t="s">
        <v>1793</v>
      </c>
      <c r="E904" s="77" t="s">
        <v>1794</v>
      </c>
      <c r="F904" s="77" t="s">
        <v>1799</v>
      </c>
      <c r="G904" s="77" t="s">
        <v>34</v>
      </c>
      <c r="H904" s="77">
        <f>STOCK[[#This Row],[Precio Final]]</f>
        <v>2</v>
      </c>
      <c r="I904" s="77">
        <f>STOCK[[#This Row],[Precio Venta Ideal (x1.5)]]</f>
        <v>2.38676470588235</v>
      </c>
      <c r="J904" s="92">
        <v>3</v>
      </c>
      <c r="K904" s="92">
        <f>SUMIFS(VENTAS[Cantidad],VENTAS[Código del producto Vendido],STOCK[[#This Row],[Code]])</f>
        <v>3</v>
      </c>
      <c r="L904" s="92">
        <f>STOCK[[#This Row],[Entradas]]-STOCK[[#This Row],[Salidas]]</f>
        <v>0</v>
      </c>
      <c r="M904" s="77">
        <f>STOCK[[#This Row],[Precio Final]]*10%</f>
        <v>0.2</v>
      </c>
      <c r="N904" s="77">
        <v>16</v>
      </c>
      <c r="O904" s="77">
        <v>17</v>
      </c>
      <c r="P904" s="77">
        <v>0.941176470588235</v>
      </c>
      <c r="Q904" s="92">
        <v>0</v>
      </c>
      <c r="R904" s="77">
        <v>0</v>
      </c>
      <c r="S904" s="77">
        <v>0.45</v>
      </c>
      <c r="T904" s="76">
        <f>STOCK[[#This Row],[Costo Unitario (USD)]]+STOCK[[#This Row],[Costo Envío (USD)]]+STOCK[[#This Row],[Comisión 10%]]</f>
        <v>1.59117647058823</v>
      </c>
      <c r="U904" s="77">
        <f>STOCK[[#This Row],[Costo total]]*1.5</f>
        <v>2.38676470588235</v>
      </c>
      <c r="V904" s="77">
        <v>2</v>
      </c>
      <c r="W904" s="77">
        <f>STOCK[[#This Row],[Precio Final]]-STOCK[[#This Row],[Costo total]]</f>
        <v>0.408823529411765</v>
      </c>
      <c r="X904" s="77">
        <f>STOCK[[#This Row],[Ganancia Unitaria]]*STOCK[[#This Row],[Salidas]]</f>
        <v>1.2264705882353</v>
      </c>
      <c r="Y904" s="77" t="s">
        <v>1730</v>
      </c>
      <c r="Z904" s="77">
        <f>STOCK[[#This Row],[Costo Envío (USD)]]*STOCK[[#This Row],[Entradas]]</f>
        <v>1.35</v>
      </c>
      <c r="AA904" s="77">
        <f>STOCK[[#This Row],[Costo total]]*STOCK[[#This Row],[Entradas]]</f>
        <v>4.7735294117647</v>
      </c>
      <c r="AB904" s="77">
        <f>STOCK[[#This Row],[Stock Actual]]*STOCK[[#This Row],[Costo total]]</f>
        <v>0</v>
      </c>
    </row>
    <row r="905" s="76" customFormat="1" ht="50" hidden="1" customHeight="1" spans="1:28">
      <c r="A905" s="76" t="s">
        <v>1800</v>
      </c>
      <c r="B905" s="6"/>
      <c r="C905" s="76" t="s">
        <v>30</v>
      </c>
      <c r="D905" s="76" t="s">
        <v>1753</v>
      </c>
      <c r="E905" s="76" t="s">
        <v>1801</v>
      </c>
      <c r="F905" s="76" t="s">
        <v>60</v>
      </c>
      <c r="G905" s="76" t="s">
        <v>34</v>
      </c>
      <c r="H905" s="76">
        <f>STOCK[[#This Row],[Precio Final]]</f>
        <v>25</v>
      </c>
      <c r="I905" s="76">
        <f>STOCK[[#This Row],[Precio Venta Ideal (x1.5)]]</f>
        <v>23.1617647058824</v>
      </c>
      <c r="J905" s="91">
        <v>2</v>
      </c>
      <c r="K905" s="91">
        <f>SUMIFS(VENTAS[Cantidad],VENTAS[Código del producto Vendido],STOCK[[#This Row],[Code]])</f>
        <v>1</v>
      </c>
      <c r="L905" s="91">
        <f>STOCK[[#This Row],[Entradas]]-STOCK[[#This Row],[Salidas]]</f>
        <v>1</v>
      </c>
      <c r="M905" s="76">
        <f>STOCK[[#This Row],[Precio Final]]*10%</f>
        <v>2.5</v>
      </c>
      <c r="N905" s="76">
        <v>169</v>
      </c>
      <c r="O905" s="76">
        <v>17</v>
      </c>
      <c r="P905" s="76">
        <v>9.94117647058824</v>
      </c>
      <c r="Q905" s="91">
        <v>0</v>
      </c>
      <c r="R905" s="76">
        <v>0</v>
      </c>
      <c r="S905" s="76">
        <v>3</v>
      </c>
      <c r="T905" s="76">
        <f>STOCK[[#This Row],[Costo Unitario (USD)]]+STOCK[[#This Row],[Costo Envío (USD)]]+STOCK[[#This Row],[Comisión 10%]]</f>
        <v>15.4411764705882</v>
      </c>
      <c r="U905" s="76">
        <f>STOCK[[#This Row],[Costo total]]*1.5</f>
        <v>23.1617647058824</v>
      </c>
      <c r="V905" s="76">
        <v>25</v>
      </c>
      <c r="W905" s="76">
        <f>STOCK[[#This Row],[Precio Final]]-STOCK[[#This Row],[Costo total]]</f>
        <v>9.55882352941176</v>
      </c>
      <c r="X905" s="76">
        <f>STOCK[[#This Row],[Ganancia Unitaria]]*STOCK[[#This Row],[Salidas]]</f>
        <v>9.55882352941176</v>
      </c>
      <c r="Y905" s="76" t="s">
        <v>1730</v>
      </c>
      <c r="Z905" s="76">
        <f>STOCK[[#This Row],[Costo Envío (USD)]]*STOCK[[#This Row],[Entradas]]</f>
        <v>6</v>
      </c>
      <c r="AA905" s="76">
        <f>STOCK[[#This Row],[Costo total]]*STOCK[[#This Row],[Entradas]]</f>
        <v>30.8823529411765</v>
      </c>
      <c r="AB905" s="76">
        <f>STOCK[[#This Row],[Stock Actual]]*STOCK[[#This Row],[Costo total]]</f>
        <v>15.4411764705882</v>
      </c>
    </row>
    <row r="906" s="77" customFormat="1" ht="50" hidden="1" customHeight="1" spans="1:28">
      <c r="A906" s="77" t="s">
        <v>1802</v>
      </c>
      <c r="B906" s="6"/>
      <c r="C906" s="77" t="s">
        <v>30</v>
      </c>
      <c r="D906" s="77" t="s">
        <v>202</v>
      </c>
      <c r="E906" s="77" t="s">
        <v>1803</v>
      </c>
      <c r="F906" s="77" t="s">
        <v>1804</v>
      </c>
      <c r="G906" s="77" t="s">
        <v>34</v>
      </c>
      <c r="H906" s="77">
        <f>STOCK[[#This Row],[Precio Final]]</f>
        <v>35</v>
      </c>
      <c r="I906" s="77">
        <f>STOCK[[#This Row],[Precio Venta Ideal (x1.5)]]</f>
        <v>36.0441176470588</v>
      </c>
      <c r="J906" s="92">
        <v>1</v>
      </c>
      <c r="K906" s="92">
        <f>SUMIFS(VENTAS[Cantidad],VENTAS[Código del producto Vendido],STOCK[[#This Row],[Code]])</f>
        <v>0</v>
      </c>
      <c r="L906" s="92">
        <f>STOCK[[#This Row],[Entradas]]-STOCK[[#This Row],[Salidas]]</f>
        <v>1</v>
      </c>
      <c r="M906" s="77">
        <f>STOCK[[#This Row],[Precio Final]]*10%</f>
        <v>3.5</v>
      </c>
      <c r="N906" s="77">
        <v>264</v>
      </c>
      <c r="O906" s="77">
        <v>17</v>
      </c>
      <c r="P906" s="77">
        <v>15.5294117647059</v>
      </c>
      <c r="Q906" s="92">
        <v>0</v>
      </c>
      <c r="R906" s="77">
        <v>0</v>
      </c>
      <c r="S906" s="77">
        <v>5</v>
      </c>
      <c r="T906" s="76">
        <f>STOCK[[#This Row],[Costo Unitario (USD)]]+STOCK[[#This Row],[Costo Envío (USD)]]+STOCK[[#This Row],[Comisión 10%]]</f>
        <v>24.0294117647059</v>
      </c>
      <c r="U906" s="77">
        <f>STOCK[[#This Row],[Costo total]]*1.5</f>
        <v>36.0441176470588</v>
      </c>
      <c r="V906" s="77">
        <v>35</v>
      </c>
      <c r="W906" s="77">
        <f>STOCK[[#This Row],[Precio Final]]-STOCK[[#This Row],[Costo total]]</f>
        <v>10.9705882352941</v>
      </c>
      <c r="X906" s="77">
        <f>STOCK[[#This Row],[Ganancia Unitaria]]*STOCK[[#This Row],[Salidas]]</f>
        <v>0</v>
      </c>
      <c r="Y906" s="77" t="s">
        <v>1730</v>
      </c>
      <c r="Z906" s="77">
        <f>STOCK[[#This Row],[Costo Envío (USD)]]*STOCK[[#This Row],[Entradas]]</f>
        <v>5</v>
      </c>
      <c r="AA906" s="77">
        <f>STOCK[[#This Row],[Costo total]]*STOCK[[#This Row],[Entradas]]</f>
        <v>24.0294117647059</v>
      </c>
      <c r="AB906" s="77">
        <f>STOCK[[#This Row],[Stock Actual]]*STOCK[[#This Row],[Costo total]]</f>
        <v>24.0294117647059</v>
      </c>
    </row>
    <row r="907" s="76" customFormat="1" ht="50" hidden="1" customHeight="1" spans="1:28">
      <c r="A907" s="76" t="s">
        <v>1805</v>
      </c>
      <c r="B907" s="13"/>
      <c r="C907" s="76" t="s">
        <v>30</v>
      </c>
      <c r="D907" s="76" t="s">
        <v>1806</v>
      </c>
      <c r="E907" s="76" t="s">
        <v>1807</v>
      </c>
      <c r="F907" s="76" t="s">
        <v>528</v>
      </c>
      <c r="G907" s="76" t="s">
        <v>34</v>
      </c>
      <c r="H907" s="76">
        <f>STOCK[[#This Row],[Precio Final]]</f>
        <v>3</v>
      </c>
      <c r="I907" s="76">
        <f>STOCK[[#This Row],[Precio Venta Ideal (x1.5)]]</f>
        <v>3.05294117647059</v>
      </c>
      <c r="J907" s="91">
        <v>3</v>
      </c>
      <c r="K907" s="91">
        <f>SUMIFS(VENTAS[Cantidad],VENTAS[Código del producto Vendido],STOCK[[#This Row],[Code]])</f>
        <v>3</v>
      </c>
      <c r="L907" s="91">
        <f>STOCK[[#This Row],[Entradas]]-STOCK[[#This Row],[Salidas]]</f>
        <v>0</v>
      </c>
      <c r="M907" s="76">
        <f>STOCK[[#This Row],[Precio Final]]*10%</f>
        <v>0.3</v>
      </c>
      <c r="N907" s="76">
        <v>21</v>
      </c>
      <c r="O907" s="76">
        <v>17</v>
      </c>
      <c r="P907" s="76">
        <v>1.23529411764706</v>
      </c>
      <c r="Q907" s="91">
        <v>0</v>
      </c>
      <c r="R907" s="76">
        <v>0</v>
      </c>
      <c r="S907" s="76">
        <v>0.5</v>
      </c>
      <c r="T907" s="76">
        <f>STOCK[[#This Row],[Costo Unitario (USD)]]+STOCK[[#This Row],[Costo Envío (USD)]]+STOCK[[#This Row],[Comisión 10%]]</f>
        <v>2.03529411764706</v>
      </c>
      <c r="U907" s="76">
        <f>STOCK[[#This Row],[Costo total]]*1.5</f>
        <v>3.05294117647059</v>
      </c>
      <c r="V907" s="76">
        <v>3</v>
      </c>
      <c r="W907" s="76">
        <f>STOCK[[#This Row],[Precio Final]]-STOCK[[#This Row],[Costo total]]</f>
        <v>0.96470588235294</v>
      </c>
      <c r="X907" s="76">
        <f>STOCK[[#This Row],[Ganancia Unitaria]]*STOCK[[#This Row],[Salidas]]</f>
        <v>2.89411764705882</v>
      </c>
      <c r="Y907" s="76" t="s">
        <v>1730</v>
      </c>
      <c r="Z907" s="76">
        <f>STOCK[[#This Row],[Costo Envío (USD)]]*STOCK[[#This Row],[Entradas]]</f>
        <v>1.5</v>
      </c>
      <c r="AA907" s="76">
        <f>STOCK[[#This Row],[Costo total]]*STOCK[[#This Row],[Entradas]]</f>
        <v>6.10588235294118</v>
      </c>
      <c r="AB907" s="76">
        <f>STOCK[[#This Row],[Stock Actual]]*STOCK[[#This Row],[Costo total]]</f>
        <v>0</v>
      </c>
    </row>
    <row r="908" s="77" customFormat="1" ht="50" hidden="1" customHeight="1" spans="1:28">
      <c r="A908" s="77" t="s">
        <v>1808</v>
      </c>
      <c r="B908" s="6"/>
      <c r="C908" s="77" t="s">
        <v>30</v>
      </c>
      <c r="D908" s="77" t="s">
        <v>1806</v>
      </c>
      <c r="E908" s="77" t="s">
        <v>1809</v>
      </c>
      <c r="F908" s="77" t="s">
        <v>528</v>
      </c>
      <c r="G908" s="77" t="s">
        <v>1810</v>
      </c>
      <c r="H908" s="77">
        <f>STOCK[[#This Row],[Precio Final]]</f>
        <v>3</v>
      </c>
      <c r="I908" s="77">
        <f>STOCK[[#This Row],[Precio Venta Ideal (x1.5)]]</f>
        <v>3.31764705882352</v>
      </c>
      <c r="J908" s="92">
        <v>1</v>
      </c>
      <c r="K908" s="92">
        <f>SUMIFS(VENTAS[Cantidad],VENTAS[Código del producto Vendido],STOCK[[#This Row],[Code]])</f>
        <v>1</v>
      </c>
      <c r="L908" s="92">
        <f>STOCK[[#This Row],[Entradas]]-STOCK[[#This Row],[Salidas]]</f>
        <v>0</v>
      </c>
      <c r="M908" s="77">
        <f>STOCK[[#This Row],[Precio Final]]*10%</f>
        <v>0.3</v>
      </c>
      <c r="N908" s="77">
        <v>24</v>
      </c>
      <c r="O908" s="77">
        <v>17</v>
      </c>
      <c r="P908" s="77">
        <v>1.41176470588235</v>
      </c>
      <c r="Q908" s="92">
        <v>0</v>
      </c>
      <c r="R908" s="77">
        <v>0</v>
      </c>
      <c r="S908" s="77">
        <v>0.5</v>
      </c>
      <c r="T908" s="76">
        <f>STOCK[[#This Row],[Costo Unitario (USD)]]+STOCK[[#This Row],[Costo Envío (USD)]]+STOCK[[#This Row],[Comisión 10%]]</f>
        <v>2.21176470588235</v>
      </c>
      <c r="U908" s="77">
        <f>STOCK[[#This Row],[Costo total]]*1.5</f>
        <v>3.31764705882352</v>
      </c>
      <c r="V908" s="77">
        <v>3</v>
      </c>
      <c r="W908" s="77">
        <f>STOCK[[#This Row],[Precio Final]]-STOCK[[#This Row],[Costo total]]</f>
        <v>0.78823529411765</v>
      </c>
      <c r="X908" s="77">
        <f>STOCK[[#This Row],[Ganancia Unitaria]]*STOCK[[#This Row],[Salidas]]</f>
        <v>0.78823529411765</v>
      </c>
      <c r="Y908" s="77" t="s">
        <v>1730</v>
      </c>
      <c r="Z908" s="77">
        <f>STOCK[[#This Row],[Costo Envío (USD)]]*STOCK[[#This Row],[Entradas]]</f>
        <v>0.5</v>
      </c>
      <c r="AA908" s="77">
        <f>STOCK[[#This Row],[Costo total]]*STOCK[[#This Row],[Entradas]]</f>
        <v>2.21176470588235</v>
      </c>
      <c r="AB908" s="77">
        <f>STOCK[[#This Row],[Stock Actual]]*STOCK[[#This Row],[Costo total]]</f>
        <v>0</v>
      </c>
    </row>
    <row r="909" s="76" customFormat="1" ht="50" hidden="1" customHeight="1" spans="1:28">
      <c r="A909" s="76" t="s">
        <v>1811</v>
      </c>
      <c r="B909" s="6"/>
      <c r="C909" s="76" t="s">
        <v>30</v>
      </c>
      <c r="D909" s="76" t="s">
        <v>42</v>
      </c>
      <c r="E909" s="76" t="s">
        <v>1812</v>
      </c>
      <c r="F909" s="76" t="s">
        <v>1711</v>
      </c>
      <c r="G909" s="76" t="s">
        <v>34</v>
      </c>
      <c r="H909" s="76">
        <f>STOCK[[#This Row],[Precio Final]]</f>
        <v>40</v>
      </c>
      <c r="I909" s="76">
        <f>STOCK[[#This Row],[Precio Venta Ideal (x1.5)]]</f>
        <v>40.4117647058823</v>
      </c>
      <c r="J909" s="91">
        <v>2</v>
      </c>
      <c r="K909" s="91">
        <f>SUMIFS(VENTAS[Cantidad],VENTAS[Código del producto Vendido],STOCK[[#This Row],[Code]])</f>
        <v>2</v>
      </c>
      <c r="L909" s="91">
        <f>STOCK[[#This Row],[Entradas]]-STOCK[[#This Row],[Salidas]]</f>
        <v>0</v>
      </c>
      <c r="M909" s="76">
        <f>STOCK[[#This Row],[Precio Final]]*10%</f>
        <v>4</v>
      </c>
      <c r="N909" s="76">
        <v>305</v>
      </c>
      <c r="O909" s="76">
        <v>17</v>
      </c>
      <c r="P909" s="76">
        <v>17.9411764705882</v>
      </c>
      <c r="Q909" s="91">
        <v>0</v>
      </c>
      <c r="R909" s="76">
        <v>0</v>
      </c>
      <c r="S909" s="76">
        <v>5</v>
      </c>
      <c r="T909" s="76">
        <f>STOCK[[#This Row],[Costo Unitario (USD)]]+STOCK[[#This Row],[Costo Envío (USD)]]+STOCK[[#This Row],[Comisión 10%]]</f>
        <v>26.9411764705882</v>
      </c>
      <c r="U909" s="76">
        <f>STOCK[[#This Row],[Costo total]]*1.5</f>
        <v>40.4117647058823</v>
      </c>
      <c r="V909" s="76">
        <v>40</v>
      </c>
      <c r="W909" s="76">
        <f>STOCK[[#This Row],[Precio Final]]-STOCK[[#This Row],[Costo total]]</f>
        <v>13.0588235294118</v>
      </c>
      <c r="X909" s="76">
        <f>STOCK[[#This Row],[Ganancia Unitaria]]*STOCK[[#This Row],[Salidas]]</f>
        <v>26.1176470588236</v>
      </c>
      <c r="Y909" s="76" t="s">
        <v>1730</v>
      </c>
      <c r="Z909" s="76">
        <f>STOCK[[#This Row],[Costo Envío (USD)]]*STOCK[[#This Row],[Entradas]]</f>
        <v>10</v>
      </c>
      <c r="AA909" s="76">
        <f>STOCK[[#This Row],[Costo total]]*STOCK[[#This Row],[Entradas]]</f>
        <v>53.8823529411764</v>
      </c>
      <c r="AB909" s="76">
        <f>STOCK[[#This Row],[Stock Actual]]*STOCK[[#This Row],[Costo total]]</f>
        <v>0</v>
      </c>
    </row>
    <row r="910" s="77" customFormat="1" ht="50" hidden="1" customHeight="1" spans="1:28">
      <c r="A910" s="77" t="s">
        <v>1813</v>
      </c>
      <c r="B910" s="6"/>
      <c r="C910" s="77" t="s">
        <v>30</v>
      </c>
      <c r="D910" s="77" t="s">
        <v>1814</v>
      </c>
      <c r="E910" s="77" t="s">
        <v>1815</v>
      </c>
      <c r="F910" s="77" t="s">
        <v>47</v>
      </c>
      <c r="G910" s="77" t="s">
        <v>34</v>
      </c>
      <c r="H910" s="77">
        <f>STOCK[[#This Row],[Precio Final]]</f>
        <v>25</v>
      </c>
      <c r="I910" s="77">
        <f>STOCK[[#This Row],[Precio Venta Ideal (x1.5)]]</f>
        <v>13.8970588235294</v>
      </c>
      <c r="J910" s="92">
        <v>1</v>
      </c>
      <c r="K910" s="92">
        <f>SUMIFS(VENTAS[Cantidad],VENTAS[Código del producto Vendido],STOCK[[#This Row],[Code]])</f>
        <v>0</v>
      </c>
      <c r="L910" s="92">
        <f>STOCK[[#This Row],[Entradas]]-STOCK[[#This Row],[Salidas]]</f>
        <v>1</v>
      </c>
      <c r="M910" s="77">
        <f>STOCK[[#This Row],[Precio Final]]*10%</f>
        <v>2.5</v>
      </c>
      <c r="N910" s="77">
        <v>115</v>
      </c>
      <c r="O910" s="77">
        <v>17</v>
      </c>
      <c r="P910" s="77">
        <v>6.76470588235294</v>
      </c>
      <c r="Q910" s="92">
        <v>0</v>
      </c>
      <c r="R910" s="77">
        <v>0</v>
      </c>
      <c r="S910" s="77">
        <v>0</v>
      </c>
      <c r="T910" s="76">
        <f>STOCK[[#This Row],[Costo Unitario (USD)]]+STOCK[[#This Row],[Costo Envío (USD)]]+STOCK[[#This Row],[Comisión 10%]]</f>
        <v>9.26470588235294</v>
      </c>
      <c r="U910" s="77">
        <f>STOCK[[#This Row],[Costo total]]*1.5</f>
        <v>13.8970588235294</v>
      </c>
      <c r="V910" s="77">
        <v>25</v>
      </c>
      <c r="W910" s="77">
        <f>STOCK[[#This Row],[Precio Final]]-STOCK[[#This Row],[Costo total]]</f>
        <v>15.7352941176471</v>
      </c>
      <c r="X910" s="77">
        <f>STOCK[[#This Row],[Ganancia Unitaria]]*STOCK[[#This Row],[Salidas]]</f>
        <v>0</v>
      </c>
      <c r="AA910" s="77">
        <f>STOCK[[#This Row],[Costo total]]*STOCK[[#This Row],[Entradas]]</f>
        <v>9.26470588235294</v>
      </c>
      <c r="AB910" s="77">
        <f>STOCK[[#This Row],[Stock Actual]]*STOCK[[#This Row],[Costo total]]</f>
        <v>9.26470588235294</v>
      </c>
    </row>
    <row r="911" s="76" customFormat="1" ht="50" hidden="1" customHeight="1" spans="1:28">
      <c r="A911" s="76" t="s">
        <v>1816</v>
      </c>
      <c r="B911" s="6"/>
      <c r="C911" s="76" t="s">
        <v>30</v>
      </c>
      <c r="D911" s="76" t="s">
        <v>1817</v>
      </c>
      <c r="E911" s="76" t="s">
        <v>1818</v>
      </c>
      <c r="F911" s="76" t="s">
        <v>1819</v>
      </c>
      <c r="G911" s="76" t="s">
        <v>1294</v>
      </c>
      <c r="H911" s="76">
        <f>STOCK[[#This Row],[Precio Final]]</f>
        <v>22</v>
      </c>
      <c r="I911" s="76">
        <f>STOCK[[#This Row],[Precio Venta Ideal (x1.5)]]</f>
        <v>19.485</v>
      </c>
      <c r="J911" s="91">
        <v>4</v>
      </c>
      <c r="K911" s="91">
        <f>SUMIFS(VENTAS[Cantidad],VENTAS[Código del producto Vendido],STOCK[[#This Row],[Code]])</f>
        <v>4</v>
      </c>
      <c r="L911" s="91">
        <f>STOCK[[#This Row],[Entradas]]-STOCK[[#This Row],[Salidas]]</f>
        <v>0</v>
      </c>
      <c r="M911" s="76">
        <f>STOCK[[#This Row],[Precio Final]]*10%</f>
        <v>2.2</v>
      </c>
      <c r="N911" s="76">
        <v>0</v>
      </c>
      <c r="O911" s="76">
        <v>0</v>
      </c>
      <c r="P911" s="76">
        <v>8.99</v>
      </c>
      <c r="Q911" s="91">
        <v>0</v>
      </c>
      <c r="R911" s="76">
        <v>0</v>
      </c>
      <c r="S911" s="76">
        <v>1.8</v>
      </c>
      <c r="T911" s="76">
        <f>STOCK[[#This Row],[Costo Unitario (USD)]]+STOCK[[#This Row],[Costo Envío (USD)]]+STOCK[[#This Row],[Comisión 10%]]</f>
        <v>12.99</v>
      </c>
      <c r="U911" s="76">
        <f>STOCK[[#This Row],[Costo total]]*1.5</f>
        <v>19.485</v>
      </c>
      <c r="V911" s="76">
        <v>22</v>
      </c>
      <c r="W911" s="76">
        <f>STOCK[[#This Row],[Precio Final]]-STOCK[[#This Row],[Costo total]]</f>
        <v>9.01</v>
      </c>
      <c r="X911" s="76">
        <f>STOCK[[#This Row],[Ganancia Unitaria]]*STOCK[[#This Row],[Salidas]]</f>
        <v>36.04</v>
      </c>
      <c r="Y911" s="76" t="s">
        <v>1820</v>
      </c>
      <c r="AA911" s="76">
        <f>STOCK[[#This Row],[Costo total]]*STOCK[[#This Row],[Entradas]]</f>
        <v>51.96</v>
      </c>
      <c r="AB911" s="76">
        <f>STOCK[[#This Row],[Stock Actual]]*STOCK[[#This Row],[Costo total]]</f>
        <v>0</v>
      </c>
    </row>
    <row r="912" s="77" customFormat="1" ht="50" hidden="1" customHeight="1" spans="1:28">
      <c r="A912" s="77" t="s">
        <v>1821</v>
      </c>
      <c r="B912" s="6"/>
      <c r="C912" s="77" t="s">
        <v>30</v>
      </c>
      <c r="D912" s="77" t="s">
        <v>1817</v>
      </c>
      <c r="E912" s="77" t="s">
        <v>1818</v>
      </c>
      <c r="F912" s="77" t="s">
        <v>1822</v>
      </c>
      <c r="G912" s="77" t="s">
        <v>1294</v>
      </c>
      <c r="H912" s="77">
        <f>STOCK[[#This Row],[Precio Final]]</f>
        <v>22</v>
      </c>
      <c r="I912" s="77">
        <f>STOCK[[#This Row],[Precio Venta Ideal (x1.5)]]</f>
        <v>19.485</v>
      </c>
      <c r="J912" s="92">
        <v>1</v>
      </c>
      <c r="K912" s="92">
        <f>SUMIFS(VENTAS[Cantidad],VENTAS[Código del producto Vendido],STOCK[[#This Row],[Code]])</f>
        <v>1</v>
      </c>
      <c r="L912" s="92">
        <f>STOCK[[#This Row],[Entradas]]-STOCK[[#This Row],[Salidas]]</f>
        <v>0</v>
      </c>
      <c r="M912" s="77">
        <f>STOCK[[#This Row],[Precio Final]]*10%</f>
        <v>2.2</v>
      </c>
      <c r="N912" s="77">
        <v>0</v>
      </c>
      <c r="O912" s="77">
        <v>0</v>
      </c>
      <c r="P912" s="77">
        <v>8.99</v>
      </c>
      <c r="Q912" s="92">
        <v>0</v>
      </c>
      <c r="R912" s="77">
        <v>0</v>
      </c>
      <c r="S912" s="77">
        <v>1.8</v>
      </c>
      <c r="T912" s="76">
        <f>STOCK[[#This Row],[Costo Unitario (USD)]]+STOCK[[#This Row],[Costo Envío (USD)]]+STOCK[[#This Row],[Comisión 10%]]</f>
        <v>12.99</v>
      </c>
      <c r="U912" s="77">
        <f>STOCK[[#This Row],[Costo total]]*1.5</f>
        <v>19.485</v>
      </c>
      <c r="V912" s="77">
        <v>22</v>
      </c>
      <c r="W912" s="77">
        <f>STOCK[[#This Row],[Precio Final]]-STOCK[[#This Row],[Costo total]]</f>
        <v>9.01</v>
      </c>
      <c r="X912" s="77">
        <f>STOCK[[#This Row],[Ganancia Unitaria]]*STOCK[[#This Row],[Salidas]]</f>
        <v>9.01</v>
      </c>
      <c r="Y912" s="77" t="s">
        <v>1820</v>
      </c>
      <c r="AA912" s="77">
        <f>STOCK[[#This Row],[Costo total]]*STOCK[[#This Row],[Entradas]]</f>
        <v>12.99</v>
      </c>
      <c r="AB912" s="77">
        <f>STOCK[[#This Row],[Stock Actual]]*STOCK[[#This Row],[Costo total]]</f>
        <v>0</v>
      </c>
    </row>
    <row r="913" s="76" customFormat="1" ht="50" hidden="1" customHeight="1" spans="1:28">
      <c r="A913" s="76" t="s">
        <v>1823</v>
      </c>
      <c r="B913" s="6"/>
      <c r="C913" s="76" t="s">
        <v>30</v>
      </c>
      <c r="D913" s="76" t="s">
        <v>42</v>
      </c>
      <c r="E913" s="76" t="s">
        <v>1818</v>
      </c>
      <c r="F913" s="76" t="s">
        <v>1824</v>
      </c>
      <c r="G913" s="76" t="s">
        <v>1294</v>
      </c>
      <c r="H913" s="76">
        <f>STOCK[[#This Row],[Precio Final]]</f>
        <v>22</v>
      </c>
      <c r="I913" s="76">
        <f>STOCK[[#This Row],[Precio Venta Ideal (x1.5)]]</f>
        <v>19.485</v>
      </c>
      <c r="J913" s="91">
        <v>2</v>
      </c>
      <c r="K913" s="91">
        <f>SUMIFS(VENTAS[Cantidad],VENTAS[Código del producto Vendido],STOCK[[#This Row],[Code]])</f>
        <v>2</v>
      </c>
      <c r="L913" s="91">
        <f>STOCK[[#This Row],[Entradas]]-STOCK[[#This Row],[Salidas]]</f>
        <v>0</v>
      </c>
      <c r="M913" s="76">
        <f>STOCK[[#This Row],[Precio Final]]*10%</f>
        <v>2.2</v>
      </c>
      <c r="N913" s="76">
        <v>0</v>
      </c>
      <c r="O913" s="76">
        <v>0</v>
      </c>
      <c r="P913" s="76">
        <v>8.99</v>
      </c>
      <c r="Q913" s="91">
        <v>0</v>
      </c>
      <c r="R913" s="76">
        <v>0</v>
      </c>
      <c r="S913" s="76">
        <v>1.8</v>
      </c>
      <c r="T913" s="76">
        <f>STOCK[[#This Row],[Costo Unitario (USD)]]+STOCK[[#This Row],[Costo Envío (USD)]]+STOCK[[#This Row],[Comisión 10%]]</f>
        <v>12.99</v>
      </c>
      <c r="U913" s="76">
        <f>STOCK[[#This Row],[Costo total]]*1.5</f>
        <v>19.485</v>
      </c>
      <c r="V913" s="76">
        <v>22</v>
      </c>
      <c r="W913" s="76">
        <f>STOCK[[#This Row],[Precio Final]]-STOCK[[#This Row],[Costo total]]</f>
        <v>9.01</v>
      </c>
      <c r="X913" s="76">
        <f>STOCK[[#This Row],[Ganancia Unitaria]]*STOCK[[#This Row],[Salidas]]</f>
        <v>18.02</v>
      </c>
      <c r="Y913" s="76" t="s">
        <v>1820</v>
      </c>
      <c r="AA913" s="76">
        <f>STOCK[[#This Row],[Costo total]]*STOCK[[#This Row],[Entradas]]</f>
        <v>25.98</v>
      </c>
      <c r="AB913" s="76">
        <f>STOCK[[#This Row],[Stock Actual]]*STOCK[[#This Row],[Costo total]]</f>
        <v>0</v>
      </c>
    </row>
    <row r="914" s="77" customFormat="1" ht="50" hidden="1" customHeight="1" spans="1:28">
      <c r="A914" s="77" t="s">
        <v>1825</v>
      </c>
      <c r="B914" s="6"/>
      <c r="C914" s="77" t="s">
        <v>30</v>
      </c>
      <c r="D914" s="77" t="s">
        <v>487</v>
      </c>
      <c r="E914" s="77" t="s">
        <v>1826</v>
      </c>
      <c r="F914" s="77" t="s">
        <v>524</v>
      </c>
      <c r="G914" s="77" t="s">
        <v>1294</v>
      </c>
      <c r="H914" s="77">
        <f>STOCK[[#This Row],[Precio Final]]</f>
        <v>25</v>
      </c>
      <c r="I914" s="77">
        <f>STOCK[[#This Row],[Precio Venta Ideal (x1.5)]]</f>
        <v>21.435</v>
      </c>
      <c r="J914" s="92">
        <v>2</v>
      </c>
      <c r="K914" s="92">
        <f>SUMIFS(VENTAS[Cantidad],VENTAS[Código del producto Vendido],STOCK[[#This Row],[Code]])</f>
        <v>1</v>
      </c>
      <c r="L914" s="92">
        <f>STOCK[[#This Row],[Entradas]]-STOCK[[#This Row],[Salidas]]</f>
        <v>1</v>
      </c>
      <c r="M914" s="77">
        <f>STOCK[[#This Row],[Precio Final]]*10%</f>
        <v>2.5</v>
      </c>
      <c r="N914" s="77">
        <v>0</v>
      </c>
      <c r="O914" s="77">
        <v>0</v>
      </c>
      <c r="P914" s="77">
        <v>9.99</v>
      </c>
      <c r="Q914" s="92">
        <v>0</v>
      </c>
      <c r="R914" s="77">
        <v>0</v>
      </c>
      <c r="S914" s="77">
        <v>1.8</v>
      </c>
      <c r="T914" s="76">
        <f>STOCK[[#This Row],[Costo Unitario (USD)]]+STOCK[[#This Row],[Costo Envío (USD)]]+STOCK[[#This Row],[Comisión 10%]]</f>
        <v>14.29</v>
      </c>
      <c r="U914" s="77">
        <f>STOCK[[#This Row],[Costo total]]*1.5</f>
        <v>21.435</v>
      </c>
      <c r="V914" s="77">
        <v>25</v>
      </c>
      <c r="W914" s="77">
        <f>STOCK[[#This Row],[Precio Final]]-STOCK[[#This Row],[Costo total]]</f>
        <v>10.71</v>
      </c>
      <c r="X914" s="77">
        <f>STOCK[[#This Row],[Ganancia Unitaria]]*STOCK[[#This Row],[Salidas]]</f>
        <v>10.71</v>
      </c>
      <c r="Y914" s="77" t="s">
        <v>1820</v>
      </c>
      <c r="AA914" s="77">
        <f>STOCK[[#This Row],[Costo total]]*STOCK[[#This Row],[Entradas]]</f>
        <v>28.58</v>
      </c>
      <c r="AB914" s="77">
        <f>STOCK[[#This Row],[Stock Actual]]*STOCK[[#This Row],[Costo total]]</f>
        <v>14.29</v>
      </c>
    </row>
    <row r="915" s="76" customFormat="1" ht="50" hidden="1" customHeight="1" spans="1:28">
      <c r="A915" s="76" t="s">
        <v>1827</v>
      </c>
      <c r="B915" s="6"/>
      <c r="C915" s="76" t="s">
        <v>30</v>
      </c>
      <c r="D915" s="76" t="s">
        <v>1828</v>
      </c>
      <c r="E915" s="76" t="s">
        <v>1829</v>
      </c>
      <c r="F915" s="76" t="s">
        <v>44</v>
      </c>
      <c r="G915" s="76" t="s">
        <v>1294</v>
      </c>
      <c r="H915" s="76">
        <f>STOCK[[#This Row],[Precio Final]]</f>
        <v>30</v>
      </c>
      <c r="I915" s="76">
        <f>STOCK[[#This Row],[Precio Venta Ideal (x1.5)]]</f>
        <v>29.685</v>
      </c>
      <c r="J915" s="91">
        <v>2</v>
      </c>
      <c r="K915" s="91">
        <f>SUMIFS(VENTAS[Cantidad],VENTAS[Código del producto Vendido],STOCK[[#This Row],[Code]])</f>
        <v>1</v>
      </c>
      <c r="L915" s="91">
        <f>STOCK[[#This Row],[Entradas]]-STOCK[[#This Row],[Salidas]]</f>
        <v>1</v>
      </c>
      <c r="M915" s="76">
        <f>STOCK[[#This Row],[Precio Final]]*10%</f>
        <v>3</v>
      </c>
      <c r="N915" s="76">
        <v>0</v>
      </c>
      <c r="O915" s="76">
        <v>0</v>
      </c>
      <c r="P915" s="76">
        <v>14.99</v>
      </c>
      <c r="Q915" s="91">
        <v>0</v>
      </c>
      <c r="R915" s="76">
        <v>0</v>
      </c>
      <c r="S915" s="76">
        <v>1.8</v>
      </c>
      <c r="T915" s="76">
        <f>STOCK[[#This Row],[Costo Unitario (USD)]]+STOCK[[#This Row],[Costo Envío (USD)]]+STOCK[[#This Row],[Comisión 10%]]</f>
        <v>19.79</v>
      </c>
      <c r="U915" s="76">
        <f>STOCK[[#This Row],[Costo total]]*1.5</f>
        <v>29.685</v>
      </c>
      <c r="V915" s="76">
        <v>30</v>
      </c>
      <c r="W915" s="76">
        <f>STOCK[[#This Row],[Precio Final]]-STOCK[[#This Row],[Costo total]]</f>
        <v>10.21</v>
      </c>
      <c r="X915" s="76">
        <f>STOCK[[#This Row],[Ganancia Unitaria]]*STOCK[[#This Row],[Salidas]]</f>
        <v>10.21</v>
      </c>
      <c r="Y915" s="76" t="s">
        <v>1820</v>
      </c>
      <c r="AA915" s="76">
        <f>STOCK[[#This Row],[Costo total]]*STOCK[[#This Row],[Entradas]]</f>
        <v>39.58</v>
      </c>
      <c r="AB915" s="76">
        <f>STOCK[[#This Row],[Stock Actual]]*STOCK[[#This Row],[Costo total]]</f>
        <v>19.79</v>
      </c>
    </row>
    <row r="916" s="77" customFormat="1" ht="50" hidden="1" customHeight="1" spans="1:28">
      <c r="A916" s="77" t="s">
        <v>1830</v>
      </c>
      <c r="B916" s="6"/>
      <c r="C916" s="77" t="s">
        <v>30</v>
      </c>
      <c r="D916" s="77" t="s">
        <v>1828</v>
      </c>
      <c r="E916" s="77" t="s">
        <v>1831</v>
      </c>
      <c r="F916" s="77" t="s">
        <v>60</v>
      </c>
      <c r="G916" s="77" t="s">
        <v>1294</v>
      </c>
      <c r="H916" s="77">
        <f>STOCK[[#This Row],[Precio Final]]</f>
        <v>25</v>
      </c>
      <c r="I916" s="77">
        <f>STOCK[[#This Row],[Precio Venta Ideal (x1.5)]]</f>
        <v>21.435</v>
      </c>
      <c r="J916" s="92">
        <v>1</v>
      </c>
      <c r="K916" s="92">
        <f>SUMIFS(VENTAS[Cantidad],VENTAS[Código del producto Vendido],STOCK[[#This Row],[Code]])</f>
        <v>1</v>
      </c>
      <c r="L916" s="92">
        <f>STOCK[[#This Row],[Entradas]]-STOCK[[#This Row],[Salidas]]</f>
        <v>0</v>
      </c>
      <c r="M916" s="77">
        <f>STOCK[[#This Row],[Precio Final]]*10%</f>
        <v>2.5</v>
      </c>
      <c r="N916" s="77">
        <v>0</v>
      </c>
      <c r="O916" s="77">
        <v>0</v>
      </c>
      <c r="P916" s="77">
        <v>9.99</v>
      </c>
      <c r="Q916" s="92">
        <v>0</v>
      </c>
      <c r="R916" s="77">
        <v>0</v>
      </c>
      <c r="S916" s="77">
        <v>1.8</v>
      </c>
      <c r="T916" s="76">
        <f>STOCK[[#This Row],[Costo Unitario (USD)]]+STOCK[[#This Row],[Costo Envío (USD)]]+STOCK[[#This Row],[Comisión 10%]]</f>
        <v>14.29</v>
      </c>
      <c r="U916" s="77">
        <f>STOCK[[#This Row],[Costo total]]*1.5</f>
        <v>21.435</v>
      </c>
      <c r="V916" s="77">
        <v>25</v>
      </c>
      <c r="W916" s="77">
        <f>STOCK[[#This Row],[Precio Final]]-STOCK[[#This Row],[Costo total]]</f>
        <v>10.71</v>
      </c>
      <c r="X916" s="77">
        <f>STOCK[[#This Row],[Ganancia Unitaria]]*STOCK[[#This Row],[Salidas]]</f>
        <v>10.71</v>
      </c>
      <c r="Y916" s="77" t="s">
        <v>1820</v>
      </c>
      <c r="AA916" s="77">
        <f>STOCK[[#This Row],[Costo total]]*STOCK[[#This Row],[Entradas]]</f>
        <v>14.29</v>
      </c>
      <c r="AB916" s="77">
        <f>STOCK[[#This Row],[Stock Actual]]*STOCK[[#This Row],[Costo total]]</f>
        <v>0</v>
      </c>
    </row>
    <row r="917" s="76" customFormat="1" ht="50" hidden="1" customHeight="1" spans="1:28">
      <c r="A917" s="76" t="s">
        <v>1832</v>
      </c>
      <c r="B917" s="6"/>
      <c r="C917" s="76" t="s">
        <v>30</v>
      </c>
      <c r="D917" s="76" t="s">
        <v>1828</v>
      </c>
      <c r="E917" s="76" t="s">
        <v>1831</v>
      </c>
      <c r="F917" s="76" t="s">
        <v>47</v>
      </c>
      <c r="G917" s="76" t="s">
        <v>1294</v>
      </c>
      <c r="H917" s="76">
        <f>STOCK[[#This Row],[Precio Final]]</f>
        <v>25</v>
      </c>
      <c r="I917" s="76">
        <f>STOCK[[#This Row],[Precio Venta Ideal (x1.5)]]</f>
        <v>21.435</v>
      </c>
      <c r="J917" s="91">
        <v>1</v>
      </c>
      <c r="K917" s="91">
        <f>SUMIFS(VENTAS[Cantidad],VENTAS[Código del producto Vendido],STOCK[[#This Row],[Code]])</f>
        <v>1</v>
      </c>
      <c r="L917" s="91">
        <f>STOCK[[#This Row],[Entradas]]-STOCK[[#This Row],[Salidas]]</f>
        <v>0</v>
      </c>
      <c r="M917" s="76">
        <f>STOCK[[#This Row],[Precio Final]]*10%</f>
        <v>2.5</v>
      </c>
      <c r="N917" s="76">
        <v>0</v>
      </c>
      <c r="O917" s="76">
        <v>0</v>
      </c>
      <c r="P917" s="76">
        <v>9.99</v>
      </c>
      <c r="Q917" s="91">
        <v>0</v>
      </c>
      <c r="R917" s="76">
        <v>0</v>
      </c>
      <c r="S917" s="76">
        <v>1.8</v>
      </c>
      <c r="T917" s="76">
        <f>STOCK[[#This Row],[Costo Unitario (USD)]]+STOCK[[#This Row],[Costo Envío (USD)]]+STOCK[[#This Row],[Comisión 10%]]</f>
        <v>14.29</v>
      </c>
      <c r="U917" s="76">
        <f>STOCK[[#This Row],[Costo total]]*1.5</f>
        <v>21.435</v>
      </c>
      <c r="V917" s="76">
        <v>25</v>
      </c>
      <c r="W917" s="76">
        <f>STOCK[[#This Row],[Precio Final]]-STOCK[[#This Row],[Costo total]]</f>
        <v>10.71</v>
      </c>
      <c r="X917" s="76">
        <f>STOCK[[#This Row],[Ganancia Unitaria]]*STOCK[[#This Row],[Salidas]]</f>
        <v>10.71</v>
      </c>
      <c r="Y917" s="76" t="s">
        <v>1820</v>
      </c>
      <c r="AA917" s="76">
        <f>STOCK[[#This Row],[Costo total]]*STOCK[[#This Row],[Entradas]]</f>
        <v>14.29</v>
      </c>
      <c r="AB917" s="76">
        <f>STOCK[[#This Row],[Stock Actual]]*STOCK[[#This Row],[Costo total]]</f>
        <v>0</v>
      </c>
    </row>
    <row r="918" s="77" customFormat="1" ht="50" hidden="1" customHeight="1" spans="1:28">
      <c r="A918" s="77" t="s">
        <v>1833</v>
      </c>
      <c r="B918" s="6"/>
      <c r="C918" s="77" t="s">
        <v>30</v>
      </c>
      <c r="D918" s="77" t="s">
        <v>1828</v>
      </c>
      <c r="E918" s="77" t="s">
        <v>1834</v>
      </c>
      <c r="F918" s="77" t="s">
        <v>1835</v>
      </c>
      <c r="G918" s="77" t="s">
        <v>1294</v>
      </c>
      <c r="H918" s="77">
        <f>STOCK[[#This Row],[Precio Final]]</f>
        <v>30</v>
      </c>
      <c r="I918" s="77">
        <f>STOCK[[#This Row],[Precio Venta Ideal (x1.5)]]</f>
        <v>22.185</v>
      </c>
      <c r="J918" s="92">
        <v>3</v>
      </c>
      <c r="K918" s="92">
        <f>SUMIFS(VENTAS[Cantidad],VENTAS[Código del producto Vendido],STOCK[[#This Row],[Code]])</f>
        <v>0</v>
      </c>
      <c r="L918" s="92">
        <f>STOCK[[#This Row],[Entradas]]-STOCK[[#This Row],[Salidas]]</f>
        <v>3</v>
      </c>
      <c r="M918" s="77">
        <f>STOCK[[#This Row],[Precio Final]]*10%</f>
        <v>3</v>
      </c>
      <c r="N918" s="77">
        <v>0</v>
      </c>
      <c r="O918" s="77">
        <v>0</v>
      </c>
      <c r="P918" s="77">
        <v>9.99</v>
      </c>
      <c r="Q918" s="92">
        <v>0</v>
      </c>
      <c r="R918" s="77">
        <v>0</v>
      </c>
      <c r="S918" s="77">
        <v>1.8</v>
      </c>
      <c r="T918" s="76">
        <f>STOCK[[#This Row],[Costo Unitario (USD)]]+STOCK[[#This Row],[Costo Envío (USD)]]+STOCK[[#This Row],[Comisión 10%]]</f>
        <v>14.79</v>
      </c>
      <c r="U918" s="77">
        <f>STOCK[[#This Row],[Costo total]]*1.5</f>
        <v>22.185</v>
      </c>
      <c r="V918" s="77">
        <v>30</v>
      </c>
      <c r="W918" s="77">
        <f>STOCK[[#This Row],[Precio Final]]-STOCK[[#This Row],[Costo total]]</f>
        <v>15.21</v>
      </c>
      <c r="X918" s="77">
        <f>STOCK[[#This Row],[Ganancia Unitaria]]*STOCK[[#This Row],[Salidas]]</f>
        <v>0</v>
      </c>
      <c r="Y918" s="77" t="s">
        <v>1820</v>
      </c>
      <c r="AA918" s="77">
        <f>STOCK[[#This Row],[Costo total]]*STOCK[[#This Row],[Entradas]]</f>
        <v>44.37</v>
      </c>
      <c r="AB918" s="77">
        <f>STOCK[[#This Row],[Stock Actual]]*STOCK[[#This Row],[Costo total]]</f>
        <v>44.37</v>
      </c>
    </row>
    <row r="919" s="76" customFormat="1" ht="50" hidden="1" customHeight="1" spans="1:28">
      <c r="A919" s="76" t="s">
        <v>1836</v>
      </c>
      <c r="B919" s="6"/>
      <c r="C919" s="76" t="s">
        <v>30</v>
      </c>
      <c r="D919" s="76" t="s">
        <v>1817</v>
      </c>
      <c r="E919" s="76" t="s">
        <v>1837</v>
      </c>
      <c r="F919" s="76" t="s">
        <v>1838</v>
      </c>
      <c r="G919" s="76" t="s">
        <v>1294</v>
      </c>
      <c r="H919" s="76">
        <f>STOCK[[#This Row],[Precio Final]]</f>
        <v>20</v>
      </c>
      <c r="I919" s="76">
        <f>STOCK[[#This Row],[Precio Venta Ideal (x1.5)]]</f>
        <v>20.685</v>
      </c>
      <c r="J919" s="91">
        <v>2</v>
      </c>
      <c r="K919" s="91">
        <f>SUMIFS(VENTAS[Cantidad],VENTAS[Código del producto Vendido],STOCK[[#This Row],[Code]])</f>
        <v>2</v>
      </c>
      <c r="L919" s="91">
        <f>STOCK[[#This Row],[Entradas]]-STOCK[[#This Row],[Salidas]]</f>
        <v>0</v>
      </c>
      <c r="M919" s="76">
        <f>STOCK[[#This Row],[Precio Final]]*10%</f>
        <v>2</v>
      </c>
      <c r="N919" s="76">
        <v>0</v>
      </c>
      <c r="O919" s="76">
        <v>0</v>
      </c>
      <c r="P919" s="76">
        <v>9.99</v>
      </c>
      <c r="Q919" s="91">
        <v>0</v>
      </c>
      <c r="R919" s="76">
        <v>0</v>
      </c>
      <c r="S919" s="76">
        <v>1.8</v>
      </c>
      <c r="T919" s="76">
        <f>STOCK[[#This Row],[Costo Unitario (USD)]]+STOCK[[#This Row],[Costo Envío (USD)]]+STOCK[[#This Row],[Comisión 10%]]</f>
        <v>13.79</v>
      </c>
      <c r="U919" s="76">
        <f>STOCK[[#This Row],[Costo total]]*1.5</f>
        <v>20.685</v>
      </c>
      <c r="V919" s="76">
        <v>20</v>
      </c>
      <c r="W919" s="76">
        <f>STOCK[[#This Row],[Precio Final]]-STOCK[[#This Row],[Costo total]]</f>
        <v>6.21</v>
      </c>
      <c r="X919" s="76">
        <f>STOCK[[#This Row],[Ganancia Unitaria]]*STOCK[[#This Row],[Salidas]]</f>
        <v>12.42</v>
      </c>
      <c r="Y919" s="76" t="s">
        <v>1820</v>
      </c>
      <c r="AA919" s="76">
        <f>STOCK[[#This Row],[Costo total]]*STOCK[[#This Row],[Entradas]]</f>
        <v>27.58</v>
      </c>
      <c r="AB919" s="76">
        <f>STOCK[[#This Row],[Stock Actual]]*STOCK[[#This Row],[Costo total]]</f>
        <v>0</v>
      </c>
    </row>
    <row r="920" s="77" customFormat="1" ht="50" hidden="1" customHeight="1" spans="1:28">
      <c r="A920" s="77" t="s">
        <v>1839</v>
      </c>
      <c r="B920" s="6"/>
      <c r="C920" s="77" t="s">
        <v>30</v>
      </c>
      <c r="D920" s="77" t="s">
        <v>1817</v>
      </c>
      <c r="E920" s="77" t="s">
        <v>1837</v>
      </c>
      <c r="F920" s="77" t="s">
        <v>1840</v>
      </c>
      <c r="G920" s="77" t="s">
        <v>1294</v>
      </c>
      <c r="H920" s="77">
        <f>STOCK[[#This Row],[Precio Final]]</f>
        <v>20</v>
      </c>
      <c r="I920" s="77">
        <f>STOCK[[#This Row],[Precio Venta Ideal (x1.5)]]</f>
        <v>20.685</v>
      </c>
      <c r="J920" s="92">
        <v>2</v>
      </c>
      <c r="K920" s="92">
        <f>SUMIFS(VENTAS[Cantidad],VENTAS[Código del producto Vendido],STOCK[[#This Row],[Code]])</f>
        <v>2</v>
      </c>
      <c r="L920" s="92">
        <f>STOCK[[#This Row],[Entradas]]-STOCK[[#This Row],[Salidas]]</f>
        <v>0</v>
      </c>
      <c r="M920" s="77">
        <f>STOCK[[#This Row],[Precio Final]]*10%</f>
        <v>2</v>
      </c>
      <c r="N920" s="77">
        <v>0</v>
      </c>
      <c r="O920" s="77">
        <v>0</v>
      </c>
      <c r="P920" s="77">
        <v>9.99</v>
      </c>
      <c r="Q920" s="92">
        <v>0</v>
      </c>
      <c r="R920" s="77">
        <v>0</v>
      </c>
      <c r="S920" s="77">
        <v>1.8</v>
      </c>
      <c r="T920" s="76">
        <f>STOCK[[#This Row],[Costo Unitario (USD)]]+STOCK[[#This Row],[Costo Envío (USD)]]+STOCK[[#This Row],[Comisión 10%]]</f>
        <v>13.79</v>
      </c>
      <c r="U920" s="77">
        <f>STOCK[[#This Row],[Costo total]]*1.5</f>
        <v>20.685</v>
      </c>
      <c r="V920" s="77">
        <v>20</v>
      </c>
      <c r="W920" s="77">
        <f>STOCK[[#This Row],[Precio Final]]-STOCK[[#This Row],[Costo total]]</f>
        <v>6.21</v>
      </c>
      <c r="X920" s="77">
        <f>STOCK[[#This Row],[Ganancia Unitaria]]*STOCK[[#This Row],[Salidas]]</f>
        <v>12.42</v>
      </c>
      <c r="Y920" s="77" t="s">
        <v>1820</v>
      </c>
      <c r="AA920" s="77">
        <f>STOCK[[#This Row],[Costo total]]*STOCK[[#This Row],[Entradas]]</f>
        <v>27.58</v>
      </c>
      <c r="AB920" s="77">
        <f>STOCK[[#This Row],[Stock Actual]]*STOCK[[#This Row],[Costo total]]</f>
        <v>0</v>
      </c>
    </row>
    <row r="921" s="76" customFormat="1" ht="50" hidden="1" customHeight="1" spans="1:28">
      <c r="A921" s="76" t="s">
        <v>1841</v>
      </c>
      <c r="B921" s="6"/>
      <c r="C921" s="76" t="s">
        <v>30</v>
      </c>
      <c r="D921" s="76" t="s">
        <v>1817</v>
      </c>
      <c r="E921" s="76" t="s">
        <v>1837</v>
      </c>
      <c r="F921" s="76" t="s">
        <v>1842</v>
      </c>
      <c r="G921" s="76" t="s">
        <v>1294</v>
      </c>
      <c r="H921" s="76">
        <f>STOCK[[#This Row],[Precio Final]]</f>
        <v>20</v>
      </c>
      <c r="I921" s="76">
        <f>STOCK[[#This Row],[Precio Venta Ideal (x1.5)]]</f>
        <v>20.685</v>
      </c>
      <c r="J921" s="91">
        <v>1</v>
      </c>
      <c r="K921" s="91">
        <f>SUMIFS(VENTAS[Cantidad],VENTAS[Código del producto Vendido],STOCK[[#This Row],[Code]])</f>
        <v>1</v>
      </c>
      <c r="L921" s="91">
        <f>STOCK[[#This Row],[Entradas]]-STOCK[[#This Row],[Salidas]]</f>
        <v>0</v>
      </c>
      <c r="M921" s="76">
        <f>STOCK[[#This Row],[Precio Final]]*10%</f>
        <v>2</v>
      </c>
      <c r="N921" s="76">
        <v>0</v>
      </c>
      <c r="O921" s="76">
        <v>0</v>
      </c>
      <c r="P921" s="76">
        <v>9.99</v>
      </c>
      <c r="Q921" s="91">
        <v>0</v>
      </c>
      <c r="R921" s="76">
        <v>0</v>
      </c>
      <c r="S921" s="76">
        <v>1.8</v>
      </c>
      <c r="T921" s="76">
        <f>STOCK[[#This Row],[Costo Unitario (USD)]]+STOCK[[#This Row],[Costo Envío (USD)]]+STOCK[[#This Row],[Comisión 10%]]</f>
        <v>13.79</v>
      </c>
      <c r="U921" s="76">
        <f>STOCK[[#This Row],[Costo total]]*1.5</f>
        <v>20.685</v>
      </c>
      <c r="V921" s="76">
        <v>20</v>
      </c>
      <c r="W921" s="76">
        <f>STOCK[[#This Row],[Precio Final]]-STOCK[[#This Row],[Costo total]]</f>
        <v>6.21</v>
      </c>
      <c r="X921" s="76">
        <f>STOCK[[#This Row],[Ganancia Unitaria]]*STOCK[[#This Row],[Salidas]]</f>
        <v>6.21</v>
      </c>
      <c r="Y921" s="76" t="s">
        <v>1820</v>
      </c>
      <c r="AA921" s="76">
        <f>STOCK[[#This Row],[Costo total]]*STOCK[[#This Row],[Entradas]]</f>
        <v>13.79</v>
      </c>
      <c r="AB921" s="76">
        <f>STOCK[[#This Row],[Stock Actual]]*STOCK[[#This Row],[Costo total]]</f>
        <v>0</v>
      </c>
    </row>
    <row r="922" s="77" customFormat="1" ht="50" hidden="1" customHeight="1" spans="1:28">
      <c r="A922" s="77" t="s">
        <v>1843</v>
      </c>
      <c r="B922" s="6"/>
      <c r="C922" s="77" t="s">
        <v>30</v>
      </c>
      <c r="D922" s="77" t="s">
        <v>1817</v>
      </c>
      <c r="E922" s="77" t="s">
        <v>1844</v>
      </c>
      <c r="F922" s="77" t="s">
        <v>47</v>
      </c>
      <c r="G922" s="77" t="s">
        <v>1294</v>
      </c>
      <c r="H922" s="77">
        <f>STOCK[[#This Row],[Precio Final]]</f>
        <v>30</v>
      </c>
      <c r="I922" s="77">
        <f>STOCK[[#This Row],[Precio Venta Ideal (x1.5)]]</f>
        <v>25.935</v>
      </c>
      <c r="J922" s="92">
        <v>1</v>
      </c>
      <c r="K922" s="92">
        <f>SUMIFS(VENTAS[Cantidad],VENTAS[Código del producto Vendido],STOCK[[#This Row],[Code]])</f>
        <v>0</v>
      </c>
      <c r="L922" s="92">
        <f>STOCK[[#This Row],[Entradas]]-STOCK[[#This Row],[Salidas]]</f>
        <v>1</v>
      </c>
      <c r="M922" s="77">
        <f>STOCK[[#This Row],[Precio Final]]*10%</f>
        <v>3</v>
      </c>
      <c r="N922" s="77">
        <v>0</v>
      </c>
      <c r="O922" s="77">
        <v>0</v>
      </c>
      <c r="P922" s="77">
        <v>12.49</v>
      </c>
      <c r="Q922" s="92">
        <v>0</v>
      </c>
      <c r="R922" s="77">
        <v>0</v>
      </c>
      <c r="S922" s="77">
        <v>1.8</v>
      </c>
      <c r="T922" s="76">
        <f>STOCK[[#This Row],[Costo Unitario (USD)]]+STOCK[[#This Row],[Costo Envío (USD)]]+STOCK[[#This Row],[Comisión 10%]]</f>
        <v>17.29</v>
      </c>
      <c r="U922" s="77">
        <f>STOCK[[#This Row],[Costo total]]*1.5</f>
        <v>25.935</v>
      </c>
      <c r="V922" s="77">
        <v>30</v>
      </c>
      <c r="W922" s="77">
        <f>STOCK[[#This Row],[Precio Final]]-STOCK[[#This Row],[Costo total]]</f>
        <v>12.71</v>
      </c>
      <c r="X922" s="77">
        <f>STOCK[[#This Row],[Ganancia Unitaria]]*STOCK[[#This Row],[Salidas]]</f>
        <v>0</v>
      </c>
      <c r="Y922" s="77" t="s">
        <v>1820</v>
      </c>
      <c r="AA922" s="77">
        <f>STOCK[[#This Row],[Costo total]]*STOCK[[#This Row],[Entradas]]</f>
        <v>17.29</v>
      </c>
      <c r="AB922" s="77">
        <f>STOCK[[#This Row],[Stock Actual]]*STOCK[[#This Row],[Costo total]]</f>
        <v>17.29</v>
      </c>
    </row>
    <row r="923" s="76" customFormat="1" ht="50" hidden="1" customHeight="1" spans="1:28">
      <c r="A923" s="76" t="s">
        <v>1845</v>
      </c>
      <c r="B923" s="6"/>
      <c r="C923" s="76" t="s">
        <v>30</v>
      </c>
      <c r="D923" s="76" t="s">
        <v>487</v>
      </c>
      <c r="E923" s="76" t="s">
        <v>1846</v>
      </c>
      <c r="F923" s="76" t="s">
        <v>524</v>
      </c>
      <c r="G923" s="76" t="s">
        <v>1294</v>
      </c>
      <c r="H923" s="76">
        <f>STOCK[[#This Row],[Precio Final]]</f>
        <v>25</v>
      </c>
      <c r="I923" s="76">
        <f>STOCK[[#This Row],[Precio Venta Ideal (x1.5)]]</f>
        <v>23.685</v>
      </c>
      <c r="J923" s="91">
        <v>2</v>
      </c>
      <c r="K923" s="91">
        <f>SUMIFS(VENTAS[Cantidad],VENTAS[Código del producto Vendido],STOCK[[#This Row],[Code]])</f>
        <v>1</v>
      </c>
      <c r="L923" s="91">
        <f>STOCK[[#This Row],[Entradas]]-STOCK[[#This Row],[Salidas]]</f>
        <v>1</v>
      </c>
      <c r="M923" s="76">
        <f>STOCK[[#This Row],[Precio Final]]*10%</f>
        <v>2.5</v>
      </c>
      <c r="N923" s="76">
        <v>0</v>
      </c>
      <c r="O923" s="76">
        <v>0</v>
      </c>
      <c r="P923" s="76">
        <v>11.49</v>
      </c>
      <c r="Q923" s="91">
        <v>0</v>
      </c>
      <c r="R923" s="76">
        <v>0</v>
      </c>
      <c r="S923" s="76">
        <v>1.8</v>
      </c>
      <c r="T923" s="76">
        <f>STOCK[[#This Row],[Costo Unitario (USD)]]+STOCK[[#This Row],[Costo Envío (USD)]]+STOCK[[#This Row],[Comisión 10%]]</f>
        <v>15.79</v>
      </c>
      <c r="U923" s="76">
        <f>STOCK[[#This Row],[Costo total]]*1.5</f>
        <v>23.685</v>
      </c>
      <c r="V923" s="76">
        <v>25</v>
      </c>
      <c r="W923" s="76">
        <f>STOCK[[#This Row],[Precio Final]]-STOCK[[#This Row],[Costo total]]</f>
        <v>9.21</v>
      </c>
      <c r="X923" s="76">
        <f>STOCK[[#This Row],[Ganancia Unitaria]]*STOCK[[#This Row],[Salidas]]</f>
        <v>9.21</v>
      </c>
      <c r="Y923" s="76" t="s">
        <v>1820</v>
      </c>
      <c r="AA923" s="76">
        <f>STOCK[[#This Row],[Costo total]]*STOCK[[#This Row],[Entradas]]</f>
        <v>31.58</v>
      </c>
      <c r="AB923" s="76">
        <f>STOCK[[#This Row],[Stock Actual]]*STOCK[[#This Row],[Costo total]]</f>
        <v>15.79</v>
      </c>
    </row>
    <row r="924" s="77" customFormat="1" ht="50" hidden="1" customHeight="1" spans="1:28">
      <c r="A924" s="77" t="s">
        <v>1847</v>
      </c>
      <c r="B924" s="6"/>
      <c r="C924" s="77" t="s">
        <v>30</v>
      </c>
      <c r="D924" s="77" t="s">
        <v>487</v>
      </c>
      <c r="E924" s="77" t="s">
        <v>1848</v>
      </c>
      <c r="F924" s="77" t="s">
        <v>524</v>
      </c>
      <c r="G924" s="77" t="s">
        <v>1294</v>
      </c>
      <c r="H924" s="77">
        <f>STOCK[[#This Row],[Precio Final]]</f>
        <v>18</v>
      </c>
      <c r="I924" s="77">
        <f>STOCK[[#This Row],[Precio Venta Ideal (x1.5)]]</f>
        <v>18.885</v>
      </c>
      <c r="J924" s="92">
        <v>2</v>
      </c>
      <c r="K924" s="92">
        <f>SUMIFS(VENTAS[Cantidad],VENTAS[Código del producto Vendido],STOCK[[#This Row],[Code]])</f>
        <v>1</v>
      </c>
      <c r="L924" s="92">
        <f>STOCK[[#This Row],[Entradas]]-STOCK[[#This Row],[Salidas]]</f>
        <v>1</v>
      </c>
      <c r="M924" s="77">
        <f>STOCK[[#This Row],[Precio Final]]*10%</f>
        <v>1.8</v>
      </c>
      <c r="N924" s="77">
        <v>0</v>
      </c>
      <c r="O924" s="77">
        <v>0</v>
      </c>
      <c r="P924" s="77">
        <v>8.99</v>
      </c>
      <c r="Q924" s="92">
        <v>0</v>
      </c>
      <c r="R924" s="77">
        <v>0</v>
      </c>
      <c r="S924" s="77">
        <v>1.8</v>
      </c>
      <c r="T924" s="76">
        <f>STOCK[[#This Row],[Costo Unitario (USD)]]+STOCK[[#This Row],[Costo Envío (USD)]]+STOCK[[#This Row],[Comisión 10%]]</f>
        <v>12.59</v>
      </c>
      <c r="U924" s="77">
        <f>STOCK[[#This Row],[Costo total]]*1.5</f>
        <v>18.885</v>
      </c>
      <c r="V924" s="77">
        <v>18</v>
      </c>
      <c r="W924" s="77">
        <f>STOCK[[#This Row],[Precio Final]]-STOCK[[#This Row],[Costo total]]</f>
        <v>5.41</v>
      </c>
      <c r="X924" s="77">
        <f>STOCK[[#This Row],[Ganancia Unitaria]]*STOCK[[#This Row],[Salidas]]</f>
        <v>5.41</v>
      </c>
      <c r="Y924" s="77" t="s">
        <v>1820</v>
      </c>
      <c r="AA924" s="77">
        <f>STOCK[[#This Row],[Costo total]]*STOCK[[#This Row],[Entradas]]</f>
        <v>25.18</v>
      </c>
      <c r="AB924" s="77">
        <f>STOCK[[#This Row],[Stock Actual]]*STOCK[[#This Row],[Costo total]]</f>
        <v>12.59</v>
      </c>
    </row>
    <row r="925" s="76" customFormat="1" ht="50" hidden="1" customHeight="1" spans="1:28">
      <c r="A925" s="76" t="s">
        <v>1849</v>
      </c>
      <c r="B925" s="6"/>
      <c r="C925" s="76" t="s">
        <v>30</v>
      </c>
      <c r="D925" s="76" t="s">
        <v>487</v>
      </c>
      <c r="E925" s="76" t="s">
        <v>1850</v>
      </c>
      <c r="F925" s="76" t="s">
        <v>524</v>
      </c>
      <c r="G925" s="76" t="s">
        <v>1294</v>
      </c>
      <c r="H925" s="76">
        <f>STOCK[[#This Row],[Precio Final]]</f>
        <v>18</v>
      </c>
      <c r="I925" s="76">
        <f>STOCK[[#This Row],[Precio Venta Ideal (x1.5)]]</f>
        <v>20.385</v>
      </c>
      <c r="J925" s="91">
        <v>2</v>
      </c>
      <c r="K925" s="91">
        <f>SUMIFS(VENTAS[Cantidad],VENTAS[Código del producto Vendido],STOCK[[#This Row],[Code]])</f>
        <v>0</v>
      </c>
      <c r="L925" s="91">
        <f>STOCK[[#This Row],[Entradas]]-STOCK[[#This Row],[Salidas]]</f>
        <v>2</v>
      </c>
      <c r="M925" s="76">
        <f>STOCK[[#This Row],[Precio Final]]*10%</f>
        <v>1.8</v>
      </c>
      <c r="N925" s="76">
        <v>0</v>
      </c>
      <c r="O925" s="76">
        <v>0</v>
      </c>
      <c r="P925" s="76">
        <v>9.99</v>
      </c>
      <c r="Q925" s="91">
        <v>0</v>
      </c>
      <c r="R925" s="76">
        <v>0</v>
      </c>
      <c r="S925" s="76">
        <v>1.8</v>
      </c>
      <c r="T925" s="76">
        <f>STOCK[[#This Row],[Costo Unitario (USD)]]+STOCK[[#This Row],[Costo Envío (USD)]]+STOCK[[#This Row],[Comisión 10%]]</f>
        <v>13.59</v>
      </c>
      <c r="U925" s="76">
        <f>STOCK[[#This Row],[Costo total]]*1.5</f>
        <v>20.385</v>
      </c>
      <c r="V925" s="76">
        <v>18</v>
      </c>
      <c r="W925" s="76">
        <f>STOCK[[#This Row],[Precio Final]]-STOCK[[#This Row],[Costo total]]</f>
        <v>4.41</v>
      </c>
      <c r="X925" s="76">
        <f>STOCK[[#This Row],[Ganancia Unitaria]]*STOCK[[#This Row],[Salidas]]</f>
        <v>0</v>
      </c>
      <c r="Y925" s="76" t="s">
        <v>1820</v>
      </c>
      <c r="AA925" s="76">
        <f>STOCK[[#This Row],[Costo total]]*STOCK[[#This Row],[Entradas]]</f>
        <v>27.18</v>
      </c>
      <c r="AB925" s="76">
        <f>STOCK[[#This Row],[Stock Actual]]*STOCK[[#This Row],[Costo total]]</f>
        <v>27.18</v>
      </c>
    </row>
    <row r="926" s="77" customFormat="1" ht="50" hidden="1" customHeight="1" spans="1:28">
      <c r="A926" s="77" t="s">
        <v>1851</v>
      </c>
      <c r="B926" s="6"/>
      <c r="C926" s="77" t="s">
        <v>30</v>
      </c>
      <c r="D926" s="77" t="s">
        <v>487</v>
      </c>
      <c r="E926" s="77" t="s">
        <v>1852</v>
      </c>
      <c r="F926" s="77" t="s">
        <v>1853</v>
      </c>
      <c r="G926" s="77" t="s">
        <v>1294</v>
      </c>
      <c r="H926" s="77">
        <f>STOCK[[#This Row],[Precio Final]]</f>
        <v>20</v>
      </c>
      <c r="I926" s="77">
        <f>STOCK[[#This Row],[Precio Venta Ideal (x1.5)]]</f>
        <v>19.185</v>
      </c>
      <c r="J926" s="92">
        <v>2</v>
      </c>
      <c r="K926" s="92">
        <f>SUMIFS(VENTAS[Cantidad],VENTAS[Código del producto Vendido],STOCK[[#This Row],[Code]])</f>
        <v>2</v>
      </c>
      <c r="L926" s="92">
        <f>STOCK[[#This Row],[Entradas]]-STOCK[[#This Row],[Salidas]]</f>
        <v>0</v>
      </c>
      <c r="M926" s="77">
        <f>STOCK[[#This Row],[Precio Final]]*10%</f>
        <v>2</v>
      </c>
      <c r="N926" s="77">
        <v>0</v>
      </c>
      <c r="O926" s="77">
        <v>0</v>
      </c>
      <c r="P926" s="77">
        <v>8.99</v>
      </c>
      <c r="Q926" s="92">
        <v>0</v>
      </c>
      <c r="R926" s="77">
        <v>0</v>
      </c>
      <c r="S926" s="77">
        <v>1.8</v>
      </c>
      <c r="T926" s="76">
        <f>STOCK[[#This Row],[Costo Unitario (USD)]]+STOCK[[#This Row],[Costo Envío (USD)]]+STOCK[[#This Row],[Comisión 10%]]</f>
        <v>12.79</v>
      </c>
      <c r="U926" s="77">
        <f>STOCK[[#This Row],[Costo total]]*1.5</f>
        <v>19.185</v>
      </c>
      <c r="V926" s="77">
        <v>20</v>
      </c>
      <c r="W926" s="77">
        <f>STOCK[[#This Row],[Precio Final]]-STOCK[[#This Row],[Costo total]]</f>
        <v>7.21</v>
      </c>
      <c r="X926" s="77">
        <f>STOCK[[#This Row],[Ganancia Unitaria]]*STOCK[[#This Row],[Salidas]]</f>
        <v>14.42</v>
      </c>
      <c r="Y926" s="77" t="s">
        <v>1820</v>
      </c>
      <c r="AA926" s="77">
        <f>STOCK[[#This Row],[Costo total]]*STOCK[[#This Row],[Entradas]]</f>
        <v>25.58</v>
      </c>
      <c r="AB926" s="77">
        <f>STOCK[[#This Row],[Stock Actual]]*STOCK[[#This Row],[Costo total]]</f>
        <v>0</v>
      </c>
    </row>
    <row r="927" s="76" customFormat="1" ht="50" hidden="1" customHeight="1" spans="1:28">
      <c r="A927" s="76" t="s">
        <v>1854</v>
      </c>
      <c r="B927" s="6"/>
      <c r="C927" s="76" t="s">
        <v>30</v>
      </c>
      <c r="D927" s="76" t="s">
        <v>487</v>
      </c>
      <c r="E927" s="76" t="s">
        <v>1855</v>
      </c>
      <c r="F927" s="76" t="s">
        <v>1853</v>
      </c>
      <c r="G927" s="76" t="s">
        <v>1294</v>
      </c>
      <c r="H927" s="76">
        <f>STOCK[[#This Row],[Precio Final]]</f>
        <v>20</v>
      </c>
      <c r="I927" s="76">
        <f>STOCK[[#This Row],[Precio Venta Ideal (x1.5)]]</f>
        <v>19.185</v>
      </c>
      <c r="J927" s="91">
        <v>2</v>
      </c>
      <c r="K927" s="91">
        <f>SUMIFS(VENTAS[Cantidad],VENTAS[Código del producto Vendido],STOCK[[#This Row],[Code]])</f>
        <v>2</v>
      </c>
      <c r="L927" s="91">
        <f>STOCK[[#This Row],[Entradas]]-STOCK[[#This Row],[Salidas]]</f>
        <v>0</v>
      </c>
      <c r="M927" s="76">
        <f>STOCK[[#This Row],[Precio Final]]*10%</f>
        <v>2</v>
      </c>
      <c r="N927" s="76">
        <v>0</v>
      </c>
      <c r="O927" s="76">
        <v>0</v>
      </c>
      <c r="P927" s="76">
        <v>8.99</v>
      </c>
      <c r="Q927" s="91">
        <v>0</v>
      </c>
      <c r="R927" s="76">
        <v>0</v>
      </c>
      <c r="S927" s="76">
        <v>1.8</v>
      </c>
      <c r="T927" s="76">
        <f>STOCK[[#This Row],[Costo Unitario (USD)]]+STOCK[[#This Row],[Costo Envío (USD)]]+STOCK[[#This Row],[Comisión 10%]]</f>
        <v>12.79</v>
      </c>
      <c r="U927" s="76">
        <f>STOCK[[#This Row],[Costo total]]*1.5</f>
        <v>19.185</v>
      </c>
      <c r="V927" s="76">
        <v>20</v>
      </c>
      <c r="W927" s="76">
        <f>STOCK[[#This Row],[Precio Final]]-STOCK[[#This Row],[Costo total]]</f>
        <v>7.21</v>
      </c>
      <c r="X927" s="76">
        <f>STOCK[[#This Row],[Ganancia Unitaria]]*STOCK[[#This Row],[Salidas]]</f>
        <v>14.42</v>
      </c>
      <c r="Y927" s="76" t="s">
        <v>1820</v>
      </c>
      <c r="AA927" s="76">
        <f>STOCK[[#This Row],[Costo total]]*STOCK[[#This Row],[Entradas]]</f>
        <v>25.58</v>
      </c>
      <c r="AB927" s="76">
        <f>STOCK[[#This Row],[Stock Actual]]*STOCK[[#This Row],[Costo total]]</f>
        <v>0</v>
      </c>
    </row>
    <row r="928" s="77" customFormat="1" ht="50" hidden="1" customHeight="1" spans="1:28">
      <c r="A928" s="77" t="s">
        <v>1856</v>
      </c>
      <c r="B928" s="6"/>
      <c r="C928" s="77" t="s">
        <v>30</v>
      </c>
      <c r="D928" s="77" t="s">
        <v>487</v>
      </c>
      <c r="E928" s="77" t="s">
        <v>1857</v>
      </c>
      <c r="F928" s="77" t="s">
        <v>524</v>
      </c>
      <c r="G928" s="77" t="s">
        <v>1294</v>
      </c>
      <c r="H928" s="77">
        <f>STOCK[[#This Row],[Precio Final]]</f>
        <v>20</v>
      </c>
      <c r="I928" s="77">
        <f>STOCK[[#This Row],[Precio Venta Ideal (x1.5)]]</f>
        <v>20.685</v>
      </c>
      <c r="J928" s="92">
        <v>2</v>
      </c>
      <c r="K928" s="92">
        <f>SUMIFS(VENTAS[Cantidad],VENTAS[Código del producto Vendido],STOCK[[#This Row],[Code]])</f>
        <v>0</v>
      </c>
      <c r="L928" s="92">
        <f>STOCK[[#This Row],[Entradas]]-STOCK[[#This Row],[Salidas]]</f>
        <v>2</v>
      </c>
      <c r="M928" s="77">
        <f>STOCK[[#This Row],[Precio Final]]*10%</f>
        <v>2</v>
      </c>
      <c r="N928" s="77">
        <v>0</v>
      </c>
      <c r="O928" s="77">
        <v>0</v>
      </c>
      <c r="P928" s="77">
        <v>9.99</v>
      </c>
      <c r="Q928" s="92">
        <v>0</v>
      </c>
      <c r="R928" s="77">
        <v>0</v>
      </c>
      <c r="S928" s="77">
        <v>1.8</v>
      </c>
      <c r="T928" s="76">
        <f>STOCK[[#This Row],[Costo Unitario (USD)]]+STOCK[[#This Row],[Costo Envío (USD)]]+STOCK[[#This Row],[Comisión 10%]]</f>
        <v>13.79</v>
      </c>
      <c r="U928" s="77">
        <f>STOCK[[#This Row],[Costo total]]*1.5</f>
        <v>20.685</v>
      </c>
      <c r="V928" s="77">
        <v>20</v>
      </c>
      <c r="W928" s="77">
        <f>STOCK[[#This Row],[Precio Final]]-STOCK[[#This Row],[Costo total]]</f>
        <v>6.21</v>
      </c>
      <c r="X928" s="77">
        <f>STOCK[[#This Row],[Ganancia Unitaria]]*STOCK[[#This Row],[Salidas]]</f>
        <v>0</v>
      </c>
      <c r="Y928" s="77" t="s">
        <v>1820</v>
      </c>
      <c r="AA928" s="77">
        <f>STOCK[[#This Row],[Costo total]]*STOCK[[#This Row],[Entradas]]</f>
        <v>27.58</v>
      </c>
      <c r="AB928" s="77">
        <f>STOCK[[#This Row],[Stock Actual]]*STOCK[[#This Row],[Costo total]]</f>
        <v>27.58</v>
      </c>
    </row>
    <row r="929" s="76" customFormat="1" ht="50" hidden="1" customHeight="1" spans="1:28">
      <c r="A929" s="76" t="s">
        <v>1858</v>
      </c>
      <c r="B929" s="6"/>
      <c r="C929" s="76" t="s">
        <v>30</v>
      </c>
      <c r="D929" s="76" t="s">
        <v>487</v>
      </c>
      <c r="E929" s="76" t="s">
        <v>1859</v>
      </c>
      <c r="F929" s="76" t="s">
        <v>1853</v>
      </c>
      <c r="G929" s="76" t="s">
        <v>1294</v>
      </c>
      <c r="H929" s="76">
        <f>STOCK[[#This Row],[Precio Final]]</f>
        <v>25</v>
      </c>
      <c r="I929" s="76">
        <f>STOCK[[#This Row],[Precio Venta Ideal (x1.5)]]</f>
        <v>27.435</v>
      </c>
      <c r="J929" s="91">
        <v>2</v>
      </c>
      <c r="K929" s="91">
        <f>SUMIFS(VENTAS[Cantidad],VENTAS[Código del producto Vendido],STOCK[[#This Row],[Code]])</f>
        <v>2</v>
      </c>
      <c r="L929" s="91">
        <f>STOCK[[#This Row],[Entradas]]-STOCK[[#This Row],[Salidas]]</f>
        <v>0</v>
      </c>
      <c r="M929" s="76">
        <f>STOCK[[#This Row],[Precio Final]]*10%</f>
        <v>2.5</v>
      </c>
      <c r="N929" s="76">
        <v>0</v>
      </c>
      <c r="O929" s="76">
        <v>0</v>
      </c>
      <c r="P929" s="76">
        <v>13.99</v>
      </c>
      <c r="Q929" s="91">
        <v>0</v>
      </c>
      <c r="R929" s="76">
        <v>0</v>
      </c>
      <c r="S929" s="76">
        <v>1.8</v>
      </c>
      <c r="T929" s="76">
        <f>STOCK[[#This Row],[Costo Unitario (USD)]]+STOCK[[#This Row],[Costo Envío (USD)]]+STOCK[[#This Row],[Comisión 10%]]</f>
        <v>18.29</v>
      </c>
      <c r="U929" s="76">
        <f>STOCK[[#This Row],[Costo total]]*1.5</f>
        <v>27.435</v>
      </c>
      <c r="V929" s="76">
        <v>25</v>
      </c>
      <c r="W929" s="76">
        <f>STOCK[[#This Row],[Precio Final]]-STOCK[[#This Row],[Costo total]]</f>
        <v>6.71</v>
      </c>
      <c r="X929" s="76">
        <f>STOCK[[#This Row],[Ganancia Unitaria]]*STOCK[[#This Row],[Salidas]]</f>
        <v>13.42</v>
      </c>
      <c r="Y929" s="76" t="s">
        <v>1820</v>
      </c>
      <c r="AA929" s="76">
        <f>STOCK[[#This Row],[Costo total]]*STOCK[[#This Row],[Entradas]]</f>
        <v>36.58</v>
      </c>
      <c r="AB929" s="76">
        <f>STOCK[[#This Row],[Stock Actual]]*STOCK[[#This Row],[Costo total]]</f>
        <v>0</v>
      </c>
    </row>
    <row r="930" s="77" customFormat="1" ht="50" hidden="1" customHeight="1" spans="1:28">
      <c r="A930" s="77" t="s">
        <v>1860</v>
      </c>
      <c r="B930" s="6"/>
      <c r="C930" s="77" t="s">
        <v>30</v>
      </c>
      <c r="D930" s="77" t="s">
        <v>487</v>
      </c>
      <c r="E930" s="77" t="s">
        <v>1861</v>
      </c>
      <c r="F930" s="77" t="s">
        <v>1853</v>
      </c>
      <c r="G930" s="77" t="s">
        <v>1294</v>
      </c>
      <c r="H930" s="77">
        <f>STOCK[[#This Row],[Precio Final]]</f>
        <v>25</v>
      </c>
      <c r="I930" s="77">
        <f>STOCK[[#This Row],[Precio Venta Ideal (x1.5)]]</f>
        <v>27.435</v>
      </c>
      <c r="J930" s="92">
        <v>2</v>
      </c>
      <c r="K930" s="92">
        <f>SUMIFS(VENTAS[Cantidad],VENTAS[Código del producto Vendido],STOCK[[#This Row],[Code]])</f>
        <v>2</v>
      </c>
      <c r="L930" s="92">
        <f>STOCK[[#This Row],[Entradas]]-STOCK[[#This Row],[Salidas]]</f>
        <v>0</v>
      </c>
      <c r="M930" s="77">
        <f>STOCK[[#This Row],[Precio Final]]*10%</f>
        <v>2.5</v>
      </c>
      <c r="N930" s="77">
        <v>0</v>
      </c>
      <c r="O930" s="77">
        <v>0</v>
      </c>
      <c r="P930" s="77">
        <v>13.99</v>
      </c>
      <c r="Q930" s="92">
        <v>0</v>
      </c>
      <c r="R930" s="77">
        <v>0</v>
      </c>
      <c r="S930" s="77">
        <v>1.8</v>
      </c>
      <c r="T930" s="76">
        <f>STOCK[[#This Row],[Costo Unitario (USD)]]+STOCK[[#This Row],[Costo Envío (USD)]]+STOCK[[#This Row],[Comisión 10%]]</f>
        <v>18.29</v>
      </c>
      <c r="U930" s="77">
        <f>STOCK[[#This Row],[Costo total]]*1.5</f>
        <v>27.435</v>
      </c>
      <c r="V930" s="77">
        <v>25</v>
      </c>
      <c r="W930" s="77">
        <f>STOCK[[#This Row],[Precio Final]]-STOCK[[#This Row],[Costo total]]</f>
        <v>6.71</v>
      </c>
      <c r="X930" s="77">
        <f>STOCK[[#This Row],[Ganancia Unitaria]]*STOCK[[#This Row],[Salidas]]</f>
        <v>13.42</v>
      </c>
      <c r="Y930" s="77" t="s">
        <v>1820</v>
      </c>
      <c r="AA930" s="77">
        <f>STOCK[[#This Row],[Costo total]]*STOCK[[#This Row],[Entradas]]</f>
        <v>36.58</v>
      </c>
      <c r="AB930" s="77">
        <f>STOCK[[#This Row],[Stock Actual]]*STOCK[[#This Row],[Costo total]]</f>
        <v>0</v>
      </c>
    </row>
    <row r="931" s="76" customFormat="1" ht="50" hidden="1" customHeight="1" spans="1:28">
      <c r="A931" s="76" t="s">
        <v>1862</v>
      </c>
      <c r="B931" s="6"/>
      <c r="C931" s="76" t="s">
        <v>30</v>
      </c>
      <c r="D931" s="76" t="s">
        <v>487</v>
      </c>
      <c r="E931" s="76" t="s">
        <v>1863</v>
      </c>
      <c r="F931" s="76" t="s">
        <v>524</v>
      </c>
      <c r="G931" s="76" t="s">
        <v>1294</v>
      </c>
      <c r="H931" s="76">
        <f>STOCK[[#This Row],[Precio Final]]</f>
        <v>20</v>
      </c>
      <c r="I931" s="76">
        <f>STOCK[[#This Row],[Precio Venta Ideal (x1.5)]]</f>
        <v>20.685</v>
      </c>
      <c r="J931" s="91">
        <v>2</v>
      </c>
      <c r="K931" s="91">
        <f>SUMIFS(VENTAS[Cantidad],VENTAS[Código del producto Vendido],STOCK[[#This Row],[Code]])</f>
        <v>0</v>
      </c>
      <c r="L931" s="91">
        <f>STOCK[[#This Row],[Entradas]]-STOCK[[#This Row],[Salidas]]</f>
        <v>2</v>
      </c>
      <c r="M931" s="76">
        <f>STOCK[[#This Row],[Precio Final]]*10%</f>
        <v>2</v>
      </c>
      <c r="N931" s="76">
        <v>0</v>
      </c>
      <c r="O931" s="76">
        <v>0</v>
      </c>
      <c r="P931" s="76">
        <v>9.99</v>
      </c>
      <c r="Q931" s="91">
        <v>0</v>
      </c>
      <c r="R931" s="76">
        <v>0</v>
      </c>
      <c r="S931" s="76">
        <v>1.8</v>
      </c>
      <c r="T931" s="76">
        <f>STOCK[[#This Row],[Costo Unitario (USD)]]+STOCK[[#This Row],[Costo Envío (USD)]]+STOCK[[#This Row],[Comisión 10%]]</f>
        <v>13.79</v>
      </c>
      <c r="U931" s="76">
        <f>STOCK[[#This Row],[Costo total]]*1.5</f>
        <v>20.685</v>
      </c>
      <c r="V931" s="76">
        <v>20</v>
      </c>
      <c r="W931" s="76">
        <f>STOCK[[#This Row],[Precio Final]]-STOCK[[#This Row],[Costo total]]</f>
        <v>6.21</v>
      </c>
      <c r="X931" s="76">
        <f>STOCK[[#This Row],[Ganancia Unitaria]]*STOCK[[#This Row],[Salidas]]</f>
        <v>0</v>
      </c>
      <c r="Y931" s="76" t="s">
        <v>1820</v>
      </c>
      <c r="AA931" s="76">
        <f>STOCK[[#This Row],[Costo total]]*STOCK[[#This Row],[Entradas]]</f>
        <v>27.58</v>
      </c>
      <c r="AB931" s="76">
        <f>STOCK[[#This Row],[Stock Actual]]*STOCK[[#This Row],[Costo total]]</f>
        <v>27.58</v>
      </c>
    </row>
    <row r="932" s="77" customFormat="1" ht="50" hidden="1" customHeight="1" spans="1:28">
      <c r="A932" s="77" t="s">
        <v>1864</v>
      </c>
      <c r="B932" s="6"/>
      <c r="C932" s="77" t="s">
        <v>30</v>
      </c>
      <c r="D932" s="77" t="s">
        <v>1865</v>
      </c>
      <c r="E932" s="77" t="s">
        <v>1866</v>
      </c>
      <c r="F932" s="77" t="s">
        <v>38</v>
      </c>
      <c r="G932" s="77" t="s">
        <v>1294</v>
      </c>
      <c r="H932" s="77">
        <f>STOCK[[#This Row],[Precio Final]]</f>
        <v>40</v>
      </c>
      <c r="I932" s="77">
        <f>STOCK[[#This Row],[Precio Venta Ideal (x1.5)]]</f>
        <v>42.435</v>
      </c>
      <c r="J932" s="92">
        <v>1</v>
      </c>
      <c r="K932" s="92">
        <f>SUMIFS(VENTAS[Cantidad],VENTAS[Código del producto Vendido],STOCK[[#This Row],[Code]])</f>
        <v>0</v>
      </c>
      <c r="L932" s="92">
        <f>STOCK[[#This Row],[Entradas]]-STOCK[[#This Row],[Salidas]]</f>
        <v>1</v>
      </c>
      <c r="M932" s="77">
        <f>STOCK[[#This Row],[Precio Final]]*10%</f>
        <v>4</v>
      </c>
      <c r="N932" s="77">
        <v>0</v>
      </c>
      <c r="O932" s="77">
        <v>0</v>
      </c>
      <c r="P932" s="77">
        <v>22.49</v>
      </c>
      <c r="Q932" s="92">
        <v>0</v>
      </c>
      <c r="R932" s="77">
        <v>0</v>
      </c>
      <c r="S932" s="77">
        <v>1.8</v>
      </c>
      <c r="T932" s="76">
        <f>STOCK[[#This Row],[Costo Unitario (USD)]]+STOCK[[#This Row],[Costo Envío (USD)]]+STOCK[[#This Row],[Comisión 10%]]</f>
        <v>28.29</v>
      </c>
      <c r="U932" s="77">
        <f>STOCK[[#This Row],[Costo total]]*1.5</f>
        <v>42.435</v>
      </c>
      <c r="V932" s="77">
        <v>40</v>
      </c>
      <c r="W932" s="77">
        <f>STOCK[[#This Row],[Precio Final]]-STOCK[[#This Row],[Costo total]]</f>
        <v>11.71</v>
      </c>
      <c r="X932" s="77">
        <f>STOCK[[#This Row],[Ganancia Unitaria]]*STOCK[[#This Row],[Salidas]]</f>
        <v>0</v>
      </c>
      <c r="Y932" s="77" t="s">
        <v>1820</v>
      </c>
      <c r="AA932" s="77">
        <f>STOCK[[#This Row],[Costo total]]*STOCK[[#This Row],[Entradas]]</f>
        <v>28.29</v>
      </c>
      <c r="AB932" s="77">
        <f>STOCK[[#This Row],[Stock Actual]]*STOCK[[#This Row],[Costo total]]</f>
        <v>28.29</v>
      </c>
    </row>
    <row r="933" s="76" customFormat="1" ht="50" hidden="1" customHeight="1" spans="1:28">
      <c r="A933" s="76" t="s">
        <v>1867</v>
      </c>
      <c r="B933" s="6"/>
      <c r="C933" s="76" t="s">
        <v>30</v>
      </c>
      <c r="D933" s="76" t="s">
        <v>1865</v>
      </c>
      <c r="E933" s="76" t="s">
        <v>1866</v>
      </c>
      <c r="F933" s="76" t="s">
        <v>1868</v>
      </c>
      <c r="G933" s="76" t="s">
        <v>1294</v>
      </c>
      <c r="H933" s="76">
        <f>STOCK[[#This Row],[Precio Final]]</f>
        <v>40</v>
      </c>
      <c r="I933" s="76">
        <f>STOCK[[#This Row],[Precio Venta Ideal (x1.5)]]</f>
        <v>42.435</v>
      </c>
      <c r="J933" s="91">
        <v>1</v>
      </c>
      <c r="K933" s="91">
        <f>SUMIFS(VENTAS[Cantidad],VENTAS[Código del producto Vendido],STOCK[[#This Row],[Code]])</f>
        <v>1</v>
      </c>
      <c r="L933" s="91">
        <f>STOCK[[#This Row],[Entradas]]-STOCK[[#This Row],[Salidas]]</f>
        <v>0</v>
      </c>
      <c r="M933" s="76">
        <f>STOCK[[#This Row],[Precio Final]]*10%</f>
        <v>4</v>
      </c>
      <c r="N933" s="76">
        <v>0</v>
      </c>
      <c r="O933" s="76">
        <v>0</v>
      </c>
      <c r="P933" s="76">
        <v>22.49</v>
      </c>
      <c r="Q933" s="91">
        <v>0</v>
      </c>
      <c r="R933" s="76">
        <v>0</v>
      </c>
      <c r="S933" s="76">
        <v>1.8</v>
      </c>
      <c r="T933" s="76">
        <f>STOCK[[#This Row],[Costo Unitario (USD)]]+STOCK[[#This Row],[Costo Envío (USD)]]+STOCK[[#This Row],[Comisión 10%]]</f>
        <v>28.29</v>
      </c>
      <c r="U933" s="76">
        <f>STOCK[[#This Row],[Costo total]]*1.5</f>
        <v>42.435</v>
      </c>
      <c r="V933" s="76">
        <v>40</v>
      </c>
      <c r="W933" s="76">
        <f>STOCK[[#This Row],[Precio Final]]-STOCK[[#This Row],[Costo total]]</f>
        <v>11.71</v>
      </c>
      <c r="X933" s="76">
        <f>STOCK[[#This Row],[Ganancia Unitaria]]*STOCK[[#This Row],[Salidas]]</f>
        <v>11.71</v>
      </c>
      <c r="Y933" s="76" t="s">
        <v>1820</v>
      </c>
      <c r="AA933" s="76">
        <f>STOCK[[#This Row],[Costo total]]*STOCK[[#This Row],[Entradas]]</f>
        <v>28.29</v>
      </c>
      <c r="AB933" s="76">
        <f>STOCK[[#This Row],[Stock Actual]]*STOCK[[#This Row],[Costo total]]</f>
        <v>0</v>
      </c>
    </row>
    <row r="934" s="77" customFormat="1" ht="50" hidden="1" customHeight="1" spans="1:28">
      <c r="A934" s="77" t="s">
        <v>1869</v>
      </c>
      <c r="B934" s="6"/>
      <c r="C934" s="77" t="s">
        <v>30</v>
      </c>
      <c r="D934" s="77" t="s">
        <v>1870</v>
      </c>
      <c r="E934" s="77" t="s">
        <v>1866</v>
      </c>
      <c r="F934" s="77" t="s">
        <v>1842</v>
      </c>
      <c r="G934" s="77" t="s">
        <v>1294</v>
      </c>
      <c r="H934" s="77">
        <f>STOCK[[#This Row],[Precio Final]]</f>
        <v>40</v>
      </c>
      <c r="I934" s="77">
        <f>STOCK[[#This Row],[Precio Venta Ideal (x1.5)]]</f>
        <v>42.435</v>
      </c>
      <c r="J934" s="92">
        <v>1</v>
      </c>
      <c r="K934" s="92">
        <f>SUMIFS(VENTAS[Cantidad],VENTAS[Código del producto Vendido],STOCK[[#This Row],[Code]])</f>
        <v>1</v>
      </c>
      <c r="L934" s="92">
        <f>STOCK[[#This Row],[Entradas]]-STOCK[[#This Row],[Salidas]]</f>
        <v>0</v>
      </c>
      <c r="M934" s="77">
        <f>STOCK[[#This Row],[Precio Final]]*10%</f>
        <v>4</v>
      </c>
      <c r="N934" s="77">
        <v>0</v>
      </c>
      <c r="O934" s="77">
        <v>0</v>
      </c>
      <c r="P934" s="77">
        <v>22.49</v>
      </c>
      <c r="Q934" s="92">
        <v>0</v>
      </c>
      <c r="R934" s="77">
        <v>0</v>
      </c>
      <c r="S934" s="77">
        <v>1.8</v>
      </c>
      <c r="T934" s="76">
        <f>STOCK[[#This Row],[Costo Unitario (USD)]]+STOCK[[#This Row],[Costo Envío (USD)]]+STOCK[[#This Row],[Comisión 10%]]</f>
        <v>28.29</v>
      </c>
      <c r="U934" s="77">
        <f>STOCK[[#This Row],[Costo total]]*1.5</f>
        <v>42.435</v>
      </c>
      <c r="V934" s="77">
        <v>40</v>
      </c>
      <c r="W934" s="77">
        <f>STOCK[[#This Row],[Precio Final]]-STOCK[[#This Row],[Costo total]]</f>
        <v>11.71</v>
      </c>
      <c r="X934" s="77">
        <f>STOCK[[#This Row],[Ganancia Unitaria]]*STOCK[[#This Row],[Salidas]]</f>
        <v>11.71</v>
      </c>
      <c r="Y934" s="77" t="s">
        <v>1820</v>
      </c>
      <c r="AA934" s="77">
        <f>STOCK[[#This Row],[Costo total]]*STOCK[[#This Row],[Entradas]]</f>
        <v>28.29</v>
      </c>
      <c r="AB934" s="77">
        <f>STOCK[[#This Row],[Stock Actual]]*STOCK[[#This Row],[Costo total]]</f>
        <v>0</v>
      </c>
    </row>
    <row r="935" s="76" customFormat="1" ht="50" hidden="1" customHeight="1" spans="1:28">
      <c r="A935" s="76" t="s">
        <v>1871</v>
      </c>
      <c r="B935" s="6"/>
      <c r="C935" s="76" t="s">
        <v>30</v>
      </c>
      <c r="D935" s="76" t="s">
        <v>1865</v>
      </c>
      <c r="E935" s="76" t="s">
        <v>1866</v>
      </c>
      <c r="F935" s="76" t="s">
        <v>47</v>
      </c>
      <c r="G935" s="76" t="s">
        <v>1294</v>
      </c>
      <c r="H935" s="76">
        <f>STOCK[[#This Row],[Precio Final]]</f>
        <v>40</v>
      </c>
      <c r="I935" s="76">
        <f>STOCK[[#This Row],[Precio Venta Ideal (x1.5)]]</f>
        <v>42.435</v>
      </c>
      <c r="J935" s="91">
        <v>1</v>
      </c>
      <c r="K935" s="91">
        <f>SUMIFS(VENTAS[Cantidad],VENTAS[Código del producto Vendido],STOCK[[#This Row],[Code]])</f>
        <v>0</v>
      </c>
      <c r="L935" s="91">
        <f>STOCK[[#This Row],[Entradas]]-STOCK[[#This Row],[Salidas]]</f>
        <v>1</v>
      </c>
      <c r="M935" s="76">
        <f>STOCK[[#This Row],[Precio Final]]*10%</f>
        <v>4</v>
      </c>
      <c r="N935" s="76">
        <v>0</v>
      </c>
      <c r="O935" s="76">
        <v>0</v>
      </c>
      <c r="P935" s="76">
        <v>22.49</v>
      </c>
      <c r="Q935" s="91">
        <v>0</v>
      </c>
      <c r="R935" s="76">
        <v>0</v>
      </c>
      <c r="S935" s="76">
        <v>1.8</v>
      </c>
      <c r="T935" s="76">
        <f>STOCK[[#This Row],[Costo Unitario (USD)]]+STOCK[[#This Row],[Costo Envío (USD)]]+STOCK[[#This Row],[Comisión 10%]]</f>
        <v>28.29</v>
      </c>
      <c r="U935" s="76">
        <f>STOCK[[#This Row],[Costo total]]*1.5</f>
        <v>42.435</v>
      </c>
      <c r="V935" s="76">
        <v>40</v>
      </c>
      <c r="W935" s="76">
        <f>STOCK[[#This Row],[Precio Final]]-STOCK[[#This Row],[Costo total]]</f>
        <v>11.71</v>
      </c>
      <c r="X935" s="76">
        <f>STOCK[[#This Row],[Ganancia Unitaria]]*STOCK[[#This Row],[Salidas]]</f>
        <v>0</v>
      </c>
      <c r="Y935" s="76" t="s">
        <v>1820</v>
      </c>
      <c r="AA935" s="76">
        <f>STOCK[[#This Row],[Costo total]]*STOCK[[#This Row],[Entradas]]</f>
        <v>28.29</v>
      </c>
      <c r="AB935" s="76">
        <f>STOCK[[#This Row],[Stock Actual]]*STOCK[[#This Row],[Costo total]]</f>
        <v>28.29</v>
      </c>
    </row>
    <row r="936" s="77" customFormat="1" ht="50" hidden="1" customHeight="1" spans="1:28">
      <c r="A936" s="77" t="s">
        <v>1872</v>
      </c>
      <c r="B936" s="6"/>
      <c r="C936" s="77" t="s">
        <v>30</v>
      </c>
      <c r="D936" s="77" t="s">
        <v>42</v>
      </c>
      <c r="E936" s="77" t="s">
        <v>1873</v>
      </c>
      <c r="F936" s="77" t="s">
        <v>40</v>
      </c>
      <c r="G936" s="77" t="s">
        <v>1874</v>
      </c>
      <c r="H936" s="77">
        <f>STOCK[[#This Row],[Precio Final]]</f>
        <v>30</v>
      </c>
      <c r="I936" s="77">
        <f>STOCK[[#This Row],[Precio Venta Ideal (x1.5)]]</f>
        <v>33.57</v>
      </c>
      <c r="J936" s="92">
        <v>1</v>
      </c>
      <c r="K936" s="92">
        <f>SUMIFS(VENTAS[Cantidad],VENTAS[Código del producto Vendido],STOCK[[#This Row],[Code]])</f>
        <v>0</v>
      </c>
      <c r="L936" s="92">
        <f>STOCK[[#This Row],[Entradas]]-STOCK[[#This Row],[Salidas]]</f>
        <v>1</v>
      </c>
      <c r="M936" s="77">
        <f>STOCK[[#This Row],[Precio Final]]*10%</f>
        <v>3</v>
      </c>
      <c r="N936" s="77">
        <v>0</v>
      </c>
      <c r="O936" s="77">
        <v>0</v>
      </c>
      <c r="P936" s="77">
        <v>17.88</v>
      </c>
      <c r="Q936" s="92">
        <v>0</v>
      </c>
      <c r="R936" s="77">
        <v>0</v>
      </c>
      <c r="S936" s="77">
        <v>1.5</v>
      </c>
      <c r="T936" s="76">
        <f>STOCK[[#This Row],[Costo Unitario (USD)]]+STOCK[[#This Row],[Costo Envío (USD)]]+STOCK[[#This Row],[Comisión 10%]]</f>
        <v>22.38</v>
      </c>
      <c r="U936" s="77">
        <f>STOCK[[#This Row],[Costo total]]*1.5</f>
        <v>33.57</v>
      </c>
      <c r="V936" s="77">
        <v>30</v>
      </c>
      <c r="W936" s="77">
        <f>STOCK[[#This Row],[Precio Final]]-STOCK[[#This Row],[Costo total]]</f>
        <v>7.62</v>
      </c>
      <c r="X936" s="77">
        <f>STOCK[[#This Row],[Ganancia Unitaria]]*STOCK[[#This Row],[Salidas]]</f>
        <v>0</v>
      </c>
      <c r="Y936" s="77" t="s">
        <v>1875</v>
      </c>
      <c r="AA936" s="77">
        <f>STOCK[[#This Row],[Costo total]]*STOCK[[#This Row],[Entradas]]</f>
        <v>22.38</v>
      </c>
      <c r="AB936" s="77">
        <f>STOCK[[#This Row],[Stock Actual]]*STOCK[[#This Row],[Costo total]]</f>
        <v>22.38</v>
      </c>
    </row>
    <row r="937" s="76" customFormat="1" ht="50" hidden="1" customHeight="1" spans="1:28">
      <c r="A937" s="76" t="s">
        <v>1876</v>
      </c>
      <c r="B937" s="6"/>
      <c r="C937" s="76" t="s">
        <v>30</v>
      </c>
      <c r="D937" s="76" t="s">
        <v>1817</v>
      </c>
      <c r="E937" s="76" t="s">
        <v>1873</v>
      </c>
      <c r="F937" s="76" t="s">
        <v>47</v>
      </c>
      <c r="G937" s="76" t="s">
        <v>1874</v>
      </c>
      <c r="H937" s="76">
        <f>STOCK[[#This Row],[Precio Final]]</f>
        <v>32</v>
      </c>
      <c r="I937" s="76">
        <f>STOCK[[#This Row],[Precio Venta Ideal (x1.5)]]</f>
        <v>33.87</v>
      </c>
      <c r="J937" s="91">
        <v>1</v>
      </c>
      <c r="K937" s="91">
        <f>SUMIFS(VENTAS[Cantidad],VENTAS[Código del producto Vendido],STOCK[[#This Row],[Code]])</f>
        <v>1</v>
      </c>
      <c r="L937" s="91">
        <f>STOCK[[#This Row],[Entradas]]-STOCK[[#This Row],[Salidas]]</f>
        <v>0</v>
      </c>
      <c r="M937" s="76">
        <f>STOCK[[#This Row],[Precio Final]]*10%</f>
        <v>3.2</v>
      </c>
      <c r="N937" s="76">
        <v>0</v>
      </c>
      <c r="O937" s="76">
        <v>0</v>
      </c>
      <c r="P937" s="76">
        <v>17.88</v>
      </c>
      <c r="Q937" s="91">
        <v>0</v>
      </c>
      <c r="R937" s="76">
        <v>0</v>
      </c>
      <c r="S937" s="76">
        <v>1.5</v>
      </c>
      <c r="T937" s="76">
        <f>STOCK[[#This Row],[Costo Unitario (USD)]]+STOCK[[#This Row],[Costo Envío (USD)]]+STOCK[[#This Row],[Comisión 10%]]</f>
        <v>22.58</v>
      </c>
      <c r="U937" s="76">
        <f>STOCK[[#This Row],[Costo total]]*1.5</f>
        <v>33.87</v>
      </c>
      <c r="V937" s="76">
        <v>32</v>
      </c>
      <c r="W937" s="76">
        <f>STOCK[[#This Row],[Precio Final]]-STOCK[[#This Row],[Costo total]]</f>
        <v>9.42</v>
      </c>
      <c r="X937" s="76">
        <f>STOCK[[#This Row],[Ganancia Unitaria]]*STOCK[[#This Row],[Salidas]]</f>
        <v>9.42</v>
      </c>
      <c r="Y937" s="76" t="s">
        <v>1875</v>
      </c>
      <c r="AA937" s="76">
        <f>STOCK[[#This Row],[Costo total]]*STOCK[[#This Row],[Entradas]]</f>
        <v>22.58</v>
      </c>
      <c r="AB937" s="76">
        <f>STOCK[[#This Row],[Stock Actual]]*STOCK[[#This Row],[Costo total]]</f>
        <v>0</v>
      </c>
    </row>
    <row r="938" s="77" customFormat="1" ht="50" hidden="1" customHeight="1" spans="1:28">
      <c r="A938" s="77" t="s">
        <v>1877</v>
      </c>
      <c r="B938" s="6"/>
      <c r="C938" s="77" t="s">
        <v>30</v>
      </c>
      <c r="D938" s="77" t="s">
        <v>42</v>
      </c>
      <c r="E938" s="77" t="s">
        <v>1873</v>
      </c>
      <c r="F938" s="77" t="s">
        <v>44</v>
      </c>
      <c r="G938" s="77" t="s">
        <v>1874</v>
      </c>
      <c r="H938" s="77">
        <f>STOCK[[#This Row],[Precio Final]]</f>
        <v>30</v>
      </c>
      <c r="I938" s="77">
        <f>STOCK[[#This Row],[Precio Venta Ideal (x1.5)]]</f>
        <v>33.57</v>
      </c>
      <c r="J938" s="92">
        <v>2</v>
      </c>
      <c r="K938" s="92">
        <f>SUMIFS(VENTAS[Cantidad],VENTAS[Código del producto Vendido],STOCK[[#This Row],[Code]])</f>
        <v>0</v>
      </c>
      <c r="L938" s="92">
        <f>STOCK[[#This Row],[Entradas]]-STOCK[[#This Row],[Salidas]]</f>
        <v>2</v>
      </c>
      <c r="M938" s="77">
        <f>STOCK[[#This Row],[Precio Final]]*10%</f>
        <v>3</v>
      </c>
      <c r="N938" s="77">
        <v>0</v>
      </c>
      <c r="O938" s="77">
        <v>0</v>
      </c>
      <c r="P938" s="77">
        <v>17.88</v>
      </c>
      <c r="Q938" s="92">
        <v>0</v>
      </c>
      <c r="R938" s="77">
        <v>0</v>
      </c>
      <c r="S938" s="77">
        <v>1.5</v>
      </c>
      <c r="T938" s="76">
        <f>STOCK[[#This Row],[Costo Unitario (USD)]]+STOCK[[#This Row],[Costo Envío (USD)]]+STOCK[[#This Row],[Comisión 10%]]</f>
        <v>22.38</v>
      </c>
      <c r="U938" s="77">
        <f>STOCK[[#This Row],[Costo total]]*1.5</f>
        <v>33.57</v>
      </c>
      <c r="V938" s="77">
        <v>30</v>
      </c>
      <c r="W938" s="77">
        <f>STOCK[[#This Row],[Precio Final]]-STOCK[[#This Row],[Costo total]]</f>
        <v>7.62</v>
      </c>
      <c r="X938" s="77">
        <f>STOCK[[#This Row],[Ganancia Unitaria]]*STOCK[[#This Row],[Salidas]]</f>
        <v>0</v>
      </c>
      <c r="Y938" s="77" t="s">
        <v>1875</v>
      </c>
      <c r="AA938" s="77">
        <f>STOCK[[#This Row],[Costo total]]*STOCK[[#This Row],[Entradas]]</f>
        <v>44.76</v>
      </c>
      <c r="AB938" s="77">
        <f>STOCK[[#This Row],[Stock Actual]]*STOCK[[#This Row],[Costo total]]</f>
        <v>44.76</v>
      </c>
    </row>
    <row r="939" s="76" customFormat="1" ht="50" hidden="1" customHeight="1" spans="1:28">
      <c r="A939" s="76" t="s">
        <v>1878</v>
      </c>
      <c r="B939" s="6"/>
      <c r="C939" s="76" t="s">
        <v>30</v>
      </c>
      <c r="D939" s="76" t="s">
        <v>1879</v>
      </c>
      <c r="E939" s="76" t="s">
        <v>1880</v>
      </c>
      <c r="F939" s="76" t="s">
        <v>1881</v>
      </c>
      <c r="G939" s="76" t="s">
        <v>1874</v>
      </c>
      <c r="H939" s="76">
        <f>STOCK[[#This Row],[Precio Final]]</f>
        <v>35</v>
      </c>
      <c r="I939" s="76">
        <f>STOCK[[#This Row],[Precio Venta Ideal (x1.5)]]</f>
        <v>39.72</v>
      </c>
      <c r="J939" s="91">
        <v>1</v>
      </c>
      <c r="K939" s="91">
        <f>SUMIFS(VENTAS[Cantidad],VENTAS[Código del producto Vendido],STOCK[[#This Row],[Code]])</f>
        <v>1</v>
      </c>
      <c r="L939" s="91">
        <f>STOCK[[#This Row],[Entradas]]-STOCK[[#This Row],[Salidas]]</f>
        <v>0</v>
      </c>
      <c r="M939" s="76">
        <f>STOCK[[#This Row],[Precio Final]]*10%</f>
        <v>3.5</v>
      </c>
      <c r="N939" s="76">
        <v>0</v>
      </c>
      <c r="O939" s="76">
        <v>0</v>
      </c>
      <c r="P939" s="76">
        <v>20.48</v>
      </c>
      <c r="Q939" s="91">
        <v>0</v>
      </c>
      <c r="R939" s="76">
        <v>0</v>
      </c>
      <c r="S939" s="76">
        <v>2.5</v>
      </c>
      <c r="T939" s="76">
        <f>STOCK[[#This Row],[Costo Unitario (USD)]]+STOCK[[#This Row],[Costo Envío (USD)]]+STOCK[[#This Row],[Comisión 10%]]</f>
        <v>26.48</v>
      </c>
      <c r="U939" s="76">
        <f>STOCK[[#This Row],[Costo total]]*1.5</f>
        <v>39.72</v>
      </c>
      <c r="V939" s="76">
        <v>35</v>
      </c>
      <c r="W939" s="76">
        <f>STOCK[[#This Row],[Precio Final]]-STOCK[[#This Row],[Costo total]]</f>
        <v>8.52</v>
      </c>
      <c r="X939" s="76">
        <f>STOCK[[#This Row],[Ganancia Unitaria]]*STOCK[[#This Row],[Salidas]]</f>
        <v>8.52</v>
      </c>
      <c r="Y939" s="76" t="s">
        <v>1875</v>
      </c>
      <c r="AA939" s="76">
        <f>STOCK[[#This Row],[Costo total]]*STOCK[[#This Row],[Entradas]]</f>
        <v>26.48</v>
      </c>
      <c r="AB939" s="76">
        <f>STOCK[[#This Row],[Stock Actual]]*STOCK[[#This Row],[Costo total]]</f>
        <v>0</v>
      </c>
    </row>
    <row r="940" s="77" customFormat="1" ht="50" hidden="1" customHeight="1" spans="1:28">
      <c r="A940" s="77" t="s">
        <v>1882</v>
      </c>
      <c r="B940" s="6"/>
      <c r="C940" s="77" t="s">
        <v>30</v>
      </c>
      <c r="D940" s="77" t="s">
        <v>1879</v>
      </c>
      <c r="E940" s="77" t="s">
        <v>1883</v>
      </c>
      <c r="F940" s="77" t="s">
        <v>1881</v>
      </c>
      <c r="G940" s="77" t="s">
        <v>1874</v>
      </c>
      <c r="H940" s="77">
        <f>STOCK[[#This Row],[Precio Final]]</f>
        <v>35</v>
      </c>
      <c r="I940" s="77">
        <f>STOCK[[#This Row],[Precio Venta Ideal (x1.5)]]</f>
        <v>39.72</v>
      </c>
      <c r="J940" s="92">
        <v>1</v>
      </c>
      <c r="K940" s="92">
        <f>SUMIFS(VENTAS[Cantidad],VENTAS[Código del producto Vendido],STOCK[[#This Row],[Code]])</f>
        <v>1</v>
      </c>
      <c r="L940" s="92">
        <f>STOCK[[#This Row],[Entradas]]-STOCK[[#This Row],[Salidas]]</f>
        <v>0</v>
      </c>
      <c r="M940" s="77">
        <f>STOCK[[#This Row],[Precio Final]]*10%</f>
        <v>3.5</v>
      </c>
      <c r="N940" s="77">
        <v>0</v>
      </c>
      <c r="O940" s="77">
        <v>0</v>
      </c>
      <c r="P940" s="77">
        <v>20.48</v>
      </c>
      <c r="Q940" s="92">
        <v>0</v>
      </c>
      <c r="R940" s="77">
        <v>0</v>
      </c>
      <c r="S940" s="77">
        <v>2.5</v>
      </c>
      <c r="T940" s="76">
        <f>STOCK[[#This Row],[Costo Unitario (USD)]]+STOCK[[#This Row],[Costo Envío (USD)]]+STOCK[[#This Row],[Comisión 10%]]</f>
        <v>26.48</v>
      </c>
      <c r="U940" s="77">
        <f>STOCK[[#This Row],[Costo total]]*1.5</f>
        <v>39.72</v>
      </c>
      <c r="V940" s="77">
        <v>35</v>
      </c>
      <c r="W940" s="77">
        <f>STOCK[[#This Row],[Precio Final]]-STOCK[[#This Row],[Costo total]]</f>
        <v>8.52</v>
      </c>
      <c r="X940" s="77">
        <f>STOCK[[#This Row],[Ganancia Unitaria]]*STOCK[[#This Row],[Salidas]]</f>
        <v>8.52</v>
      </c>
      <c r="Y940" s="77" t="s">
        <v>1875</v>
      </c>
      <c r="AA940" s="77">
        <f>STOCK[[#This Row],[Costo total]]*STOCK[[#This Row],[Entradas]]</f>
        <v>26.48</v>
      </c>
      <c r="AB940" s="77">
        <f>STOCK[[#This Row],[Stock Actual]]*STOCK[[#This Row],[Costo total]]</f>
        <v>0</v>
      </c>
    </row>
    <row r="941" s="76" customFormat="1" ht="50" hidden="1" customHeight="1" spans="1:28">
      <c r="A941" s="76" t="s">
        <v>1884</v>
      </c>
      <c r="B941" s="6"/>
      <c r="C941" s="76" t="s">
        <v>30</v>
      </c>
      <c r="D941" s="76" t="s">
        <v>1817</v>
      </c>
      <c r="E941" s="76" t="s">
        <v>1885</v>
      </c>
      <c r="F941" s="76" t="s">
        <v>1886</v>
      </c>
      <c r="G941" s="76" t="s">
        <v>1874</v>
      </c>
      <c r="H941" s="76">
        <f>STOCK[[#This Row],[Precio Final]]</f>
        <v>35</v>
      </c>
      <c r="I941" s="76">
        <f>STOCK[[#This Row],[Precio Venta Ideal (x1.5)]]</f>
        <v>40.755</v>
      </c>
      <c r="J941" s="91">
        <v>1</v>
      </c>
      <c r="K941" s="91">
        <f>SUMIFS(VENTAS[Cantidad],VENTAS[Código del producto Vendido],STOCK[[#This Row],[Code]])</f>
        <v>1</v>
      </c>
      <c r="L941" s="91">
        <f>STOCK[[#This Row],[Entradas]]-STOCK[[#This Row],[Salidas]]</f>
        <v>0</v>
      </c>
      <c r="M941" s="76">
        <f>STOCK[[#This Row],[Precio Final]]*10%</f>
        <v>3.5</v>
      </c>
      <c r="N941" s="76">
        <v>0</v>
      </c>
      <c r="O941" s="76">
        <v>0</v>
      </c>
      <c r="P941" s="76">
        <v>22.17</v>
      </c>
      <c r="Q941" s="91">
        <v>0</v>
      </c>
      <c r="R941" s="76">
        <v>0</v>
      </c>
      <c r="S941" s="76">
        <v>1.5</v>
      </c>
      <c r="T941" s="76">
        <f>STOCK[[#This Row],[Costo Unitario (USD)]]+STOCK[[#This Row],[Costo Envío (USD)]]+STOCK[[#This Row],[Comisión 10%]]</f>
        <v>27.17</v>
      </c>
      <c r="U941" s="76">
        <f>STOCK[[#This Row],[Costo total]]*1.5</f>
        <v>40.755</v>
      </c>
      <c r="V941" s="76">
        <v>35</v>
      </c>
      <c r="W941" s="76">
        <f>STOCK[[#This Row],[Precio Final]]-STOCK[[#This Row],[Costo total]]</f>
        <v>7.83</v>
      </c>
      <c r="X941" s="76">
        <f>STOCK[[#This Row],[Ganancia Unitaria]]*STOCK[[#This Row],[Salidas]]</f>
        <v>7.83</v>
      </c>
      <c r="Y941" s="76" t="s">
        <v>1875</v>
      </c>
      <c r="AA941" s="76">
        <f>STOCK[[#This Row],[Costo total]]*STOCK[[#This Row],[Entradas]]</f>
        <v>27.17</v>
      </c>
      <c r="AB941" s="76">
        <f>STOCK[[#This Row],[Stock Actual]]*STOCK[[#This Row],[Costo total]]</f>
        <v>0</v>
      </c>
    </row>
    <row r="942" s="77" customFormat="1" ht="50" hidden="1" customHeight="1" spans="1:28">
      <c r="A942" s="77" t="s">
        <v>1887</v>
      </c>
      <c r="B942" s="6"/>
      <c r="C942" s="77" t="s">
        <v>30</v>
      </c>
      <c r="D942" s="77" t="s">
        <v>42</v>
      </c>
      <c r="E942" s="77" t="s">
        <v>1888</v>
      </c>
      <c r="F942" s="77" t="s">
        <v>817</v>
      </c>
      <c r="G942" s="77" t="s">
        <v>1874</v>
      </c>
      <c r="H942" s="77">
        <f>STOCK[[#This Row],[Precio Final]]</f>
        <v>35</v>
      </c>
      <c r="I942" s="77">
        <f>STOCK[[#This Row],[Precio Venta Ideal (x1.5)]]</f>
        <v>40.23</v>
      </c>
      <c r="J942" s="92">
        <v>1</v>
      </c>
      <c r="K942" s="92">
        <f>SUMIFS(VENTAS[Cantidad],VENTAS[Código del producto Vendido],STOCK[[#This Row],[Code]])</f>
        <v>0</v>
      </c>
      <c r="L942" s="92">
        <f>STOCK[[#This Row],[Entradas]]-STOCK[[#This Row],[Salidas]]</f>
        <v>1</v>
      </c>
      <c r="M942" s="77">
        <f>STOCK[[#This Row],[Precio Final]]*10%</f>
        <v>3.5</v>
      </c>
      <c r="N942" s="77">
        <v>0</v>
      </c>
      <c r="O942" s="77">
        <v>0</v>
      </c>
      <c r="P942" s="77">
        <v>21.82</v>
      </c>
      <c r="Q942" s="92">
        <v>0</v>
      </c>
      <c r="R942" s="77">
        <v>0</v>
      </c>
      <c r="S942" s="77">
        <v>1.5</v>
      </c>
      <c r="T942" s="76">
        <f>STOCK[[#This Row],[Costo Unitario (USD)]]+STOCK[[#This Row],[Costo Envío (USD)]]+STOCK[[#This Row],[Comisión 10%]]</f>
        <v>26.82</v>
      </c>
      <c r="U942" s="77">
        <f>STOCK[[#This Row],[Costo total]]*1.5</f>
        <v>40.23</v>
      </c>
      <c r="V942" s="77">
        <v>35</v>
      </c>
      <c r="W942" s="77">
        <f>STOCK[[#This Row],[Precio Final]]-STOCK[[#This Row],[Costo total]]</f>
        <v>8.18</v>
      </c>
      <c r="X942" s="77">
        <f>STOCK[[#This Row],[Ganancia Unitaria]]*STOCK[[#This Row],[Salidas]]</f>
        <v>0</v>
      </c>
      <c r="Y942" s="77" t="s">
        <v>1875</v>
      </c>
      <c r="AA942" s="77">
        <f>STOCK[[#This Row],[Costo total]]*STOCK[[#This Row],[Entradas]]</f>
        <v>26.82</v>
      </c>
      <c r="AB942" s="77">
        <f>STOCK[[#This Row],[Stock Actual]]*STOCK[[#This Row],[Costo total]]</f>
        <v>26.82</v>
      </c>
    </row>
    <row r="943" s="76" customFormat="1" ht="50" hidden="1" customHeight="1" spans="1:28">
      <c r="A943" s="76" t="s">
        <v>1889</v>
      </c>
      <c r="B943" s="6"/>
      <c r="C943" s="76" t="s">
        <v>30</v>
      </c>
      <c r="D943" s="76" t="s">
        <v>1879</v>
      </c>
      <c r="E943" s="76" t="s">
        <v>1890</v>
      </c>
      <c r="F943" s="76" t="s">
        <v>1891</v>
      </c>
      <c r="G943" s="76" t="s">
        <v>1874</v>
      </c>
      <c r="H943" s="76">
        <f>STOCK[[#This Row],[Precio Final]]</f>
        <v>12</v>
      </c>
      <c r="I943" s="76">
        <f>STOCK[[#This Row],[Precio Venta Ideal (x1.5)]]</f>
        <v>11.55</v>
      </c>
      <c r="J943" s="91">
        <v>3</v>
      </c>
      <c r="K943" s="91">
        <f>SUMIFS(VENTAS[Cantidad],VENTAS[Código del producto Vendido],STOCK[[#This Row],[Code]])</f>
        <v>3</v>
      </c>
      <c r="L943" s="91">
        <f>STOCK[[#This Row],[Entradas]]-STOCK[[#This Row],[Salidas]]</f>
        <v>0</v>
      </c>
      <c r="M943" s="76">
        <f>STOCK[[#This Row],[Precio Final]]*10%</f>
        <v>1.2</v>
      </c>
      <c r="N943" s="76">
        <v>0</v>
      </c>
      <c r="O943" s="76">
        <v>0</v>
      </c>
      <c r="P943" s="76">
        <v>5.5</v>
      </c>
      <c r="Q943" s="91">
        <v>0</v>
      </c>
      <c r="R943" s="76">
        <v>0</v>
      </c>
      <c r="S943" s="76">
        <v>1</v>
      </c>
      <c r="T943" s="76">
        <f>STOCK[[#This Row],[Costo Unitario (USD)]]+STOCK[[#This Row],[Costo Envío (USD)]]+STOCK[[#This Row],[Comisión 10%]]</f>
        <v>7.7</v>
      </c>
      <c r="U943" s="76">
        <f>STOCK[[#This Row],[Costo total]]*1.5</f>
        <v>11.55</v>
      </c>
      <c r="V943" s="76">
        <v>12</v>
      </c>
      <c r="W943" s="76">
        <f>STOCK[[#This Row],[Precio Final]]-STOCK[[#This Row],[Costo total]]</f>
        <v>4.3</v>
      </c>
      <c r="X943" s="76">
        <f>STOCK[[#This Row],[Ganancia Unitaria]]*STOCK[[#This Row],[Salidas]]</f>
        <v>12.9</v>
      </c>
      <c r="Y943" s="76" t="s">
        <v>1875</v>
      </c>
      <c r="AA943" s="76">
        <f>STOCK[[#This Row],[Costo total]]*STOCK[[#This Row],[Entradas]]</f>
        <v>23.1</v>
      </c>
      <c r="AB943" s="76">
        <f>STOCK[[#This Row],[Stock Actual]]*STOCK[[#This Row],[Costo total]]</f>
        <v>0</v>
      </c>
    </row>
    <row r="944" s="77" customFormat="1" ht="50" hidden="1" customHeight="1" spans="1:28">
      <c r="A944" s="77" t="s">
        <v>1892</v>
      </c>
      <c r="B944" s="6"/>
      <c r="C944" s="77" t="s">
        <v>30</v>
      </c>
      <c r="D944" s="77" t="s">
        <v>1879</v>
      </c>
      <c r="E944" s="77" t="s">
        <v>1893</v>
      </c>
      <c r="F944" s="77" t="s">
        <v>1881</v>
      </c>
      <c r="G944" s="77" t="s">
        <v>1874</v>
      </c>
      <c r="H944" s="77">
        <f>STOCK[[#This Row],[Precio Final]]</f>
        <v>20</v>
      </c>
      <c r="I944" s="77">
        <f>STOCK[[#This Row],[Precio Venta Ideal (x1.5)]]</f>
        <v>22.125</v>
      </c>
      <c r="J944" s="92">
        <v>2</v>
      </c>
      <c r="K944" s="92">
        <f>SUMIFS(VENTAS[Cantidad],VENTAS[Código del producto Vendido],STOCK[[#This Row],[Code]])</f>
        <v>2</v>
      </c>
      <c r="L944" s="92">
        <f>STOCK[[#This Row],[Entradas]]-STOCK[[#This Row],[Salidas]]</f>
        <v>0</v>
      </c>
      <c r="M944" s="77">
        <f>STOCK[[#This Row],[Precio Final]]*10%</f>
        <v>2</v>
      </c>
      <c r="N944" s="77">
        <v>0</v>
      </c>
      <c r="O944" s="77">
        <v>0</v>
      </c>
      <c r="P944" s="77">
        <v>10.95</v>
      </c>
      <c r="Q944" s="92">
        <v>0</v>
      </c>
      <c r="R944" s="77">
        <v>0</v>
      </c>
      <c r="S944" s="77">
        <v>1.8</v>
      </c>
      <c r="T944" s="76">
        <f>STOCK[[#This Row],[Costo Unitario (USD)]]+STOCK[[#This Row],[Costo Envío (USD)]]+STOCK[[#This Row],[Comisión 10%]]</f>
        <v>14.75</v>
      </c>
      <c r="U944" s="77">
        <f>STOCK[[#This Row],[Costo total]]*1.5</f>
        <v>22.125</v>
      </c>
      <c r="V944" s="77">
        <v>20</v>
      </c>
      <c r="W944" s="77">
        <f>STOCK[[#This Row],[Precio Final]]-STOCK[[#This Row],[Costo total]]</f>
        <v>5.25</v>
      </c>
      <c r="X944" s="77">
        <f>STOCK[[#This Row],[Ganancia Unitaria]]*STOCK[[#This Row],[Salidas]]</f>
        <v>10.5</v>
      </c>
      <c r="Y944" s="77" t="s">
        <v>1875</v>
      </c>
      <c r="AA944" s="77">
        <f>STOCK[[#This Row],[Costo total]]*STOCK[[#This Row],[Entradas]]</f>
        <v>29.5</v>
      </c>
      <c r="AB944" s="77">
        <f>STOCK[[#This Row],[Stock Actual]]*STOCK[[#This Row],[Costo total]]</f>
        <v>0</v>
      </c>
    </row>
    <row r="945" s="76" customFormat="1" ht="50" hidden="1" customHeight="1" spans="1:28">
      <c r="A945" s="76" t="s">
        <v>1894</v>
      </c>
      <c r="B945" s="6"/>
      <c r="C945" s="76" t="s">
        <v>30</v>
      </c>
      <c r="D945" s="76" t="s">
        <v>1879</v>
      </c>
      <c r="E945" s="76" t="s">
        <v>1895</v>
      </c>
      <c r="F945" s="76" t="s">
        <v>1881</v>
      </c>
      <c r="G945" s="76" t="s">
        <v>1874</v>
      </c>
      <c r="H945" s="76">
        <f>STOCK[[#This Row],[Precio Final]]</f>
        <v>20</v>
      </c>
      <c r="I945" s="76">
        <f>STOCK[[#This Row],[Precio Venta Ideal (x1.5)]]</f>
        <v>22.125</v>
      </c>
      <c r="J945" s="91">
        <v>2</v>
      </c>
      <c r="K945" s="91">
        <f>SUMIFS(VENTAS[Cantidad],VENTAS[Código del producto Vendido],STOCK[[#This Row],[Code]])</f>
        <v>2</v>
      </c>
      <c r="L945" s="91">
        <f>STOCK[[#This Row],[Entradas]]-STOCK[[#This Row],[Salidas]]</f>
        <v>0</v>
      </c>
      <c r="M945" s="76">
        <f>STOCK[[#This Row],[Precio Final]]*10%</f>
        <v>2</v>
      </c>
      <c r="N945" s="76">
        <v>0</v>
      </c>
      <c r="O945" s="76">
        <v>0</v>
      </c>
      <c r="P945" s="76">
        <v>10.95</v>
      </c>
      <c r="Q945" s="91">
        <v>0</v>
      </c>
      <c r="R945" s="76">
        <v>0</v>
      </c>
      <c r="S945" s="76">
        <v>1.8</v>
      </c>
      <c r="T945" s="76">
        <f>STOCK[[#This Row],[Costo Unitario (USD)]]+STOCK[[#This Row],[Costo Envío (USD)]]+STOCK[[#This Row],[Comisión 10%]]</f>
        <v>14.75</v>
      </c>
      <c r="U945" s="76">
        <f>STOCK[[#This Row],[Costo total]]*1.5</f>
        <v>22.125</v>
      </c>
      <c r="V945" s="76">
        <v>20</v>
      </c>
      <c r="W945" s="76">
        <f>STOCK[[#This Row],[Precio Final]]-STOCK[[#This Row],[Costo total]]</f>
        <v>5.25</v>
      </c>
      <c r="X945" s="76">
        <f>STOCK[[#This Row],[Ganancia Unitaria]]*STOCK[[#This Row],[Salidas]]</f>
        <v>10.5</v>
      </c>
      <c r="Y945" s="76" t="s">
        <v>1875</v>
      </c>
      <c r="AA945" s="76">
        <f>STOCK[[#This Row],[Costo total]]*STOCK[[#This Row],[Entradas]]</f>
        <v>29.5</v>
      </c>
      <c r="AB945" s="76">
        <f>STOCK[[#This Row],[Stock Actual]]*STOCK[[#This Row],[Costo total]]</f>
        <v>0</v>
      </c>
    </row>
    <row r="946" s="77" customFormat="1" ht="50" hidden="1" customHeight="1" spans="1:28">
      <c r="A946" s="77" t="s">
        <v>1896</v>
      </c>
      <c r="B946" s="6"/>
      <c r="C946" s="77" t="s">
        <v>30</v>
      </c>
      <c r="D946" s="77" t="s">
        <v>1879</v>
      </c>
      <c r="E946" s="77" t="s">
        <v>1897</v>
      </c>
      <c r="F946" s="77" t="s">
        <v>1891</v>
      </c>
      <c r="G946" s="77" t="s">
        <v>1874</v>
      </c>
      <c r="H946" s="77">
        <f>STOCK[[#This Row],[Precio Final]]</f>
        <v>25</v>
      </c>
      <c r="I946" s="77">
        <f>STOCK[[#This Row],[Precio Venta Ideal (x1.5)]]</f>
        <v>22.68</v>
      </c>
      <c r="J946" s="92">
        <v>3</v>
      </c>
      <c r="K946" s="92">
        <f>SUMIFS(VENTAS[Cantidad],VENTAS[Código del producto Vendido],STOCK[[#This Row],[Code]])</f>
        <v>3</v>
      </c>
      <c r="L946" s="92">
        <f>STOCK[[#This Row],[Entradas]]-STOCK[[#This Row],[Salidas]]</f>
        <v>0</v>
      </c>
      <c r="M946" s="77">
        <f>STOCK[[#This Row],[Precio Final]]*10%</f>
        <v>2.5</v>
      </c>
      <c r="N946" s="77">
        <v>0</v>
      </c>
      <c r="O946" s="77">
        <v>0</v>
      </c>
      <c r="P946" s="77">
        <v>10.82</v>
      </c>
      <c r="Q946" s="92">
        <v>0</v>
      </c>
      <c r="R946" s="77">
        <v>0</v>
      </c>
      <c r="S946" s="77">
        <v>1.8</v>
      </c>
      <c r="T946" s="76">
        <f>STOCK[[#This Row],[Costo Unitario (USD)]]+STOCK[[#This Row],[Costo Envío (USD)]]+STOCK[[#This Row],[Comisión 10%]]</f>
        <v>15.12</v>
      </c>
      <c r="U946" s="77">
        <f>STOCK[[#This Row],[Costo total]]*1.5</f>
        <v>22.68</v>
      </c>
      <c r="V946" s="77">
        <v>25</v>
      </c>
      <c r="W946" s="77">
        <f>STOCK[[#This Row],[Precio Final]]-STOCK[[#This Row],[Costo total]]</f>
        <v>9.88</v>
      </c>
      <c r="X946" s="77">
        <f>STOCK[[#This Row],[Ganancia Unitaria]]*STOCK[[#This Row],[Salidas]]</f>
        <v>29.64</v>
      </c>
      <c r="Y946" s="77" t="s">
        <v>1875</v>
      </c>
      <c r="AA946" s="77">
        <f>STOCK[[#This Row],[Costo total]]*STOCK[[#This Row],[Entradas]]</f>
        <v>45.36</v>
      </c>
      <c r="AB946" s="77">
        <f>STOCK[[#This Row],[Stock Actual]]*STOCK[[#This Row],[Costo total]]</f>
        <v>0</v>
      </c>
    </row>
    <row r="947" s="76" customFormat="1" ht="50" hidden="1" customHeight="1" spans="1:28">
      <c r="A947" s="76" t="s">
        <v>1898</v>
      </c>
      <c r="B947" s="6"/>
      <c r="C947" s="76" t="s">
        <v>30</v>
      </c>
      <c r="D947" s="76" t="s">
        <v>1879</v>
      </c>
      <c r="E947" s="76" t="s">
        <v>1899</v>
      </c>
      <c r="F947" s="76" t="s">
        <v>524</v>
      </c>
      <c r="G947" s="76" t="s">
        <v>1874</v>
      </c>
      <c r="H947" s="76">
        <f>STOCK[[#This Row],[Precio Final]]</f>
        <v>25</v>
      </c>
      <c r="I947" s="76">
        <f>STOCK[[#This Row],[Precio Venta Ideal (x1.5)]]</f>
        <v>21.405</v>
      </c>
      <c r="J947" s="91">
        <v>3</v>
      </c>
      <c r="K947" s="91">
        <f>SUMIFS(VENTAS[Cantidad],VENTAS[Código del producto Vendido],STOCK[[#This Row],[Code]])</f>
        <v>1</v>
      </c>
      <c r="L947" s="91">
        <f>STOCK[[#This Row],[Entradas]]-STOCK[[#This Row],[Salidas]]</f>
        <v>2</v>
      </c>
      <c r="M947" s="76">
        <f>STOCK[[#This Row],[Precio Final]]*10%</f>
        <v>2.5</v>
      </c>
      <c r="N947" s="76">
        <v>0</v>
      </c>
      <c r="O947" s="76">
        <v>0</v>
      </c>
      <c r="P947" s="76">
        <v>9.97</v>
      </c>
      <c r="Q947" s="91">
        <v>0</v>
      </c>
      <c r="R947" s="76">
        <v>0</v>
      </c>
      <c r="S947" s="76">
        <v>1.8</v>
      </c>
      <c r="T947" s="76">
        <f>STOCK[[#This Row],[Costo Unitario (USD)]]+STOCK[[#This Row],[Costo Envío (USD)]]+STOCK[[#This Row],[Comisión 10%]]</f>
        <v>14.27</v>
      </c>
      <c r="U947" s="76">
        <f>STOCK[[#This Row],[Costo total]]*1.5</f>
        <v>21.405</v>
      </c>
      <c r="V947" s="76">
        <v>25</v>
      </c>
      <c r="W947" s="76">
        <f>STOCK[[#This Row],[Precio Final]]-STOCK[[#This Row],[Costo total]]</f>
        <v>10.73</v>
      </c>
      <c r="X947" s="76">
        <f>STOCK[[#This Row],[Ganancia Unitaria]]*STOCK[[#This Row],[Salidas]]</f>
        <v>10.73</v>
      </c>
      <c r="Y947" s="76" t="s">
        <v>1875</v>
      </c>
      <c r="AA947" s="76">
        <f>STOCK[[#This Row],[Costo total]]*STOCK[[#This Row],[Entradas]]</f>
        <v>42.81</v>
      </c>
      <c r="AB947" s="76">
        <f>STOCK[[#This Row],[Stock Actual]]*STOCK[[#This Row],[Costo total]]</f>
        <v>28.54</v>
      </c>
    </row>
    <row r="948" s="77" customFormat="1" ht="50" hidden="1" customHeight="1" spans="1:28">
      <c r="A948" s="77" t="s">
        <v>1900</v>
      </c>
      <c r="B948" s="6"/>
      <c r="C948" s="77" t="s">
        <v>30</v>
      </c>
      <c r="D948" s="77" t="s">
        <v>1865</v>
      </c>
      <c r="E948" s="77" t="s">
        <v>1901</v>
      </c>
      <c r="F948" s="77" t="s">
        <v>1902</v>
      </c>
      <c r="G948" s="77" t="s">
        <v>1874</v>
      </c>
      <c r="H948" s="77">
        <f>STOCK[[#This Row],[Precio Final]]</f>
        <v>14</v>
      </c>
      <c r="I948" s="77">
        <f>STOCK[[#This Row],[Precio Venta Ideal (x1.5)]]</f>
        <v>15.9</v>
      </c>
      <c r="J948" s="92">
        <v>2</v>
      </c>
      <c r="K948" s="92">
        <f>SUMIFS(VENTAS[Cantidad],VENTAS[Código del producto Vendido],STOCK[[#This Row],[Code]])</f>
        <v>2</v>
      </c>
      <c r="L948" s="92">
        <f>STOCK[[#This Row],[Entradas]]-STOCK[[#This Row],[Salidas]]</f>
        <v>0</v>
      </c>
      <c r="M948" s="77">
        <f>STOCK[[#This Row],[Precio Final]]*10%</f>
        <v>1.4</v>
      </c>
      <c r="N948" s="77">
        <v>0</v>
      </c>
      <c r="O948" s="77">
        <v>0</v>
      </c>
      <c r="P948" s="77">
        <v>8.7</v>
      </c>
      <c r="Q948" s="92">
        <v>0</v>
      </c>
      <c r="R948" s="77">
        <v>0</v>
      </c>
      <c r="S948" s="77">
        <v>0.5</v>
      </c>
      <c r="T948" s="76">
        <f>STOCK[[#This Row],[Costo Unitario (USD)]]+STOCK[[#This Row],[Costo Envío (USD)]]+STOCK[[#This Row],[Comisión 10%]]</f>
        <v>10.6</v>
      </c>
      <c r="U948" s="77">
        <f>STOCK[[#This Row],[Costo total]]*1.5</f>
        <v>15.9</v>
      </c>
      <c r="V948" s="77">
        <v>14</v>
      </c>
      <c r="W948" s="77">
        <f>STOCK[[#This Row],[Precio Final]]-STOCK[[#This Row],[Costo total]]</f>
        <v>3.4</v>
      </c>
      <c r="X948" s="77">
        <f>STOCK[[#This Row],[Ganancia Unitaria]]*STOCK[[#This Row],[Salidas]]</f>
        <v>6.8</v>
      </c>
      <c r="Y948" s="77" t="s">
        <v>1875</v>
      </c>
      <c r="AA948" s="77">
        <f>STOCK[[#This Row],[Costo total]]*STOCK[[#This Row],[Entradas]]</f>
        <v>21.2</v>
      </c>
      <c r="AB948" s="77">
        <f>STOCK[[#This Row],[Stock Actual]]*STOCK[[#This Row],[Costo total]]</f>
        <v>0</v>
      </c>
    </row>
    <row r="949" s="76" customFormat="1" ht="50" hidden="1" customHeight="1" spans="1:28">
      <c r="A949" s="76" t="s">
        <v>1903</v>
      </c>
      <c r="B949" s="6"/>
      <c r="C949" s="76" t="s">
        <v>30</v>
      </c>
      <c r="D949" s="76" t="s">
        <v>1865</v>
      </c>
      <c r="E949" s="76" t="s">
        <v>1901</v>
      </c>
      <c r="F949" s="76" t="s">
        <v>47</v>
      </c>
      <c r="G949" s="76" t="s">
        <v>1874</v>
      </c>
      <c r="H949" s="76">
        <f>STOCK[[#This Row],[Precio Final]]</f>
        <v>14</v>
      </c>
      <c r="I949" s="76">
        <f>STOCK[[#This Row],[Precio Venta Ideal (x1.5)]]</f>
        <v>15.9</v>
      </c>
      <c r="J949" s="91">
        <v>2</v>
      </c>
      <c r="K949" s="91">
        <f>SUMIFS(VENTAS[Cantidad],VENTAS[Código del producto Vendido],STOCK[[#This Row],[Code]])</f>
        <v>2</v>
      </c>
      <c r="L949" s="91">
        <f>STOCK[[#This Row],[Entradas]]-STOCK[[#This Row],[Salidas]]</f>
        <v>0</v>
      </c>
      <c r="M949" s="76">
        <f>STOCK[[#This Row],[Precio Final]]*10%</f>
        <v>1.4</v>
      </c>
      <c r="N949" s="76">
        <v>0</v>
      </c>
      <c r="O949" s="76">
        <v>0</v>
      </c>
      <c r="P949" s="76">
        <v>8.7</v>
      </c>
      <c r="Q949" s="91">
        <v>0</v>
      </c>
      <c r="R949" s="76">
        <v>0</v>
      </c>
      <c r="S949" s="76">
        <v>0.5</v>
      </c>
      <c r="T949" s="76">
        <f>STOCK[[#This Row],[Costo Unitario (USD)]]+STOCK[[#This Row],[Costo Envío (USD)]]+STOCK[[#This Row],[Comisión 10%]]</f>
        <v>10.6</v>
      </c>
      <c r="U949" s="76">
        <f>STOCK[[#This Row],[Costo total]]*1.5</f>
        <v>15.9</v>
      </c>
      <c r="V949" s="76">
        <v>14</v>
      </c>
      <c r="W949" s="76">
        <f>STOCK[[#This Row],[Precio Final]]-STOCK[[#This Row],[Costo total]]</f>
        <v>3.4</v>
      </c>
      <c r="X949" s="76">
        <f>STOCK[[#This Row],[Ganancia Unitaria]]*STOCK[[#This Row],[Salidas]]</f>
        <v>6.8</v>
      </c>
      <c r="Y949" s="76" t="s">
        <v>1875</v>
      </c>
      <c r="AA949" s="76">
        <f>STOCK[[#This Row],[Costo total]]*STOCK[[#This Row],[Entradas]]</f>
        <v>21.2</v>
      </c>
      <c r="AB949" s="76">
        <f>STOCK[[#This Row],[Stock Actual]]*STOCK[[#This Row],[Costo total]]</f>
        <v>0</v>
      </c>
    </row>
    <row r="950" s="77" customFormat="1" ht="50" hidden="1" customHeight="1" spans="1:28">
      <c r="A950" s="77" t="s">
        <v>1904</v>
      </c>
      <c r="B950" s="6"/>
      <c r="C950" s="77" t="s">
        <v>30</v>
      </c>
      <c r="D950" s="77" t="s">
        <v>1865</v>
      </c>
      <c r="E950" s="77" t="s">
        <v>1901</v>
      </c>
      <c r="F950" s="77" t="s">
        <v>44</v>
      </c>
      <c r="G950" s="77" t="s">
        <v>1874</v>
      </c>
      <c r="H950" s="77">
        <f>STOCK[[#This Row],[Precio Final]]</f>
        <v>14</v>
      </c>
      <c r="I950" s="77">
        <f>STOCK[[#This Row],[Precio Venta Ideal (x1.5)]]</f>
        <v>15.9</v>
      </c>
      <c r="J950" s="92">
        <v>2</v>
      </c>
      <c r="K950" s="92">
        <f>SUMIFS(VENTAS[Cantidad],VENTAS[Código del producto Vendido],STOCK[[#This Row],[Code]])</f>
        <v>0</v>
      </c>
      <c r="L950" s="92">
        <f>STOCK[[#This Row],[Entradas]]-STOCK[[#This Row],[Salidas]]</f>
        <v>2</v>
      </c>
      <c r="M950" s="77">
        <f>STOCK[[#This Row],[Precio Final]]*10%</f>
        <v>1.4</v>
      </c>
      <c r="N950" s="77">
        <v>0</v>
      </c>
      <c r="O950" s="77">
        <v>0</v>
      </c>
      <c r="P950" s="77">
        <v>8.7</v>
      </c>
      <c r="Q950" s="92">
        <v>0</v>
      </c>
      <c r="R950" s="77">
        <v>0</v>
      </c>
      <c r="S950" s="77">
        <v>0.5</v>
      </c>
      <c r="T950" s="76">
        <f>STOCK[[#This Row],[Costo Unitario (USD)]]+STOCK[[#This Row],[Costo Envío (USD)]]+STOCK[[#This Row],[Comisión 10%]]</f>
        <v>10.6</v>
      </c>
      <c r="U950" s="77">
        <f>STOCK[[#This Row],[Costo total]]*1.5</f>
        <v>15.9</v>
      </c>
      <c r="V950" s="77">
        <v>14</v>
      </c>
      <c r="W950" s="77">
        <f>STOCK[[#This Row],[Precio Final]]-STOCK[[#This Row],[Costo total]]</f>
        <v>3.4</v>
      </c>
      <c r="X950" s="77">
        <f>STOCK[[#This Row],[Ganancia Unitaria]]*STOCK[[#This Row],[Salidas]]</f>
        <v>0</v>
      </c>
      <c r="Y950" s="77" t="s">
        <v>1875</v>
      </c>
      <c r="AA950" s="77">
        <f>STOCK[[#This Row],[Costo total]]*STOCK[[#This Row],[Entradas]]</f>
        <v>21.2</v>
      </c>
      <c r="AB950" s="77">
        <f>STOCK[[#This Row],[Stock Actual]]*STOCK[[#This Row],[Costo total]]</f>
        <v>21.2</v>
      </c>
    </row>
    <row r="951" s="76" customFormat="1" ht="50" hidden="1" customHeight="1" spans="1:28">
      <c r="A951" s="76" t="s">
        <v>1905</v>
      </c>
      <c r="B951" s="6"/>
      <c r="C951" s="76" t="s">
        <v>30</v>
      </c>
      <c r="D951" s="76" t="s">
        <v>1879</v>
      </c>
      <c r="E951" s="76" t="s">
        <v>1906</v>
      </c>
      <c r="F951" s="76" t="s">
        <v>524</v>
      </c>
      <c r="G951" s="76" t="s">
        <v>1874</v>
      </c>
      <c r="H951" s="76">
        <f>STOCK[[#This Row],[Precio Final]]</f>
        <v>35</v>
      </c>
      <c r="I951" s="76">
        <f>STOCK[[#This Row],[Precio Venta Ideal (x1.5)]]</f>
        <v>37.47</v>
      </c>
      <c r="J951" s="91">
        <v>2</v>
      </c>
      <c r="K951" s="91">
        <f>SUMIFS(VENTAS[Cantidad],VENTAS[Código del producto Vendido],STOCK[[#This Row],[Code]])</f>
        <v>0</v>
      </c>
      <c r="L951" s="91">
        <f>STOCK[[#This Row],[Entradas]]-STOCK[[#This Row],[Salidas]]</f>
        <v>2</v>
      </c>
      <c r="M951" s="76">
        <f>STOCK[[#This Row],[Precio Final]]*10%</f>
        <v>3.5</v>
      </c>
      <c r="N951" s="76">
        <v>0</v>
      </c>
      <c r="O951" s="76">
        <v>0</v>
      </c>
      <c r="P951" s="76">
        <v>19.48</v>
      </c>
      <c r="Q951" s="91">
        <v>0</v>
      </c>
      <c r="R951" s="76">
        <v>0</v>
      </c>
      <c r="S951" s="76">
        <v>2</v>
      </c>
      <c r="T951" s="76">
        <f>STOCK[[#This Row],[Costo Unitario (USD)]]+STOCK[[#This Row],[Costo Envío (USD)]]+STOCK[[#This Row],[Comisión 10%]]</f>
        <v>24.98</v>
      </c>
      <c r="U951" s="76">
        <f>STOCK[[#This Row],[Costo total]]*1.5</f>
        <v>37.47</v>
      </c>
      <c r="V951" s="76">
        <v>35</v>
      </c>
      <c r="W951" s="76">
        <f>STOCK[[#This Row],[Precio Final]]-STOCK[[#This Row],[Costo total]]</f>
        <v>10.02</v>
      </c>
      <c r="X951" s="76">
        <f>STOCK[[#This Row],[Ganancia Unitaria]]*STOCK[[#This Row],[Salidas]]</f>
        <v>0</v>
      </c>
      <c r="Y951" s="76" t="s">
        <v>1875</v>
      </c>
      <c r="AA951" s="76">
        <f>STOCK[[#This Row],[Costo total]]*STOCK[[#This Row],[Entradas]]</f>
        <v>49.96</v>
      </c>
      <c r="AB951" s="76">
        <f>STOCK[[#This Row],[Stock Actual]]*STOCK[[#This Row],[Costo total]]</f>
        <v>49.96</v>
      </c>
    </row>
    <row r="952" s="77" customFormat="1" ht="50" hidden="1" customHeight="1" spans="1:28">
      <c r="A952" s="77" t="s">
        <v>1907</v>
      </c>
      <c r="B952" s="6"/>
      <c r="C952" s="77" t="s">
        <v>30</v>
      </c>
      <c r="D952" s="77" t="s">
        <v>1908</v>
      </c>
      <c r="E952" s="77" t="s">
        <v>1909</v>
      </c>
      <c r="F952" s="77" t="s">
        <v>1910</v>
      </c>
      <c r="G952" s="77" t="s">
        <v>1874</v>
      </c>
      <c r="H952" s="77">
        <f>STOCK[[#This Row],[Precio Final]]</f>
        <v>8</v>
      </c>
      <c r="I952" s="77">
        <f>STOCK[[#This Row],[Precio Venta Ideal (x1.5)]]</f>
        <v>7.875</v>
      </c>
      <c r="J952" s="92">
        <v>2</v>
      </c>
      <c r="K952" s="92">
        <f>SUMIFS(VENTAS[Cantidad],VENTAS[Código del producto Vendido],STOCK[[#This Row],[Code]])</f>
        <v>2</v>
      </c>
      <c r="L952" s="92">
        <f>STOCK[[#This Row],[Entradas]]-STOCK[[#This Row],[Salidas]]</f>
        <v>0</v>
      </c>
      <c r="M952" s="77">
        <f>STOCK[[#This Row],[Precio Final]]*10%</f>
        <v>0.8</v>
      </c>
      <c r="N952" s="77">
        <v>0</v>
      </c>
      <c r="O952" s="77">
        <v>0</v>
      </c>
      <c r="P952" s="77">
        <v>3.25</v>
      </c>
      <c r="Q952" s="92">
        <v>0</v>
      </c>
      <c r="R952" s="77">
        <v>0</v>
      </c>
      <c r="S952" s="77">
        <v>1.2</v>
      </c>
      <c r="T952" s="76">
        <f>STOCK[[#This Row],[Costo Unitario (USD)]]+STOCK[[#This Row],[Costo Envío (USD)]]+STOCK[[#This Row],[Comisión 10%]]</f>
        <v>5.25</v>
      </c>
      <c r="U952" s="77">
        <f>STOCK[[#This Row],[Costo total]]*1.5</f>
        <v>7.875</v>
      </c>
      <c r="V952" s="77">
        <v>8</v>
      </c>
      <c r="W952" s="77">
        <f>STOCK[[#This Row],[Precio Final]]-STOCK[[#This Row],[Costo total]]</f>
        <v>2.75</v>
      </c>
      <c r="X952" s="77">
        <f>STOCK[[#This Row],[Ganancia Unitaria]]*STOCK[[#This Row],[Salidas]]</f>
        <v>5.5</v>
      </c>
      <c r="Y952" s="77" t="s">
        <v>1875</v>
      </c>
      <c r="AA952" s="77">
        <f>STOCK[[#This Row],[Costo total]]*STOCK[[#This Row],[Entradas]]</f>
        <v>10.5</v>
      </c>
      <c r="AB952" s="77">
        <f>STOCK[[#This Row],[Stock Actual]]*STOCK[[#This Row],[Costo total]]</f>
        <v>0</v>
      </c>
    </row>
    <row r="953" s="76" customFormat="1" ht="50" hidden="1" customHeight="1" spans="1:28">
      <c r="A953" s="76" t="s">
        <v>1911</v>
      </c>
      <c r="B953" s="6"/>
      <c r="C953" s="76" t="s">
        <v>30</v>
      </c>
      <c r="D953" s="76" t="s">
        <v>1908</v>
      </c>
      <c r="E953" s="76" t="s">
        <v>1912</v>
      </c>
      <c r="F953" s="76" t="s">
        <v>1910</v>
      </c>
      <c r="G953" s="76" t="s">
        <v>1874</v>
      </c>
      <c r="H953" s="76">
        <f>STOCK[[#This Row],[Precio Final]]</f>
        <v>8</v>
      </c>
      <c r="I953" s="76">
        <f>STOCK[[#This Row],[Precio Venta Ideal (x1.5)]]</f>
        <v>7.875</v>
      </c>
      <c r="J953" s="91">
        <v>2</v>
      </c>
      <c r="K953" s="91">
        <f>SUMIFS(VENTAS[Cantidad],VENTAS[Código del producto Vendido],STOCK[[#This Row],[Code]])</f>
        <v>2</v>
      </c>
      <c r="L953" s="91">
        <f>STOCK[[#This Row],[Entradas]]-STOCK[[#This Row],[Salidas]]</f>
        <v>0</v>
      </c>
      <c r="M953" s="76">
        <f>STOCK[[#This Row],[Precio Final]]*10%</f>
        <v>0.8</v>
      </c>
      <c r="N953" s="76">
        <v>0</v>
      </c>
      <c r="O953" s="76">
        <v>0</v>
      </c>
      <c r="P953" s="76">
        <v>3.25</v>
      </c>
      <c r="Q953" s="91">
        <v>0</v>
      </c>
      <c r="R953" s="76">
        <v>0</v>
      </c>
      <c r="S953" s="76">
        <v>1.2</v>
      </c>
      <c r="T953" s="76">
        <f>STOCK[[#This Row],[Costo Unitario (USD)]]+STOCK[[#This Row],[Costo Envío (USD)]]+STOCK[[#This Row],[Comisión 10%]]</f>
        <v>5.25</v>
      </c>
      <c r="U953" s="76">
        <f>STOCK[[#This Row],[Costo total]]*1.5</f>
        <v>7.875</v>
      </c>
      <c r="V953" s="76">
        <v>8</v>
      </c>
      <c r="W953" s="76">
        <f>STOCK[[#This Row],[Precio Final]]-STOCK[[#This Row],[Costo total]]</f>
        <v>2.75</v>
      </c>
      <c r="X953" s="76">
        <f>STOCK[[#This Row],[Ganancia Unitaria]]*STOCK[[#This Row],[Salidas]]</f>
        <v>5.5</v>
      </c>
      <c r="Y953" s="76" t="s">
        <v>1875</v>
      </c>
      <c r="AA953" s="76">
        <f>STOCK[[#This Row],[Costo total]]*STOCK[[#This Row],[Entradas]]</f>
        <v>10.5</v>
      </c>
      <c r="AB953" s="76">
        <f>STOCK[[#This Row],[Stock Actual]]*STOCK[[#This Row],[Costo total]]</f>
        <v>0</v>
      </c>
    </row>
    <row r="954" s="77" customFormat="1" ht="50" hidden="1" customHeight="1" spans="1:28">
      <c r="A954" s="77" t="s">
        <v>1913</v>
      </c>
      <c r="B954" s="6"/>
      <c r="C954" s="77" t="s">
        <v>30</v>
      </c>
      <c r="D954" s="77" t="s">
        <v>1908</v>
      </c>
      <c r="E954" s="77" t="s">
        <v>1914</v>
      </c>
      <c r="F954" s="77" t="s">
        <v>1910</v>
      </c>
      <c r="G954" s="77" t="s">
        <v>1874</v>
      </c>
      <c r="H954" s="77">
        <f>STOCK[[#This Row],[Precio Final]]</f>
        <v>8</v>
      </c>
      <c r="I954" s="77">
        <f>STOCK[[#This Row],[Precio Venta Ideal (x1.5)]]</f>
        <v>8.49</v>
      </c>
      <c r="J954" s="92">
        <v>2</v>
      </c>
      <c r="K954" s="92">
        <f>SUMIFS(VENTAS[Cantidad],VENTAS[Código del producto Vendido],STOCK[[#This Row],[Code]])</f>
        <v>2</v>
      </c>
      <c r="L954" s="92">
        <f>STOCK[[#This Row],[Entradas]]-STOCK[[#This Row],[Salidas]]</f>
        <v>0</v>
      </c>
      <c r="M954" s="77">
        <f>STOCK[[#This Row],[Precio Final]]*10%</f>
        <v>0.8</v>
      </c>
      <c r="N954" s="77">
        <v>0</v>
      </c>
      <c r="O954" s="77">
        <v>0</v>
      </c>
      <c r="P954" s="77">
        <v>3.66</v>
      </c>
      <c r="Q954" s="92">
        <v>0</v>
      </c>
      <c r="R954" s="77">
        <v>0</v>
      </c>
      <c r="S954" s="77">
        <v>1.2</v>
      </c>
      <c r="T954" s="76">
        <f>STOCK[[#This Row],[Costo Unitario (USD)]]+STOCK[[#This Row],[Costo Envío (USD)]]+STOCK[[#This Row],[Comisión 10%]]</f>
        <v>5.66</v>
      </c>
      <c r="U954" s="77">
        <f>STOCK[[#This Row],[Costo total]]*1.5</f>
        <v>8.49</v>
      </c>
      <c r="V954" s="77">
        <v>8</v>
      </c>
      <c r="W954" s="77">
        <f>STOCK[[#This Row],[Precio Final]]-STOCK[[#This Row],[Costo total]]</f>
        <v>2.34</v>
      </c>
      <c r="X954" s="77">
        <f>STOCK[[#This Row],[Ganancia Unitaria]]*STOCK[[#This Row],[Salidas]]</f>
        <v>4.68</v>
      </c>
      <c r="Y954" s="77" t="s">
        <v>1875</v>
      </c>
      <c r="AA954" s="77">
        <f>STOCK[[#This Row],[Costo total]]*STOCK[[#This Row],[Entradas]]</f>
        <v>11.32</v>
      </c>
      <c r="AB954" s="77">
        <f>STOCK[[#This Row],[Stock Actual]]*STOCK[[#This Row],[Costo total]]</f>
        <v>0</v>
      </c>
    </row>
    <row r="955" s="76" customFormat="1" ht="50" hidden="1" customHeight="1" spans="1:28">
      <c r="A955" s="76" t="s">
        <v>1915</v>
      </c>
      <c r="B955" s="6"/>
      <c r="C955" s="76" t="s">
        <v>30</v>
      </c>
      <c r="D955" s="76" t="s">
        <v>1916</v>
      </c>
      <c r="E955" s="76" t="s">
        <v>1917</v>
      </c>
      <c r="F955" s="76" t="s">
        <v>1918</v>
      </c>
      <c r="G955" s="76" t="s">
        <v>34</v>
      </c>
      <c r="H955" s="76">
        <f>STOCK[[#This Row],[Precio Final]]</f>
        <v>0</v>
      </c>
      <c r="I955" s="76">
        <f>STOCK[[#This Row],[Precio Venta Ideal (x1.5)]]</f>
        <v>17.415</v>
      </c>
      <c r="J955" s="91">
        <v>0</v>
      </c>
      <c r="K955" s="91">
        <f>SUMIFS(VENTAS[Cantidad],VENTAS[Código del producto Vendido],STOCK[[#This Row],[Code]])</f>
        <v>0</v>
      </c>
      <c r="L955" s="91">
        <f>STOCK[[#This Row],[Entradas]]-STOCK[[#This Row],[Salidas]]</f>
        <v>0</v>
      </c>
      <c r="M955" s="76">
        <f>STOCK[[#This Row],[Precio Final]]*10%</f>
        <v>0</v>
      </c>
      <c r="N955" s="76">
        <v>0</v>
      </c>
      <c r="O955" s="76">
        <v>0</v>
      </c>
      <c r="P955" s="76">
        <v>11.61</v>
      </c>
      <c r="Q955" s="91">
        <v>0</v>
      </c>
      <c r="R955" s="76">
        <v>0</v>
      </c>
      <c r="S955" s="76">
        <v>0</v>
      </c>
      <c r="T955" s="76">
        <f>STOCK[[#This Row],[Costo Unitario (USD)]]+STOCK[[#This Row],[Costo Envío (USD)]]+STOCK[[#This Row],[Comisión 10%]]</f>
        <v>11.61</v>
      </c>
      <c r="U955" s="76">
        <f>STOCK[[#This Row],[Costo total]]*1.5</f>
        <v>17.415</v>
      </c>
      <c r="W955" s="76">
        <f>STOCK[[#This Row],[Precio Final]]-STOCK[[#This Row],[Costo total]]</f>
        <v>-11.61</v>
      </c>
      <c r="X955" s="76">
        <f>STOCK[[#This Row],[Ganancia Unitaria]]*STOCK[[#This Row],[Salidas]]</f>
        <v>0</v>
      </c>
      <c r="Y955" s="76" t="s">
        <v>1919</v>
      </c>
      <c r="AA955" s="76">
        <f>STOCK[[#This Row],[Costo total]]*STOCK[[#This Row],[Entradas]]</f>
        <v>0</v>
      </c>
      <c r="AB955" s="76">
        <f>STOCK[[#This Row],[Stock Actual]]*STOCK[[#This Row],[Costo total]]</f>
        <v>0</v>
      </c>
    </row>
    <row r="956" s="77" customFormat="1" ht="50" hidden="1" customHeight="1" spans="1:28">
      <c r="A956" s="77" t="s">
        <v>1920</v>
      </c>
      <c r="B956" s="6"/>
      <c r="C956" s="77" t="s">
        <v>30</v>
      </c>
      <c r="D956" s="77" t="s">
        <v>1921</v>
      </c>
      <c r="E956" s="77" t="s">
        <v>1917</v>
      </c>
      <c r="F956" s="77" t="s">
        <v>1922</v>
      </c>
      <c r="G956" s="77" t="s">
        <v>34</v>
      </c>
      <c r="H956" s="77">
        <f>STOCK[[#This Row],[Precio Final]]</f>
        <v>30</v>
      </c>
      <c r="I956" s="77">
        <f>STOCK[[#This Row],[Precio Venta Ideal (x1.5)]]</f>
        <v>21.915</v>
      </c>
      <c r="J956" s="92">
        <v>1</v>
      </c>
      <c r="K956" s="92">
        <f>SUMIFS(VENTAS[Cantidad],VENTAS[Código del producto Vendido],STOCK[[#This Row],[Code]])</f>
        <v>1</v>
      </c>
      <c r="L956" s="92">
        <f>STOCK[[#This Row],[Entradas]]-STOCK[[#This Row],[Salidas]]</f>
        <v>0</v>
      </c>
      <c r="M956" s="77">
        <f>STOCK[[#This Row],[Precio Final]]*10%</f>
        <v>3</v>
      </c>
      <c r="N956" s="77">
        <v>0</v>
      </c>
      <c r="O956" s="77">
        <v>0</v>
      </c>
      <c r="P956" s="77">
        <v>11.61</v>
      </c>
      <c r="Q956" s="92">
        <v>0</v>
      </c>
      <c r="R956" s="77">
        <v>0</v>
      </c>
      <c r="S956" s="77">
        <v>0</v>
      </c>
      <c r="T956" s="76">
        <f>STOCK[[#This Row],[Costo Unitario (USD)]]+STOCK[[#This Row],[Costo Envío (USD)]]+STOCK[[#This Row],[Comisión 10%]]</f>
        <v>14.61</v>
      </c>
      <c r="U956" s="77">
        <f>STOCK[[#This Row],[Costo total]]*1.5</f>
        <v>21.915</v>
      </c>
      <c r="V956" s="77">
        <v>30</v>
      </c>
      <c r="W956" s="77">
        <f>STOCK[[#This Row],[Precio Final]]-STOCK[[#This Row],[Costo total]]</f>
        <v>15.39</v>
      </c>
      <c r="X956" s="77">
        <f>STOCK[[#This Row],[Ganancia Unitaria]]*STOCK[[#This Row],[Salidas]]</f>
        <v>15.39</v>
      </c>
      <c r="Y956" s="77" t="s">
        <v>1919</v>
      </c>
      <c r="AA956" s="77">
        <f>STOCK[[#This Row],[Costo total]]*STOCK[[#This Row],[Entradas]]</f>
        <v>14.61</v>
      </c>
      <c r="AB956" s="77">
        <f>STOCK[[#This Row],[Stock Actual]]*STOCK[[#This Row],[Costo total]]</f>
        <v>0</v>
      </c>
    </row>
    <row r="957" s="76" customFormat="1" ht="50" hidden="1" customHeight="1" spans="1:28">
      <c r="A957" s="76" t="s">
        <v>1923</v>
      </c>
      <c r="B957" s="6"/>
      <c r="C957" s="76" t="s">
        <v>30</v>
      </c>
      <c r="D957" s="76" t="s">
        <v>42</v>
      </c>
      <c r="E957" s="76" t="s">
        <v>1924</v>
      </c>
      <c r="F957" s="76" t="s">
        <v>60</v>
      </c>
      <c r="G957" s="76" t="s">
        <v>34</v>
      </c>
      <c r="H957" s="76">
        <f>STOCK[[#This Row],[Precio Final]]</f>
        <v>30</v>
      </c>
      <c r="I957" s="76">
        <f>STOCK[[#This Row],[Precio Venta Ideal (x1.5)]]</f>
        <v>21.915</v>
      </c>
      <c r="J957" s="91">
        <v>1</v>
      </c>
      <c r="K957" s="91">
        <f>SUMIFS(VENTAS[Cantidad],VENTAS[Código del producto Vendido],STOCK[[#This Row],[Code]])</f>
        <v>1</v>
      </c>
      <c r="L957" s="91">
        <f>STOCK[[#This Row],[Entradas]]-STOCK[[#This Row],[Salidas]]</f>
        <v>0</v>
      </c>
      <c r="M957" s="76">
        <f>STOCK[[#This Row],[Precio Final]]*10%</f>
        <v>3</v>
      </c>
      <c r="N957" s="76">
        <v>0</v>
      </c>
      <c r="O957" s="76">
        <v>0</v>
      </c>
      <c r="P957" s="76">
        <v>11.61</v>
      </c>
      <c r="Q957" s="91">
        <v>0</v>
      </c>
      <c r="R957" s="76">
        <v>0</v>
      </c>
      <c r="S957" s="76">
        <v>0</v>
      </c>
      <c r="T957" s="76">
        <f>STOCK[[#This Row],[Costo Unitario (USD)]]+STOCK[[#This Row],[Costo Envío (USD)]]+STOCK[[#This Row],[Comisión 10%]]</f>
        <v>14.61</v>
      </c>
      <c r="U957" s="76">
        <f>STOCK[[#This Row],[Costo total]]*1.5</f>
        <v>21.915</v>
      </c>
      <c r="V957" s="76">
        <v>30</v>
      </c>
      <c r="W957" s="76">
        <f>STOCK[[#This Row],[Precio Final]]-STOCK[[#This Row],[Costo total]]</f>
        <v>15.39</v>
      </c>
      <c r="X957" s="76">
        <f>STOCK[[#This Row],[Ganancia Unitaria]]*STOCK[[#This Row],[Salidas]]</f>
        <v>15.39</v>
      </c>
      <c r="Y957" s="76" t="s">
        <v>1919</v>
      </c>
      <c r="AA957" s="76">
        <f>STOCK[[#This Row],[Costo total]]*STOCK[[#This Row],[Entradas]]</f>
        <v>14.61</v>
      </c>
      <c r="AB957" s="76">
        <f>STOCK[[#This Row],[Stock Actual]]*STOCK[[#This Row],[Costo total]]</f>
        <v>0</v>
      </c>
    </row>
    <row r="958" s="77" customFormat="1" ht="50" hidden="1" customHeight="1" spans="1:28">
      <c r="A958" s="77" t="s">
        <v>1925</v>
      </c>
      <c r="B958" s="6"/>
      <c r="C958" s="77" t="s">
        <v>30</v>
      </c>
      <c r="D958" s="77" t="s">
        <v>1926</v>
      </c>
      <c r="E958" s="77" t="s">
        <v>1927</v>
      </c>
      <c r="F958" s="77" t="s">
        <v>1928</v>
      </c>
      <c r="G958" s="77" t="s">
        <v>34</v>
      </c>
      <c r="H958" s="77">
        <f>STOCK[[#This Row],[Precio Final]]</f>
        <v>12</v>
      </c>
      <c r="I958" s="77">
        <f>STOCK[[#This Row],[Precio Venta Ideal (x1.5)]]</f>
        <v>9.255</v>
      </c>
      <c r="J958" s="92">
        <v>2</v>
      </c>
      <c r="K958" s="92">
        <f>SUMIFS(VENTAS[Cantidad],VENTAS[Código del producto Vendido],STOCK[[#This Row],[Code]])</f>
        <v>2</v>
      </c>
      <c r="L958" s="92">
        <f>STOCK[[#This Row],[Entradas]]-STOCK[[#This Row],[Salidas]]</f>
        <v>0</v>
      </c>
      <c r="M958" s="77">
        <f>STOCK[[#This Row],[Precio Final]]*10%</f>
        <v>1.2</v>
      </c>
      <c r="N958" s="77">
        <v>0</v>
      </c>
      <c r="O958" s="77">
        <v>0</v>
      </c>
      <c r="P958" s="77">
        <v>4.97</v>
      </c>
      <c r="Q958" s="92">
        <v>0</v>
      </c>
      <c r="R958" s="77">
        <v>0</v>
      </c>
      <c r="S958" s="77">
        <v>0</v>
      </c>
      <c r="T958" s="76">
        <f>STOCK[[#This Row],[Costo Unitario (USD)]]+STOCK[[#This Row],[Costo Envío (USD)]]+STOCK[[#This Row],[Comisión 10%]]</f>
        <v>6.17</v>
      </c>
      <c r="U958" s="77">
        <f>STOCK[[#This Row],[Costo total]]*1.5</f>
        <v>9.255</v>
      </c>
      <c r="V958" s="77">
        <v>12</v>
      </c>
      <c r="W958" s="77">
        <f>STOCK[[#This Row],[Precio Final]]-STOCK[[#This Row],[Costo total]]</f>
        <v>5.83</v>
      </c>
      <c r="X958" s="77">
        <f>STOCK[[#This Row],[Ganancia Unitaria]]*STOCK[[#This Row],[Salidas]]</f>
        <v>11.66</v>
      </c>
      <c r="Y958" s="77" t="s">
        <v>1919</v>
      </c>
      <c r="AA958" s="77">
        <f>STOCK[[#This Row],[Costo total]]*STOCK[[#This Row],[Entradas]]</f>
        <v>12.34</v>
      </c>
      <c r="AB958" s="77">
        <f>STOCK[[#This Row],[Stock Actual]]*STOCK[[#This Row],[Costo total]]</f>
        <v>0</v>
      </c>
    </row>
    <row r="959" s="76" customFormat="1" ht="50" hidden="1" customHeight="1" spans="1:28">
      <c r="A959" s="76" t="s">
        <v>1929</v>
      </c>
      <c r="B959" s="6"/>
      <c r="C959" s="76" t="s">
        <v>30</v>
      </c>
      <c r="D959" s="76" t="s">
        <v>1926</v>
      </c>
      <c r="E959" s="76" t="s">
        <v>1927</v>
      </c>
      <c r="F959" s="76" t="s">
        <v>1930</v>
      </c>
      <c r="G959" s="76" t="s">
        <v>34</v>
      </c>
      <c r="H959" s="76">
        <f>STOCK[[#This Row],[Precio Final]]</f>
        <v>12</v>
      </c>
      <c r="I959" s="76">
        <f>STOCK[[#This Row],[Precio Venta Ideal (x1.5)]]</f>
        <v>9.255</v>
      </c>
      <c r="J959" s="91">
        <v>2</v>
      </c>
      <c r="K959" s="91">
        <f>SUMIFS(VENTAS[Cantidad],VENTAS[Código del producto Vendido],STOCK[[#This Row],[Code]])</f>
        <v>2</v>
      </c>
      <c r="L959" s="91">
        <f>STOCK[[#This Row],[Entradas]]-STOCK[[#This Row],[Salidas]]</f>
        <v>0</v>
      </c>
      <c r="M959" s="76">
        <f>STOCK[[#This Row],[Precio Final]]*10%</f>
        <v>1.2</v>
      </c>
      <c r="N959" s="76">
        <v>0</v>
      </c>
      <c r="O959" s="76">
        <v>0</v>
      </c>
      <c r="P959" s="76">
        <v>4.97</v>
      </c>
      <c r="Q959" s="91">
        <v>0</v>
      </c>
      <c r="R959" s="76">
        <v>0</v>
      </c>
      <c r="S959" s="76">
        <v>0</v>
      </c>
      <c r="T959" s="76">
        <f>STOCK[[#This Row],[Costo Unitario (USD)]]+STOCK[[#This Row],[Costo Envío (USD)]]+STOCK[[#This Row],[Comisión 10%]]</f>
        <v>6.17</v>
      </c>
      <c r="U959" s="76">
        <f>STOCK[[#This Row],[Costo total]]*1.5</f>
        <v>9.255</v>
      </c>
      <c r="V959" s="76">
        <v>12</v>
      </c>
      <c r="W959" s="76">
        <f>STOCK[[#This Row],[Precio Final]]-STOCK[[#This Row],[Costo total]]</f>
        <v>5.83</v>
      </c>
      <c r="X959" s="76">
        <f>STOCK[[#This Row],[Ganancia Unitaria]]*STOCK[[#This Row],[Salidas]]</f>
        <v>11.66</v>
      </c>
      <c r="Y959" s="76" t="s">
        <v>1919</v>
      </c>
      <c r="AA959" s="76">
        <f>STOCK[[#This Row],[Costo total]]*STOCK[[#This Row],[Entradas]]</f>
        <v>12.34</v>
      </c>
      <c r="AB959" s="76">
        <f>STOCK[[#This Row],[Stock Actual]]*STOCK[[#This Row],[Costo total]]</f>
        <v>0</v>
      </c>
    </row>
    <row r="960" s="77" customFormat="1" ht="50" hidden="1" customHeight="1" spans="1:28">
      <c r="A960" s="77" t="s">
        <v>1931</v>
      </c>
      <c r="B960" s="6"/>
      <c r="C960" s="77" t="s">
        <v>30</v>
      </c>
      <c r="D960" s="77" t="s">
        <v>1926</v>
      </c>
      <c r="E960" s="77" t="s">
        <v>1927</v>
      </c>
      <c r="F960" s="77" t="s">
        <v>1932</v>
      </c>
      <c r="G960" s="77" t="s">
        <v>34</v>
      </c>
      <c r="H960" s="77">
        <f>STOCK[[#This Row],[Precio Final]]</f>
        <v>12</v>
      </c>
      <c r="I960" s="77">
        <f>STOCK[[#This Row],[Precio Venta Ideal (x1.5)]]</f>
        <v>9.255</v>
      </c>
      <c r="J960" s="92">
        <v>1</v>
      </c>
      <c r="K960" s="92">
        <f>SUMIFS(VENTAS[Cantidad],VENTAS[Código del producto Vendido],STOCK[[#This Row],[Code]])</f>
        <v>1</v>
      </c>
      <c r="L960" s="92">
        <f>STOCK[[#This Row],[Entradas]]-STOCK[[#This Row],[Salidas]]</f>
        <v>0</v>
      </c>
      <c r="M960" s="77">
        <f>STOCK[[#This Row],[Precio Final]]*10%</f>
        <v>1.2</v>
      </c>
      <c r="N960" s="77">
        <v>0</v>
      </c>
      <c r="O960" s="77">
        <v>0</v>
      </c>
      <c r="P960" s="77">
        <v>4.97</v>
      </c>
      <c r="Q960" s="92">
        <v>0</v>
      </c>
      <c r="R960" s="77">
        <v>0</v>
      </c>
      <c r="S960" s="77">
        <v>0</v>
      </c>
      <c r="T960" s="76">
        <f>STOCK[[#This Row],[Costo Unitario (USD)]]+STOCK[[#This Row],[Costo Envío (USD)]]+STOCK[[#This Row],[Comisión 10%]]</f>
        <v>6.17</v>
      </c>
      <c r="U960" s="77">
        <f>STOCK[[#This Row],[Costo total]]*1.5</f>
        <v>9.255</v>
      </c>
      <c r="V960" s="77">
        <v>12</v>
      </c>
      <c r="W960" s="77">
        <f>STOCK[[#This Row],[Precio Final]]-STOCK[[#This Row],[Costo total]]</f>
        <v>5.83</v>
      </c>
      <c r="X960" s="77">
        <f>STOCK[[#This Row],[Ganancia Unitaria]]*STOCK[[#This Row],[Salidas]]</f>
        <v>5.83</v>
      </c>
      <c r="Y960" s="77" t="s">
        <v>1919</v>
      </c>
      <c r="AA960" s="77">
        <f>STOCK[[#This Row],[Costo total]]*STOCK[[#This Row],[Entradas]]</f>
        <v>6.17</v>
      </c>
      <c r="AB960" s="77">
        <f>STOCK[[#This Row],[Stock Actual]]*STOCK[[#This Row],[Costo total]]</f>
        <v>0</v>
      </c>
    </row>
    <row r="961" s="76" customFormat="1" ht="50" hidden="1" customHeight="1" spans="1:28">
      <c r="A961" s="76" t="s">
        <v>1933</v>
      </c>
      <c r="B961" s="6"/>
      <c r="C961" s="76" t="s">
        <v>30</v>
      </c>
      <c r="D961" s="76" t="s">
        <v>1926</v>
      </c>
      <c r="E961" s="76" t="s">
        <v>1927</v>
      </c>
      <c r="F961" s="76" t="s">
        <v>1934</v>
      </c>
      <c r="G961" s="76" t="s">
        <v>34</v>
      </c>
      <c r="H961" s="76">
        <f>STOCK[[#This Row],[Precio Final]]</f>
        <v>0</v>
      </c>
      <c r="I961" s="76">
        <f>STOCK[[#This Row],[Precio Venta Ideal (x1.5)]]</f>
        <v>7.455</v>
      </c>
      <c r="J961" s="91">
        <v>0</v>
      </c>
      <c r="K961" s="91">
        <f>SUMIFS(VENTAS[Cantidad],VENTAS[Código del producto Vendido],STOCK[[#This Row],[Code]])</f>
        <v>0</v>
      </c>
      <c r="L961" s="91">
        <f>STOCK[[#This Row],[Entradas]]-STOCK[[#This Row],[Salidas]]</f>
        <v>0</v>
      </c>
      <c r="M961" s="76">
        <f>STOCK[[#This Row],[Precio Final]]*10%</f>
        <v>0</v>
      </c>
      <c r="N961" s="76">
        <v>0</v>
      </c>
      <c r="O961" s="76">
        <v>0</v>
      </c>
      <c r="P961" s="76">
        <v>4.97</v>
      </c>
      <c r="Q961" s="91">
        <v>0</v>
      </c>
      <c r="R961" s="76">
        <v>0</v>
      </c>
      <c r="S961" s="76">
        <v>0</v>
      </c>
      <c r="T961" s="76">
        <f>STOCK[[#This Row],[Costo Unitario (USD)]]+STOCK[[#This Row],[Costo Envío (USD)]]+STOCK[[#This Row],[Comisión 10%]]</f>
        <v>4.97</v>
      </c>
      <c r="U961" s="76">
        <f>STOCK[[#This Row],[Costo total]]*1.5</f>
        <v>7.455</v>
      </c>
      <c r="W961" s="76">
        <f>STOCK[[#This Row],[Precio Final]]-STOCK[[#This Row],[Costo total]]</f>
        <v>-4.97</v>
      </c>
      <c r="X961" s="76">
        <f>STOCK[[#This Row],[Ganancia Unitaria]]*STOCK[[#This Row],[Salidas]]</f>
        <v>0</v>
      </c>
      <c r="Y961" s="76" t="s">
        <v>1919</v>
      </c>
      <c r="AA961" s="76">
        <f>STOCK[[#This Row],[Costo total]]*STOCK[[#This Row],[Entradas]]</f>
        <v>0</v>
      </c>
      <c r="AB961" s="76">
        <f>STOCK[[#This Row],[Stock Actual]]*STOCK[[#This Row],[Costo total]]</f>
        <v>0</v>
      </c>
    </row>
    <row r="962" s="77" customFormat="1" ht="50" hidden="1" customHeight="1" spans="1:28">
      <c r="A962" s="77" t="s">
        <v>1935</v>
      </c>
      <c r="B962" s="6"/>
      <c r="C962" s="77" t="s">
        <v>30</v>
      </c>
      <c r="D962" s="77" t="s">
        <v>1936</v>
      </c>
      <c r="E962" s="77" t="s">
        <v>1937</v>
      </c>
      <c r="F962" s="77" t="s">
        <v>60</v>
      </c>
      <c r="G962" s="77" t="s">
        <v>34</v>
      </c>
      <c r="H962" s="77">
        <f>STOCK[[#This Row],[Precio Final]]</f>
        <v>8</v>
      </c>
      <c r="I962" s="77">
        <f>STOCK[[#This Row],[Precio Venta Ideal (x1.5)]]</f>
        <v>6.975</v>
      </c>
      <c r="J962" s="92">
        <v>3</v>
      </c>
      <c r="K962" s="92">
        <f>SUMIFS(VENTAS[Cantidad],VENTAS[Código del producto Vendido],STOCK[[#This Row],[Code]])</f>
        <v>1</v>
      </c>
      <c r="L962" s="92">
        <f>STOCK[[#This Row],[Entradas]]-STOCK[[#This Row],[Salidas]]</f>
        <v>2</v>
      </c>
      <c r="M962" s="77">
        <f>STOCK[[#This Row],[Precio Final]]*10%</f>
        <v>0.8</v>
      </c>
      <c r="N962" s="77">
        <v>0</v>
      </c>
      <c r="O962" s="77">
        <v>0</v>
      </c>
      <c r="P962" s="77">
        <v>3.85</v>
      </c>
      <c r="Q962" s="92">
        <v>0</v>
      </c>
      <c r="R962" s="77">
        <v>0</v>
      </c>
      <c r="S962" s="77">
        <v>0</v>
      </c>
      <c r="T962" s="76">
        <f>STOCK[[#This Row],[Costo Unitario (USD)]]+STOCK[[#This Row],[Costo Envío (USD)]]+STOCK[[#This Row],[Comisión 10%]]</f>
        <v>4.65</v>
      </c>
      <c r="U962" s="77">
        <f>STOCK[[#This Row],[Costo total]]*1.5</f>
        <v>6.975</v>
      </c>
      <c r="V962" s="77">
        <v>8</v>
      </c>
      <c r="W962" s="77">
        <f>STOCK[[#This Row],[Precio Final]]-STOCK[[#This Row],[Costo total]]</f>
        <v>3.35</v>
      </c>
      <c r="X962" s="77">
        <f>STOCK[[#This Row],[Ganancia Unitaria]]*STOCK[[#This Row],[Salidas]]</f>
        <v>3.35</v>
      </c>
      <c r="Y962" s="77" t="s">
        <v>1919</v>
      </c>
      <c r="AA962" s="77">
        <f>STOCK[[#This Row],[Costo total]]*STOCK[[#This Row],[Entradas]]</f>
        <v>13.95</v>
      </c>
      <c r="AB962" s="77">
        <f>STOCK[[#This Row],[Stock Actual]]*STOCK[[#This Row],[Costo total]]</f>
        <v>9.3</v>
      </c>
    </row>
    <row r="963" s="76" customFormat="1" ht="50" hidden="1" customHeight="1" spans="1:28">
      <c r="A963" s="76" t="s">
        <v>1938</v>
      </c>
      <c r="B963" s="6"/>
      <c r="C963" s="76" t="s">
        <v>30</v>
      </c>
      <c r="D963" s="77" t="s">
        <v>1936</v>
      </c>
      <c r="E963" s="76" t="s">
        <v>1939</v>
      </c>
      <c r="F963" s="76" t="s">
        <v>60</v>
      </c>
      <c r="G963" s="76" t="s">
        <v>34</v>
      </c>
      <c r="H963" s="76">
        <f>STOCK[[#This Row],[Precio Final]]</f>
        <v>8</v>
      </c>
      <c r="I963" s="76">
        <f>STOCK[[#This Row],[Precio Venta Ideal (x1.5)]]</f>
        <v>6.975</v>
      </c>
      <c r="J963" s="91">
        <v>2</v>
      </c>
      <c r="K963" s="91">
        <f>SUMIFS(VENTAS[Cantidad],VENTAS[Código del producto Vendido],STOCK[[#This Row],[Code]])</f>
        <v>0</v>
      </c>
      <c r="L963" s="91">
        <f>STOCK[[#This Row],[Entradas]]-STOCK[[#This Row],[Salidas]]</f>
        <v>2</v>
      </c>
      <c r="M963" s="76">
        <f>STOCK[[#This Row],[Precio Final]]*10%</f>
        <v>0.8</v>
      </c>
      <c r="N963" s="76">
        <v>0</v>
      </c>
      <c r="O963" s="76">
        <v>0</v>
      </c>
      <c r="P963" s="76">
        <v>3.85</v>
      </c>
      <c r="Q963" s="91">
        <v>0</v>
      </c>
      <c r="R963" s="76">
        <v>0</v>
      </c>
      <c r="S963" s="76">
        <v>0</v>
      </c>
      <c r="T963" s="76">
        <f>STOCK[[#This Row],[Costo Unitario (USD)]]+STOCK[[#This Row],[Costo Envío (USD)]]+STOCK[[#This Row],[Comisión 10%]]</f>
        <v>4.65</v>
      </c>
      <c r="U963" s="76">
        <f>STOCK[[#This Row],[Costo total]]*1.5</f>
        <v>6.975</v>
      </c>
      <c r="V963" s="76">
        <v>8</v>
      </c>
      <c r="W963" s="76">
        <f>STOCK[[#This Row],[Precio Final]]-STOCK[[#This Row],[Costo total]]</f>
        <v>3.35</v>
      </c>
      <c r="X963" s="76">
        <f>STOCK[[#This Row],[Ganancia Unitaria]]*STOCK[[#This Row],[Salidas]]</f>
        <v>0</v>
      </c>
      <c r="Y963" s="76" t="s">
        <v>1919</v>
      </c>
      <c r="AA963" s="76">
        <f>STOCK[[#This Row],[Costo total]]*STOCK[[#This Row],[Entradas]]</f>
        <v>9.3</v>
      </c>
      <c r="AB963" s="76">
        <f>STOCK[[#This Row],[Stock Actual]]*STOCK[[#This Row],[Costo total]]</f>
        <v>9.3</v>
      </c>
    </row>
    <row r="964" s="77" customFormat="1" ht="50" hidden="1" customHeight="1" spans="1:28">
      <c r="A964" s="77" t="s">
        <v>1940</v>
      </c>
      <c r="B964" s="6"/>
      <c r="C964" s="77" t="s">
        <v>30</v>
      </c>
      <c r="D964" s="77" t="s">
        <v>1936</v>
      </c>
      <c r="E964" s="77" t="s">
        <v>1939</v>
      </c>
      <c r="F964" s="77" t="s">
        <v>47</v>
      </c>
      <c r="G964" s="77" t="s">
        <v>34</v>
      </c>
      <c r="H964" s="77">
        <f>STOCK[[#This Row],[Precio Final]]</f>
        <v>8</v>
      </c>
      <c r="I964" s="77">
        <f>STOCK[[#This Row],[Precio Venta Ideal (x1.5)]]</f>
        <v>6.975</v>
      </c>
      <c r="J964" s="92">
        <v>2</v>
      </c>
      <c r="K964" s="92">
        <f>SUMIFS(VENTAS[Cantidad],VENTAS[Código del producto Vendido],STOCK[[#This Row],[Code]])</f>
        <v>0</v>
      </c>
      <c r="L964" s="92">
        <f>STOCK[[#This Row],[Entradas]]-STOCK[[#This Row],[Salidas]]</f>
        <v>2</v>
      </c>
      <c r="M964" s="77">
        <f>STOCK[[#This Row],[Precio Final]]*10%</f>
        <v>0.8</v>
      </c>
      <c r="N964" s="77">
        <v>0</v>
      </c>
      <c r="O964" s="77">
        <v>0</v>
      </c>
      <c r="P964" s="77">
        <v>3.85</v>
      </c>
      <c r="Q964" s="92">
        <v>0</v>
      </c>
      <c r="R964" s="77">
        <v>0</v>
      </c>
      <c r="S964" s="77">
        <v>0</v>
      </c>
      <c r="T964" s="76">
        <f>STOCK[[#This Row],[Costo Unitario (USD)]]+STOCK[[#This Row],[Costo Envío (USD)]]+STOCK[[#This Row],[Comisión 10%]]</f>
        <v>4.65</v>
      </c>
      <c r="U964" s="77">
        <f>STOCK[[#This Row],[Costo total]]*1.5</f>
        <v>6.975</v>
      </c>
      <c r="V964" s="77">
        <v>8</v>
      </c>
      <c r="W964" s="77">
        <f>STOCK[[#This Row],[Precio Final]]-STOCK[[#This Row],[Costo total]]</f>
        <v>3.35</v>
      </c>
      <c r="X964" s="77">
        <f>STOCK[[#This Row],[Ganancia Unitaria]]*STOCK[[#This Row],[Salidas]]</f>
        <v>0</v>
      </c>
      <c r="Y964" s="77" t="s">
        <v>1919</v>
      </c>
      <c r="AA964" s="77">
        <f>STOCK[[#This Row],[Costo total]]*STOCK[[#This Row],[Entradas]]</f>
        <v>9.3</v>
      </c>
      <c r="AB964" s="77">
        <f>STOCK[[#This Row],[Stock Actual]]*STOCK[[#This Row],[Costo total]]</f>
        <v>9.3</v>
      </c>
    </row>
    <row r="965" s="76" customFormat="1" ht="50" hidden="1" customHeight="1" spans="1:28">
      <c r="A965" s="76" t="s">
        <v>1941</v>
      </c>
      <c r="B965" s="6"/>
      <c r="C965" s="76" t="s">
        <v>30</v>
      </c>
      <c r="D965" s="76" t="s">
        <v>1942</v>
      </c>
      <c r="E965" s="76" t="s">
        <v>1755</v>
      </c>
      <c r="F965" s="76" t="s">
        <v>1943</v>
      </c>
      <c r="G965" s="76" t="s">
        <v>34</v>
      </c>
      <c r="H965" s="76">
        <f>STOCK[[#This Row],[Precio Final]]</f>
        <v>30</v>
      </c>
      <c r="I965" s="76">
        <f>STOCK[[#This Row],[Precio Venta Ideal (x1.5)]]</f>
        <v>31.455</v>
      </c>
      <c r="J965" s="91">
        <v>2</v>
      </c>
      <c r="K965" s="91">
        <f>SUMIFS(VENTAS[Cantidad],VENTAS[Código del producto Vendido],STOCK[[#This Row],[Code]])</f>
        <v>2</v>
      </c>
      <c r="L965" s="91">
        <f>STOCK[[#This Row],[Entradas]]-STOCK[[#This Row],[Salidas]]</f>
        <v>0</v>
      </c>
      <c r="M965" s="76">
        <f>STOCK[[#This Row],[Precio Final]]*10%</f>
        <v>3</v>
      </c>
      <c r="N965" s="76">
        <v>0</v>
      </c>
      <c r="O965" s="76">
        <v>0</v>
      </c>
      <c r="P965" s="76">
        <v>17.97</v>
      </c>
      <c r="Q965" s="91">
        <v>0</v>
      </c>
      <c r="R965" s="76">
        <v>0</v>
      </c>
      <c r="S965" s="76">
        <v>0</v>
      </c>
      <c r="T965" s="76">
        <f>STOCK[[#This Row],[Costo Unitario (USD)]]+STOCK[[#This Row],[Costo Envío (USD)]]+STOCK[[#This Row],[Comisión 10%]]</f>
        <v>20.97</v>
      </c>
      <c r="U965" s="76">
        <f>STOCK[[#This Row],[Costo total]]*1.5</f>
        <v>31.455</v>
      </c>
      <c r="V965" s="76">
        <v>30</v>
      </c>
      <c r="W965" s="76">
        <f>STOCK[[#This Row],[Precio Final]]-STOCK[[#This Row],[Costo total]]</f>
        <v>9.03</v>
      </c>
      <c r="X965" s="76">
        <f>STOCK[[#This Row],[Ganancia Unitaria]]*STOCK[[#This Row],[Salidas]]</f>
        <v>18.06</v>
      </c>
      <c r="Y965" s="76" t="s">
        <v>1919</v>
      </c>
      <c r="AA965" s="76">
        <f>STOCK[[#This Row],[Costo total]]*STOCK[[#This Row],[Entradas]]</f>
        <v>41.94</v>
      </c>
      <c r="AB965" s="76">
        <f>STOCK[[#This Row],[Stock Actual]]*STOCK[[#This Row],[Costo total]]</f>
        <v>0</v>
      </c>
    </row>
    <row r="966" s="77" customFormat="1" ht="50" hidden="1" customHeight="1" spans="1:29">
      <c r="A966" s="77" t="s">
        <v>1944</v>
      </c>
      <c r="B966" s="6"/>
      <c r="C966" s="77" t="s">
        <v>30</v>
      </c>
      <c r="D966" s="77" t="s">
        <v>215</v>
      </c>
      <c r="E966" s="77" t="s">
        <v>1945</v>
      </c>
      <c r="F966" s="77" t="s">
        <v>44</v>
      </c>
      <c r="G966" s="77" t="s">
        <v>34</v>
      </c>
      <c r="H966" s="77">
        <f>STOCK[[#This Row],[Precio Final]]</f>
        <v>30</v>
      </c>
      <c r="I966" s="77">
        <f>STOCK[[#This Row],[Precio Venta Ideal (x1.5)]]</f>
        <v>26.73</v>
      </c>
      <c r="J966" s="92">
        <v>2</v>
      </c>
      <c r="K966" s="92">
        <f>SUMIFS(VENTAS[Cantidad],VENTAS[Código del producto Vendido],STOCK[[#This Row],[Code]])</f>
        <v>0</v>
      </c>
      <c r="L966" s="92">
        <f>STOCK[[#This Row],[Entradas]]-STOCK[[#This Row],[Salidas]]</f>
        <v>2</v>
      </c>
      <c r="M966" s="77">
        <f>STOCK[[#This Row],[Precio Final]]*10%</f>
        <v>3</v>
      </c>
      <c r="N966" s="77">
        <v>0</v>
      </c>
      <c r="O966" s="77">
        <v>0</v>
      </c>
      <c r="P966" s="77">
        <v>14.82</v>
      </c>
      <c r="Q966" s="92">
        <v>0</v>
      </c>
      <c r="R966" s="77">
        <v>0</v>
      </c>
      <c r="S966" s="77">
        <v>0</v>
      </c>
      <c r="T966" s="76">
        <f>STOCK[[#This Row],[Costo Unitario (USD)]]+STOCK[[#This Row],[Costo Envío (USD)]]+STOCK[[#This Row],[Comisión 10%]]</f>
        <v>17.82</v>
      </c>
      <c r="U966" s="77">
        <f>STOCK[[#This Row],[Costo total]]*1.5</f>
        <v>26.73</v>
      </c>
      <c r="V966" s="77">
        <v>30</v>
      </c>
      <c r="W966" s="77">
        <f>STOCK[[#This Row],[Precio Final]]-STOCK[[#This Row],[Costo total]]</f>
        <v>12.18</v>
      </c>
      <c r="X966" s="77">
        <f>STOCK[[#This Row],[Ganancia Unitaria]]*STOCK[[#This Row],[Salidas]]</f>
        <v>0</v>
      </c>
      <c r="AA966" s="77">
        <f>STOCK[[#This Row],[Costo total]]*STOCK[[#This Row],[Entradas]]</f>
        <v>35.64</v>
      </c>
      <c r="AB966" s="77">
        <f>STOCK[[#This Row],[Stock Actual]]*STOCK[[#This Row],[Costo total]]</f>
        <v>35.64</v>
      </c>
      <c r="AC966" s="77">
        <v>28</v>
      </c>
    </row>
    <row r="967" s="76" customFormat="1" ht="50" hidden="1" customHeight="1" spans="1:28">
      <c r="A967" s="76" t="s">
        <v>1946</v>
      </c>
      <c r="B967" s="6"/>
      <c r="C967" s="76" t="s">
        <v>30</v>
      </c>
      <c r="D967" s="76" t="s">
        <v>1947</v>
      </c>
      <c r="E967" s="76" t="s">
        <v>1948</v>
      </c>
      <c r="F967" s="76" t="s">
        <v>1949</v>
      </c>
      <c r="G967" s="76" t="s">
        <v>1950</v>
      </c>
      <c r="H967" s="76">
        <f>STOCK[[#This Row],[Precio Final]]</f>
        <v>9</v>
      </c>
      <c r="I967" s="76">
        <f>STOCK[[#This Row],[Precio Venta Ideal (x1.5)]]</f>
        <v>10.35</v>
      </c>
      <c r="J967" s="91">
        <v>0</v>
      </c>
      <c r="K967" s="91">
        <f>SUMIFS(VENTAS[Cantidad],VENTAS[Código del producto Vendido],STOCK[[#This Row],[Code]])</f>
        <v>0</v>
      </c>
      <c r="L967" s="91">
        <f>STOCK[[#This Row],[Entradas]]-STOCK[[#This Row],[Salidas]]</f>
        <v>0</v>
      </c>
      <c r="M967" s="76">
        <f>STOCK[[#This Row],[Precio Final]]*10%</f>
        <v>0.9</v>
      </c>
      <c r="N967" s="76">
        <v>0</v>
      </c>
      <c r="O967" s="76">
        <v>0</v>
      </c>
      <c r="P967" s="76">
        <v>6</v>
      </c>
      <c r="Q967" s="91">
        <v>0</v>
      </c>
      <c r="R967" s="76">
        <v>0</v>
      </c>
      <c r="S967" s="76">
        <v>0</v>
      </c>
      <c r="T967" s="76">
        <f>STOCK[[#This Row],[Costo Unitario (USD)]]+STOCK[[#This Row],[Costo Envío (USD)]]+STOCK[[#This Row],[Comisión 10%]]</f>
        <v>6.9</v>
      </c>
      <c r="U967" s="76">
        <f>STOCK[[#This Row],[Costo total]]*1.5</f>
        <v>10.35</v>
      </c>
      <c r="V967" s="76">
        <v>9</v>
      </c>
      <c r="W967" s="76">
        <f>STOCK[[#This Row],[Precio Final]]-STOCK[[#This Row],[Costo total]]</f>
        <v>2.1</v>
      </c>
      <c r="X967" s="76">
        <f>STOCK[[#This Row],[Ganancia Unitaria]]*STOCK[[#This Row],[Salidas]]</f>
        <v>0</v>
      </c>
      <c r="Y967" s="76" t="s">
        <v>1951</v>
      </c>
      <c r="AA967" s="76">
        <f>STOCK[[#This Row],[Costo total]]*STOCK[[#This Row],[Entradas]]</f>
        <v>0</v>
      </c>
      <c r="AB967" s="76">
        <f>STOCK[[#This Row],[Stock Actual]]*STOCK[[#This Row],[Costo total]]</f>
        <v>0</v>
      </c>
    </row>
    <row r="968" s="77" customFormat="1" ht="50" hidden="1" customHeight="1" spans="1:28">
      <c r="A968" s="77" t="s">
        <v>1952</v>
      </c>
      <c r="B968" s="6"/>
      <c r="C968" s="77" t="s">
        <v>30</v>
      </c>
      <c r="D968" s="77" t="s">
        <v>1947</v>
      </c>
      <c r="E968" s="77" t="s">
        <v>1953</v>
      </c>
      <c r="F968" s="77" t="s">
        <v>227</v>
      </c>
      <c r="G968" s="77" t="s">
        <v>1954</v>
      </c>
      <c r="H968" s="77">
        <f>STOCK[[#This Row],[Precio Final]]</f>
        <v>7.5</v>
      </c>
      <c r="I968" s="77">
        <f>STOCK[[#This Row],[Precio Venta Ideal (x1.5)]]</f>
        <v>8.625</v>
      </c>
      <c r="J968" s="92">
        <v>0</v>
      </c>
      <c r="K968" s="92">
        <f>SUMIFS(VENTAS[Cantidad],VENTAS[Código del producto Vendido],STOCK[[#This Row],[Code]])</f>
        <v>0</v>
      </c>
      <c r="L968" s="92">
        <f>STOCK[[#This Row],[Entradas]]-STOCK[[#This Row],[Salidas]]</f>
        <v>0</v>
      </c>
      <c r="M968" s="77">
        <f>STOCK[[#This Row],[Precio Final]]*10%</f>
        <v>0.75</v>
      </c>
      <c r="N968" s="77">
        <v>0</v>
      </c>
      <c r="O968" s="77">
        <v>0</v>
      </c>
      <c r="P968" s="77">
        <v>5</v>
      </c>
      <c r="Q968" s="92">
        <v>0</v>
      </c>
      <c r="R968" s="77">
        <v>0</v>
      </c>
      <c r="S968" s="77">
        <v>0</v>
      </c>
      <c r="T968" s="76">
        <f>STOCK[[#This Row],[Costo Unitario (USD)]]+STOCK[[#This Row],[Costo Envío (USD)]]+STOCK[[#This Row],[Comisión 10%]]</f>
        <v>5.75</v>
      </c>
      <c r="U968" s="77">
        <f>STOCK[[#This Row],[Costo total]]*1.5</f>
        <v>8.625</v>
      </c>
      <c r="V968" s="77">
        <v>7.5</v>
      </c>
      <c r="W968" s="77">
        <f>STOCK[[#This Row],[Precio Final]]-STOCK[[#This Row],[Costo total]]</f>
        <v>1.75</v>
      </c>
      <c r="X968" s="77">
        <f>STOCK[[#This Row],[Ganancia Unitaria]]*STOCK[[#This Row],[Salidas]]</f>
        <v>0</v>
      </c>
      <c r="Y968" s="77" t="s">
        <v>1951</v>
      </c>
      <c r="AA968" s="77">
        <f>STOCK[[#This Row],[Costo total]]*STOCK[[#This Row],[Entradas]]</f>
        <v>0</v>
      </c>
      <c r="AB968" s="77">
        <f>STOCK[[#This Row],[Stock Actual]]*STOCK[[#This Row],[Costo total]]</f>
        <v>0</v>
      </c>
    </row>
    <row r="969" s="76" customFormat="1" ht="50" hidden="1" customHeight="1" spans="1:28">
      <c r="A969" s="76" t="s">
        <v>1955</v>
      </c>
      <c r="B969" s="6"/>
      <c r="C969" s="76" t="s">
        <v>30</v>
      </c>
      <c r="D969" s="76" t="s">
        <v>1947</v>
      </c>
      <c r="E969" s="76" t="s">
        <v>1956</v>
      </c>
      <c r="F969" s="76" t="s">
        <v>1957</v>
      </c>
      <c r="G969" s="76" t="s">
        <v>1954</v>
      </c>
      <c r="H969" s="76">
        <f>STOCK[[#This Row],[Precio Final]]</f>
        <v>7.5</v>
      </c>
      <c r="I969" s="76">
        <f>STOCK[[#This Row],[Precio Venta Ideal (x1.5)]]</f>
        <v>8.625</v>
      </c>
      <c r="J969" s="92">
        <v>0</v>
      </c>
      <c r="K969" s="91">
        <f>SUMIFS(VENTAS[Cantidad],VENTAS[Código del producto Vendido],STOCK[[#This Row],[Code]])</f>
        <v>0</v>
      </c>
      <c r="L969" s="91">
        <f>STOCK[[#This Row],[Entradas]]-STOCK[[#This Row],[Salidas]]</f>
        <v>0</v>
      </c>
      <c r="M969" s="76">
        <f>STOCK[[#This Row],[Precio Final]]*10%</f>
        <v>0.75</v>
      </c>
      <c r="N969" s="76">
        <v>0</v>
      </c>
      <c r="O969" s="76">
        <v>0</v>
      </c>
      <c r="P969" s="76">
        <v>5</v>
      </c>
      <c r="Q969" s="91">
        <v>0</v>
      </c>
      <c r="R969" s="76">
        <v>0</v>
      </c>
      <c r="S969" s="76">
        <v>0</v>
      </c>
      <c r="T969" s="76">
        <f>STOCK[[#This Row],[Costo Unitario (USD)]]+STOCK[[#This Row],[Costo Envío (USD)]]+STOCK[[#This Row],[Comisión 10%]]</f>
        <v>5.75</v>
      </c>
      <c r="U969" s="76">
        <f>STOCK[[#This Row],[Costo total]]*1.5</f>
        <v>8.625</v>
      </c>
      <c r="V969" s="76">
        <v>7.5</v>
      </c>
      <c r="W969" s="76">
        <f>STOCK[[#This Row],[Precio Final]]-STOCK[[#This Row],[Costo total]]</f>
        <v>1.75</v>
      </c>
      <c r="X969" s="76">
        <f>STOCK[[#This Row],[Ganancia Unitaria]]*STOCK[[#This Row],[Salidas]]</f>
        <v>0</v>
      </c>
      <c r="Y969" s="76" t="s">
        <v>1951</v>
      </c>
      <c r="AA969" s="76">
        <f>STOCK[[#This Row],[Costo total]]*STOCK[[#This Row],[Entradas]]</f>
        <v>0</v>
      </c>
      <c r="AB969" s="76">
        <f>STOCK[[#This Row],[Stock Actual]]*STOCK[[#This Row],[Costo total]]</f>
        <v>0</v>
      </c>
    </row>
    <row r="970" s="77" customFormat="1" ht="50" hidden="1" customHeight="1" spans="1:28">
      <c r="A970" s="77" t="s">
        <v>1958</v>
      </c>
      <c r="B970" s="6"/>
      <c r="C970" s="77" t="s">
        <v>30</v>
      </c>
      <c r="D970" s="77" t="s">
        <v>1947</v>
      </c>
      <c r="E970" s="77" t="s">
        <v>1959</v>
      </c>
      <c r="F970" s="77" t="s">
        <v>1960</v>
      </c>
      <c r="G970" s="77" t="s">
        <v>1961</v>
      </c>
      <c r="H970" s="77">
        <f>STOCK[[#This Row],[Precio Final]]</f>
        <v>6</v>
      </c>
      <c r="I970" s="77">
        <f>STOCK[[#This Row],[Precio Venta Ideal (x1.5)]]</f>
        <v>6.9</v>
      </c>
      <c r="J970" s="92">
        <v>0</v>
      </c>
      <c r="K970" s="92">
        <f>SUMIFS(VENTAS[Cantidad],VENTAS[Código del producto Vendido],STOCK[[#This Row],[Code]])</f>
        <v>0</v>
      </c>
      <c r="L970" s="92">
        <f>STOCK[[#This Row],[Entradas]]-STOCK[[#This Row],[Salidas]]</f>
        <v>0</v>
      </c>
      <c r="M970" s="77">
        <f>STOCK[[#This Row],[Precio Final]]*10%</f>
        <v>0.6</v>
      </c>
      <c r="N970" s="77">
        <v>0</v>
      </c>
      <c r="O970" s="77">
        <v>0</v>
      </c>
      <c r="P970" s="77">
        <v>4</v>
      </c>
      <c r="Q970" s="92">
        <v>0</v>
      </c>
      <c r="R970" s="77">
        <v>0</v>
      </c>
      <c r="S970" s="77">
        <v>0</v>
      </c>
      <c r="T970" s="76">
        <f>STOCK[[#This Row],[Costo Unitario (USD)]]+STOCK[[#This Row],[Costo Envío (USD)]]+STOCK[[#This Row],[Comisión 10%]]</f>
        <v>4.6</v>
      </c>
      <c r="U970" s="77">
        <f>STOCK[[#This Row],[Costo total]]*1.5</f>
        <v>6.9</v>
      </c>
      <c r="V970" s="77">
        <v>6</v>
      </c>
      <c r="W970" s="77">
        <f>STOCK[[#This Row],[Precio Final]]-STOCK[[#This Row],[Costo total]]</f>
        <v>1.4</v>
      </c>
      <c r="X970" s="77">
        <f>STOCK[[#This Row],[Ganancia Unitaria]]*STOCK[[#This Row],[Salidas]]</f>
        <v>0</v>
      </c>
      <c r="Y970" s="77" t="s">
        <v>1951</v>
      </c>
      <c r="AA970" s="77">
        <f>STOCK[[#This Row],[Costo total]]*STOCK[[#This Row],[Entradas]]</f>
        <v>0</v>
      </c>
      <c r="AB970" s="77">
        <f>STOCK[[#This Row],[Stock Actual]]*STOCK[[#This Row],[Costo total]]</f>
        <v>0</v>
      </c>
    </row>
    <row r="971" s="76" customFormat="1" ht="50" hidden="1" customHeight="1" spans="1:28">
      <c r="A971" s="76" t="s">
        <v>1962</v>
      </c>
      <c r="B971" s="6"/>
      <c r="C971" s="76" t="s">
        <v>30</v>
      </c>
      <c r="D971" s="76" t="s">
        <v>1947</v>
      </c>
      <c r="E971" s="76" t="s">
        <v>1963</v>
      </c>
      <c r="F971" s="76" t="s">
        <v>1964</v>
      </c>
      <c r="G971" s="76" t="s">
        <v>1294</v>
      </c>
      <c r="H971" s="76">
        <f>STOCK[[#This Row],[Precio Final]]</f>
        <v>3</v>
      </c>
      <c r="I971" s="76">
        <f>STOCK[[#This Row],[Precio Venta Ideal (x1.5)]]</f>
        <v>3.45</v>
      </c>
      <c r="J971" s="92">
        <v>0</v>
      </c>
      <c r="K971" s="91">
        <f>SUMIFS(VENTAS[Cantidad],VENTAS[Código del producto Vendido],STOCK[[#This Row],[Code]])</f>
        <v>0</v>
      </c>
      <c r="L971" s="91">
        <f>STOCK[[#This Row],[Entradas]]-STOCK[[#This Row],[Salidas]]</f>
        <v>0</v>
      </c>
      <c r="M971" s="76">
        <f>STOCK[[#This Row],[Precio Final]]*10%</f>
        <v>0.3</v>
      </c>
      <c r="N971" s="76">
        <v>0</v>
      </c>
      <c r="O971" s="76">
        <v>0</v>
      </c>
      <c r="P971" s="76">
        <v>2</v>
      </c>
      <c r="Q971" s="91">
        <v>0</v>
      </c>
      <c r="R971" s="76">
        <v>0</v>
      </c>
      <c r="S971" s="76">
        <v>0</v>
      </c>
      <c r="T971" s="76">
        <f>STOCK[[#This Row],[Costo Unitario (USD)]]+STOCK[[#This Row],[Costo Envío (USD)]]+STOCK[[#This Row],[Comisión 10%]]</f>
        <v>2.3</v>
      </c>
      <c r="U971" s="76">
        <f>STOCK[[#This Row],[Costo total]]*1.5</f>
        <v>3.45</v>
      </c>
      <c r="V971" s="76">
        <v>3</v>
      </c>
      <c r="W971" s="76">
        <f>STOCK[[#This Row],[Precio Final]]-STOCK[[#This Row],[Costo total]]</f>
        <v>0.7</v>
      </c>
      <c r="X971" s="76">
        <f>STOCK[[#This Row],[Ganancia Unitaria]]*STOCK[[#This Row],[Salidas]]</f>
        <v>0</v>
      </c>
      <c r="Y971" s="76" t="s">
        <v>1951</v>
      </c>
      <c r="AA971" s="76">
        <f>STOCK[[#This Row],[Costo total]]*STOCK[[#This Row],[Entradas]]</f>
        <v>0</v>
      </c>
      <c r="AB971" s="76">
        <f>STOCK[[#This Row],[Stock Actual]]*STOCK[[#This Row],[Costo total]]</f>
        <v>0</v>
      </c>
    </row>
    <row r="972" s="77" customFormat="1" ht="50" hidden="1" customHeight="1" spans="1:28">
      <c r="A972" s="77" t="s">
        <v>1965</v>
      </c>
      <c r="B972" s="6"/>
      <c r="C972" s="77" t="s">
        <v>30</v>
      </c>
      <c r="D972" s="77" t="s">
        <v>1947</v>
      </c>
      <c r="E972" s="77" t="s">
        <v>1966</v>
      </c>
      <c r="F972" s="77" t="s">
        <v>1967</v>
      </c>
      <c r="G972" s="77" t="s">
        <v>1954</v>
      </c>
      <c r="H972" s="77">
        <f>STOCK[[#This Row],[Precio Final]]</f>
        <v>7.5</v>
      </c>
      <c r="I972" s="77">
        <f>STOCK[[#This Row],[Precio Venta Ideal (x1.5)]]</f>
        <v>8.625</v>
      </c>
      <c r="J972" s="92">
        <v>0</v>
      </c>
      <c r="K972" s="92">
        <f>SUMIFS(VENTAS[Cantidad],VENTAS[Código del producto Vendido],STOCK[[#This Row],[Code]])</f>
        <v>0</v>
      </c>
      <c r="L972" s="92">
        <f>STOCK[[#This Row],[Entradas]]-STOCK[[#This Row],[Salidas]]</f>
        <v>0</v>
      </c>
      <c r="M972" s="77">
        <f>STOCK[[#This Row],[Precio Final]]*10%</f>
        <v>0.75</v>
      </c>
      <c r="N972" s="77">
        <v>0</v>
      </c>
      <c r="O972" s="77">
        <v>0</v>
      </c>
      <c r="P972" s="77">
        <v>5</v>
      </c>
      <c r="Q972" s="92">
        <v>0</v>
      </c>
      <c r="R972" s="77">
        <v>0</v>
      </c>
      <c r="S972" s="77">
        <v>0</v>
      </c>
      <c r="T972" s="76">
        <f>STOCK[[#This Row],[Costo Unitario (USD)]]+STOCK[[#This Row],[Costo Envío (USD)]]+STOCK[[#This Row],[Comisión 10%]]</f>
        <v>5.75</v>
      </c>
      <c r="U972" s="77">
        <f>STOCK[[#This Row],[Costo total]]*1.5</f>
        <v>8.625</v>
      </c>
      <c r="V972" s="77">
        <v>7.5</v>
      </c>
      <c r="W972" s="77">
        <f>STOCK[[#This Row],[Precio Final]]-STOCK[[#This Row],[Costo total]]</f>
        <v>1.75</v>
      </c>
      <c r="X972" s="77">
        <f>STOCK[[#This Row],[Ganancia Unitaria]]*STOCK[[#This Row],[Salidas]]</f>
        <v>0</v>
      </c>
      <c r="Y972" s="77" t="s">
        <v>1951</v>
      </c>
      <c r="AA972" s="77">
        <f>STOCK[[#This Row],[Costo total]]*STOCK[[#This Row],[Entradas]]</f>
        <v>0</v>
      </c>
      <c r="AB972" s="77">
        <f>STOCK[[#This Row],[Stock Actual]]*STOCK[[#This Row],[Costo total]]</f>
        <v>0</v>
      </c>
    </row>
    <row r="973" s="76" customFormat="1" ht="50" hidden="1" customHeight="1" spans="1:28">
      <c r="A973" s="76" t="s">
        <v>1968</v>
      </c>
      <c r="B973" s="6"/>
      <c r="C973" s="76" t="s">
        <v>30</v>
      </c>
      <c r="D973" s="76" t="s">
        <v>1947</v>
      </c>
      <c r="E973" s="76" t="s">
        <v>1969</v>
      </c>
      <c r="F973" s="76" t="s">
        <v>1970</v>
      </c>
      <c r="G973" s="76" t="s">
        <v>1954</v>
      </c>
      <c r="H973" s="76">
        <f>STOCK[[#This Row],[Precio Final]]</f>
        <v>4.5</v>
      </c>
      <c r="I973" s="76">
        <f>STOCK[[#This Row],[Precio Venta Ideal (x1.5)]]</f>
        <v>5.175</v>
      </c>
      <c r="J973" s="92">
        <v>0</v>
      </c>
      <c r="K973" s="91">
        <f>SUMIFS(VENTAS[Cantidad],VENTAS[Código del producto Vendido],STOCK[[#This Row],[Code]])</f>
        <v>0</v>
      </c>
      <c r="L973" s="91">
        <f>STOCK[[#This Row],[Entradas]]-STOCK[[#This Row],[Salidas]]</f>
        <v>0</v>
      </c>
      <c r="M973" s="76">
        <f>STOCK[[#This Row],[Precio Final]]*10%</f>
        <v>0.45</v>
      </c>
      <c r="N973" s="76">
        <v>0</v>
      </c>
      <c r="O973" s="76">
        <v>0</v>
      </c>
      <c r="P973" s="76">
        <v>3</v>
      </c>
      <c r="Q973" s="91">
        <v>0</v>
      </c>
      <c r="R973" s="76">
        <v>0</v>
      </c>
      <c r="S973" s="76">
        <v>0</v>
      </c>
      <c r="T973" s="76">
        <f>STOCK[[#This Row],[Costo Unitario (USD)]]+STOCK[[#This Row],[Costo Envío (USD)]]+STOCK[[#This Row],[Comisión 10%]]</f>
        <v>3.45</v>
      </c>
      <c r="U973" s="76">
        <f>STOCK[[#This Row],[Costo total]]*1.5</f>
        <v>5.175</v>
      </c>
      <c r="V973" s="76">
        <v>4.5</v>
      </c>
      <c r="W973" s="76">
        <f>STOCK[[#This Row],[Precio Final]]-STOCK[[#This Row],[Costo total]]</f>
        <v>1.05</v>
      </c>
      <c r="X973" s="76">
        <f>STOCK[[#This Row],[Ganancia Unitaria]]*STOCK[[#This Row],[Salidas]]</f>
        <v>0</v>
      </c>
      <c r="Y973" s="76" t="s">
        <v>1951</v>
      </c>
      <c r="AA973" s="76">
        <f>STOCK[[#This Row],[Costo total]]*STOCK[[#This Row],[Entradas]]</f>
        <v>0</v>
      </c>
      <c r="AB973" s="76">
        <f>STOCK[[#This Row],[Stock Actual]]*STOCK[[#This Row],[Costo total]]</f>
        <v>0</v>
      </c>
    </row>
    <row r="974" s="77" customFormat="1" ht="50" hidden="1" customHeight="1" spans="1:28">
      <c r="A974" s="77" t="s">
        <v>1971</v>
      </c>
      <c r="B974" s="6"/>
      <c r="C974" s="77" t="s">
        <v>30</v>
      </c>
      <c r="D974" s="77" t="s">
        <v>1947</v>
      </c>
      <c r="E974" s="77" t="s">
        <v>1972</v>
      </c>
      <c r="F974" s="77" t="s">
        <v>1970</v>
      </c>
      <c r="G974" s="77" t="s">
        <v>1954</v>
      </c>
      <c r="H974" s="77">
        <f>STOCK[[#This Row],[Precio Final]]</f>
        <v>6</v>
      </c>
      <c r="I974" s="77">
        <f>STOCK[[#This Row],[Precio Venta Ideal (x1.5)]]</f>
        <v>6.9</v>
      </c>
      <c r="J974" s="92">
        <v>0</v>
      </c>
      <c r="K974" s="92">
        <f>SUMIFS(VENTAS[Cantidad],VENTAS[Código del producto Vendido],STOCK[[#This Row],[Code]])</f>
        <v>0</v>
      </c>
      <c r="L974" s="92">
        <f>STOCK[[#This Row],[Entradas]]-STOCK[[#This Row],[Salidas]]</f>
        <v>0</v>
      </c>
      <c r="M974" s="77">
        <f>STOCK[[#This Row],[Precio Final]]*10%</f>
        <v>0.6</v>
      </c>
      <c r="N974" s="77">
        <v>0</v>
      </c>
      <c r="O974" s="77">
        <v>0</v>
      </c>
      <c r="P974" s="77">
        <v>4</v>
      </c>
      <c r="Q974" s="92">
        <v>0</v>
      </c>
      <c r="R974" s="77">
        <v>0</v>
      </c>
      <c r="S974" s="77">
        <v>0</v>
      </c>
      <c r="T974" s="76">
        <f>STOCK[[#This Row],[Costo Unitario (USD)]]+STOCK[[#This Row],[Costo Envío (USD)]]+STOCK[[#This Row],[Comisión 10%]]</f>
        <v>4.6</v>
      </c>
      <c r="U974" s="77">
        <f>STOCK[[#This Row],[Costo total]]*1.5</f>
        <v>6.9</v>
      </c>
      <c r="V974" s="77">
        <v>6</v>
      </c>
      <c r="W974" s="77">
        <f>STOCK[[#This Row],[Precio Final]]-STOCK[[#This Row],[Costo total]]</f>
        <v>1.4</v>
      </c>
      <c r="X974" s="77">
        <f>STOCK[[#This Row],[Ganancia Unitaria]]*STOCK[[#This Row],[Salidas]]</f>
        <v>0</v>
      </c>
      <c r="Y974" s="77" t="s">
        <v>1951</v>
      </c>
      <c r="AA974" s="77">
        <f>STOCK[[#This Row],[Costo total]]*STOCK[[#This Row],[Entradas]]</f>
        <v>0</v>
      </c>
      <c r="AB974" s="77">
        <f>STOCK[[#This Row],[Stock Actual]]*STOCK[[#This Row],[Costo total]]</f>
        <v>0</v>
      </c>
    </row>
    <row r="975" s="76" customFormat="1" ht="50" hidden="1" customHeight="1" spans="1:28">
      <c r="A975" s="76" t="s">
        <v>1973</v>
      </c>
      <c r="B975" s="6"/>
      <c r="C975" s="76" t="s">
        <v>30</v>
      </c>
      <c r="D975" s="76" t="s">
        <v>1947</v>
      </c>
      <c r="E975" s="76" t="s">
        <v>1974</v>
      </c>
      <c r="F975" s="76" t="s">
        <v>1975</v>
      </c>
      <c r="G975" s="76" t="s">
        <v>1976</v>
      </c>
      <c r="H975" s="76">
        <f>STOCK[[#This Row],[Precio Final]]</f>
        <v>4.5</v>
      </c>
      <c r="I975" s="76">
        <f>STOCK[[#This Row],[Precio Venta Ideal (x1.5)]]</f>
        <v>5.175</v>
      </c>
      <c r="J975" s="92">
        <v>0</v>
      </c>
      <c r="K975" s="91">
        <f>SUMIFS(VENTAS[Cantidad],VENTAS[Código del producto Vendido],STOCK[[#This Row],[Code]])</f>
        <v>0</v>
      </c>
      <c r="L975" s="91">
        <f>STOCK[[#This Row],[Entradas]]-STOCK[[#This Row],[Salidas]]</f>
        <v>0</v>
      </c>
      <c r="M975" s="76">
        <f>STOCK[[#This Row],[Precio Final]]*10%</f>
        <v>0.45</v>
      </c>
      <c r="N975" s="76">
        <v>0</v>
      </c>
      <c r="O975" s="76">
        <v>0</v>
      </c>
      <c r="P975" s="76">
        <v>3</v>
      </c>
      <c r="Q975" s="91">
        <v>0</v>
      </c>
      <c r="R975" s="76">
        <v>0</v>
      </c>
      <c r="S975" s="76">
        <v>0</v>
      </c>
      <c r="T975" s="76">
        <f>STOCK[[#This Row],[Costo Unitario (USD)]]+STOCK[[#This Row],[Costo Envío (USD)]]+STOCK[[#This Row],[Comisión 10%]]</f>
        <v>3.45</v>
      </c>
      <c r="U975" s="76">
        <f>STOCK[[#This Row],[Costo total]]*1.5</f>
        <v>5.175</v>
      </c>
      <c r="V975" s="76">
        <v>4.5</v>
      </c>
      <c r="W975" s="76">
        <f>STOCK[[#This Row],[Precio Final]]-STOCK[[#This Row],[Costo total]]</f>
        <v>1.05</v>
      </c>
      <c r="X975" s="76">
        <f>STOCK[[#This Row],[Ganancia Unitaria]]*STOCK[[#This Row],[Salidas]]</f>
        <v>0</v>
      </c>
      <c r="Y975" s="76" t="s">
        <v>1951</v>
      </c>
      <c r="AA975" s="76">
        <f>STOCK[[#This Row],[Costo total]]*STOCK[[#This Row],[Entradas]]</f>
        <v>0</v>
      </c>
      <c r="AB975" s="76">
        <f>STOCK[[#This Row],[Stock Actual]]*STOCK[[#This Row],[Costo total]]</f>
        <v>0</v>
      </c>
    </row>
    <row r="976" s="77" customFormat="1" ht="50" hidden="1" customHeight="1" spans="1:28">
      <c r="A976" s="77" t="s">
        <v>1977</v>
      </c>
      <c r="B976" s="6"/>
      <c r="C976" s="77" t="s">
        <v>30</v>
      </c>
      <c r="D976" s="77" t="s">
        <v>1947</v>
      </c>
      <c r="E976" s="77" t="s">
        <v>1978</v>
      </c>
      <c r="F976" s="77" t="s">
        <v>1970</v>
      </c>
      <c r="G976" s="77" t="s">
        <v>1954</v>
      </c>
      <c r="H976" s="77">
        <f>STOCK[[#This Row],[Precio Final]]</f>
        <v>4.5</v>
      </c>
      <c r="I976" s="77">
        <f>STOCK[[#This Row],[Precio Venta Ideal (x1.5)]]</f>
        <v>5.175</v>
      </c>
      <c r="J976" s="92">
        <v>0</v>
      </c>
      <c r="K976" s="92">
        <f>SUMIFS(VENTAS[Cantidad],VENTAS[Código del producto Vendido],STOCK[[#This Row],[Code]])</f>
        <v>0</v>
      </c>
      <c r="L976" s="92">
        <f>STOCK[[#This Row],[Entradas]]-STOCK[[#This Row],[Salidas]]</f>
        <v>0</v>
      </c>
      <c r="M976" s="77">
        <f>STOCK[[#This Row],[Precio Final]]*10%</f>
        <v>0.45</v>
      </c>
      <c r="N976" s="77">
        <v>0</v>
      </c>
      <c r="O976" s="77">
        <v>0</v>
      </c>
      <c r="P976" s="77">
        <v>3</v>
      </c>
      <c r="Q976" s="92">
        <v>0</v>
      </c>
      <c r="R976" s="77">
        <v>0</v>
      </c>
      <c r="S976" s="77">
        <v>0</v>
      </c>
      <c r="T976" s="76">
        <f>STOCK[[#This Row],[Costo Unitario (USD)]]+STOCK[[#This Row],[Costo Envío (USD)]]+STOCK[[#This Row],[Comisión 10%]]</f>
        <v>3.45</v>
      </c>
      <c r="U976" s="77">
        <f>STOCK[[#This Row],[Costo total]]*1.5</f>
        <v>5.175</v>
      </c>
      <c r="V976" s="77">
        <v>4.5</v>
      </c>
      <c r="W976" s="77">
        <f>STOCK[[#This Row],[Precio Final]]-STOCK[[#This Row],[Costo total]]</f>
        <v>1.05</v>
      </c>
      <c r="X976" s="77">
        <f>STOCK[[#This Row],[Ganancia Unitaria]]*STOCK[[#This Row],[Salidas]]</f>
        <v>0</v>
      </c>
      <c r="Y976" s="77" t="s">
        <v>1951</v>
      </c>
      <c r="AA976" s="77">
        <f>STOCK[[#This Row],[Costo total]]*STOCK[[#This Row],[Entradas]]</f>
        <v>0</v>
      </c>
      <c r="AB976" s="77">
        <f>STOCK[[#This Row],[Stock Actual]]*STOCK[[#This Row],[Costo total]]</f>
        <v>0</v>
      </c>
    </row>
    <row r="977" s="76" customFormat="1" ht="50" hidden="1" customHeight="1" spans="1:28">
      <c r="A977" s="76" t="s">
        <v>1979</v>
      </c>
      <c r="B977" s="6"/>
      <c r="C977" s="76" t="s">
        <v>30</v>
      </c>
      <c r="D977" s="76" t="s">
        <v>1947</v>
      </c>
      <c r="E977" s="76" t="s">
        <v>1980</v>
      </c>
      <c r="F977" s="76" t="s">
        <v>1981</v>
      </c>
      <c r="G977" s="76" t="s">
        <v>702</v>
      </c>
      <c r="H977" s="76">
        <f>STOCK[[#This Row],[Precio Final]]</f>
        <v>7.5</v>
      </c>
      <c r="I977" s="76">
        <f>STOCK[[#This Row],[Precio Venta Ideal (x1.5)]]</f>
        <v>8.625</v>
      </c>
      <c r="J977" s="92">
        <v>1</v>
      </c>
      <c r="K977" s="91">
        <f>SUMIFS(VENTAS[Cantidad],VENTAS[Código del producto Vendido],STOCK[[#This Row],[Code]])</f>
        <v>1</v>
      </c>
      <c r="L977" s="91">
        <f>STOCK[[#This Row],[Entradas]]-STOCK[[#This Row],[Salidas]]</f>
        <v>0</v>
      </c>
      <c r="M977" s="76">
        <f>STOCK[[#This Row],[Precio Final]]*10%</f>
        <v>0.75</v>
      </c>
      <c r="N977" s="76">
        <v>0</v>
      </c>
      <c r="O977" s="76">
        <v>0</v>
      </c>
      <c r="P977" s="76">
        <v>5</v>
      </c>
      <c r="Q977" s="91">
        <v>0</v>
      </c>
      <c r="R977" s="76">
        <v>0</v>
      </c>
      <c r="S977" s="76">
        <v>0</v>
      </c>
      <c r="T977" s="76">
        <f>STOCK[[#This Row],[Costo Unitario (USD)]]+STOCK[[#This Row],[Costo Envío (USD)]]+STOCK[[#This Row],[Comisión 10%]]</f>
        <v>5.75</v>
      </c>
      <c r="U977" s="76">
        <f>STOCK[[#This Row],[Costo total]]*1.5</f>
        <v>8.625</v>
      </c>
      <c r="V977" s="76">
        <v>7.5</v>
      </c>
      <c r="W977" s="76">
        <f>STOCK[[#This Row],[Precio Final]]-STOCK[[#This Row],[Costo total]]</f>
        <v>1.75</v>
      </c>
      <c r="X977" s="76">
        <f>STOCK[[#This Row],[Ganancia Unitaria]]*STOCK[[#This Row],[Salidas]]</f>
        <v>1.75</v>
      </c>
      <c r="Y977" s="76" t="s">
        <v>1951</v>
      </c>
      <c r="AA977" s="76">
        <f>STOCK[[#This Row],[Costo total]]*STOCK[[#This Row],[Entradas]]</f>
        <v>5.75</v>
      </c>
      <c r="AB977" s="76">
        <f>STOCK[[#This Row],[Stock Actual]]*STOCK[[#This Row],[Costo total]]</f>
        <v>0</v>
      </c>
    </row>
    <row r="978" s="77" customFormat="1" ht="50" hidden="1" customHeight="1" spans="1:28">
      <c r="A978" s="77" t="s">
        <v>1982</v>
      </c>
      <c r="B978" s="6"/>
      <c r="C978" s="77" t="s">
        <v>30</v>
      </c>
      <c r="D978" s="77" t="s">
        <v>1947</v>
      </c>
      <c r="E978" s="77" t="s">
        <v>1983</v>
      </c>
      <c r="F978" s="77" t="s">
        <v>1984</v>
      </c>
      <c r="G978" s="77" t="s">
        <v>1954</v>
      </c>
      <c r="H978" s="77">
        <f>STOCK[[#This Row],[Precio Final]]</f>
        <v>3</v>
      </c>
      <c r="I978" s="77">
        <f>STOCK[[#This Row],[Precio Venta Ideal (x1.5)]]</f>
        <v>3.45</v>
      </c>
      <c r="J978" s="92">
        <v>0</v>
      </c>
      <c r="K978" s="92">
        <f>SUMIFS(VENTAS[Cantidad],VENTAS[Código del producto Vendido],STOCK[[#This Row],[Code]])</f>
        <v>0</v>
      </c>
      <c r="L978" s="92">
        <f>STOCK[[#This Row],[Entradas]]-STOCK[[#This Row],[Salidas]]</f>
        <v>0</v>
      </c>
      <c r="M978" s="77">
        <f>STOCK[[#This Row],[Precio Final]]*10%</f>
        <v>0.3</v>
      </c>
      <c r="N978" s="77">
        <v>0</v>
      </c>
      <c r="O978" s="77">
        <v>0</v>
      </c>
      <c r="P978" s="77">
        <v>2</v>
      </c>
      <c r="Q978" s="92">
        <v>0</v>
      </c>
      <c r="R978" s="77">
        <v>0</v>
      </c>
      <c r="S978" s="77">
        <v>0</v>
      </c>
      <c r="T978" s="76">
        <f>STOCK[[#This Row],[Costo Unitario (USD)]]+STOCK[[#This Row],[Costo Envío (USD)]]+STOCK[[#This Row],[Comisión 10%]]</f>
        <v>2.3</v>
      </c>
      <c r="U978" s="77">
        <f>STOCK[[#This Row],[Costo total]]*1.5</f>
        <v>3.45</v>
      </c>
      <c r="V978" s="77">
        <v>3</v>
      </c>
      <c r="W978" s="77">
        <f>STOCK[[#This Row],[Precio Final]]-STOCK[[#This Row],[Costo total]]</f>
        <v>0.7</v>
      </c>
      <c r="X978" s="77">
        <f>STOCK[[#This Row],[Ganancia Unitaria]]*STOCK[[#This Row],[Salidas]]</f>
        <v>0</v>
      </c>
      <c r="Y978" s="77" t="s">
        <v>1951</v>
      </c>
      <c r="AA978" s="77">
        <f>STOCK[[#This Row],[Costo total]]*STOCK[[#This Row],[Entradas]]</f>
        <v>0</v>
      </c>
      <c r="AB978" s="77">
        <f>STOCK[[#This Row],[Stock Actual]]*STOCK[[#This Row],[Costo total]]</f>
        <v>0</v>
      </c>
    </row>
    <row r="979" s="76" customFormat="1" ht="50" hidden="1" customHeight="1" spans="1:28">
      <c r="A979" s="76" t="s">
        <v>1985</v>
      </c>
      <c r="B979" s="6"/>
      <c r="C979" s="76" t="s">
        <v>30</v>
      </c>
      <c r="D979" s="76" t="s">
        <v>1947</v>
      </c>
      <c r="E979" s="76" t="s">
        <v>1986</v>
      </c>
      <c r="F979" s="76" t="s">
        <v>1970</v>
      </c>
      <c r="G979" s="76" t="s">
        <v>1294</v>
      </c>
      <c r="H979" s="76">
        <f>STOCK[[#This Row],[Precio Final]]</f>
        <v>7.5</v>
      </c>
      <c r="I979" s="76">
        <f>STOCK[[#This Row],[Precio Venta Ideal (x1.5)]]</f>
        <v>8.625</v>
      </c>
      <c r="J979" s="92">
        <v>0</v>
      </c>
      <c r="K979" s="91">
        <f>SUMIFS(VENTAS[Cantidad],VENTAS[Código del producto Vendido],STOCK[[#This Row],[Code]])</f>
        <v>0</v>
      </c>
      <c r="L979" s="91">
        <f>STOCK[[#This Row],[Entradas]]-STOCK[[#This Row],[Salidas]]</f>
        <v>0</v>
      </c>
      <c r="M979" s="76">
        <f>STOCK[[#This Row],[Precio Final]]*10%</f>
        <v>0.75</v>
      </c>
      <c r="N979" s="76">
        <v>0</v>
      </c>
      <c r="O979" s="76">
        <v>0</v>
      </c>
      <c r="P979" s="76">
        <v>5</v>
      </c>
      <c r="Q979" s="91">
        <v>0</v>
      </c>
      <c r="R979" s="76">
        <v>0</v>
      </c>
      <c r="S979" s="76">
        <v>0</v>
      </c>
      <c r="T979" s="76">
        <f>STOCK[[#This Row],[Costo Unitario (USD)]]+STOCK[[#This Row],[Costo Envío (USD)]]+STOCK[[#This Row],[Comisión 10%]]</f>
        <v>5.75</v>
      </c>
      <c r="U979" s="76">
        <f>STOCK[[#This Row],[Costo total]]*1.5</f>
        <v>8.625</v>
      </c>
      <c r="V979" s="76">
        <v>7.5</v>
      </c>
      <c r="W979" s="76">
        <f>STOCK[[#This Row],[Precio Final]]-STOCK[[#This Row],[Costo total]]</f>
        <v>1.75</v>
      </c>
      <c r="X979" s="76">
        <f>STOCK[[#This Row],[Ganancia Unitaria]]*STOCK[[#This Row],[Salidas]]</f>
        <v>0</v>
      </c>
      <c r="Y979" s="76" t="s">
        <v>1951</v>
      </c>
      <c r="AA979" s="76">
        <f>STOCK[[#This Row],[Costo total]]*STOCK[[#This Row],[Entradas]]</f>
        <v>0</v>
      </c>
      <c r="AB979" s="76">
        <f>STOCK[[#This Row],[Stock Actual]]*STOCK[[#This Row],[Costo total]]</f>
        <v>0</v>
      </c>
    </row>
    <row r="980" s="77" customFormat="1" ht="50" hidden="1" customHeight="1" spans="1:28">
      <c r="A980" s="77" t="s">
        <v>1987</v>
      </c>
      <c r="B980" s="6"/>
      <c r="C980" s="77" t="s">
        <v>30</v>
      </c>
      <c r="D980" s="77" t="s">
        <v>1947</v>
      </c>
      <c r="E980" s="77" t="s">
        <v>1988</v>
      </c>
      <c r="F980" s="77" t="s">
        <v>1949</v>
      </c>
      <c r="G980" s="77" t="s">
        <v>1599</v>
      </c>
      <c r="H980" s="77">
        <f>STOCK[[#This Row],[Precio Final]]</f>
        <v>12</v>
      </c>
      <c r="I980" s="77">
        <f>STOCK[[#This Row],[Precio Venta Ideal (x1.5)]]</f>
        <v>13.8</v>
      </c>
      <c r="J980" s="92">
        <v>0</v>
      </c>
      <c r="K980" s="92">
        <f>SUMIFS(VENTAS[Cantidad],VENTAS[Código del producto Vendido],STOCK[[#This Row],[Code]])</f>
        <v>0</v>
      </c>
      <c r="L980" s="92">
        <f>STOCK[[#This Row],[Entradas]]-STOCK[[#This Row],[Salidas]]</f>
        <v>0</v>
      </c>
      <c r="M980" s="77">
        <f>STOCK[[#This Row],[Precio Final]]*10%</f>
        <v>1.2</v>
      </c>
      <c r="N980" s="77">
        <v>0</v>
      </c>
      <c r="O980" s="77">
        <v>0</v>
      </c>
      <c r="P980" s="77">
        <v>8</v>
      </c>
      <c r="Q980" s="92">
        <v>0</v>
      </c>
      <c r="R980" s="77">
        <v>0</v>
      </c>
      <c r="S980" s="77">
        <v>0</v>
      </c>
      <c r="T980" s="76">
        <f>STOCK[[#This Row],[Costo Unitario (USD)]]+STOCK[[#This Row],[Costo Envío (USD)]]+STOCK[[#This Row],[Comisión 10%]]</f>
        <v>9.2</v>
      </c>
      <c r="U980" s="77">
        <f>STOCK[[#This Row],[Costo total]]*1.5</f>
        <v>13.8</v>
      </c>
      <c r="V980" s="77">
        <v>12</v>
      </c>
      <c r="W980" s="77">
        <f>STOCK[[#This Row],[Precio Final]]-STOCK[[#This Row],[Costo total]]</f>
        <v>2.8</v>
      </c>
      <c r="X980" s="77">
        <f>STOCK[[#This Row],[Ganancia Unitaria]]*STOCK[[#This Row],[Salidas]]</f>
        <v>0</v>
      </c>
      <c r="Y980" s="77" t="s">
        <v>1951</v>
      </c>
      <c r="AA980" s="77">
        <f>STOCK[[#This Row],[Costo total]]*STOCK[[#This Row],[Entradas]]</f>
        <v>0</v>
      </c>
      <c r="AB980" s="77">
        <f>STOCK[[#This Row],[Stock Actual]]*STOCK[[#This Row],[Costo total]]</f>
        <v>0</v>
      </c>
    </row>
    <row r="981" s="76" customFormat="1" ht="50" hidden="1" customHeight="1" spans="1:28">
      <c r="A981" s="76" t="s">
        <v>1989</v>
      </c>
      <c r="B981" s="6"/>
      <c r="C981" s="76" t="s">
        <v>30</v>
      </c>
      <c r="D981" s="76" t="s">
        <v>1947</v>
      </c>
      <c r="E981" s="76" t="s">
        <v>1990</v>
      </c>
      <c r="F981" s="76" t="s">
        <v>1991</v>
      </c>
      <c r="G981" s="76" t="s">
        <v>1954</v>
      </c>
      <c r="H981" s="76">
        <f>STOCK[[#This Row],[Precio Final]]</f>
        <v>6</v>
      </c>
      <c r="I981" s="76">
        <f>STOCK[[#This Row],[Precio Venta Ideal (x1.5)]]</f>
        <v>6.9</v>
      </c>
      <c r="J981" s="92">
        <v>0</v>
      </c>
      <c r="K981" s="91">
        <f>SUMIFS(VENTAS[Cantidad],VENTAS[Código del producto Vendido],STOCK[[#This Row],[Code]])</f>
        <v>0</v>
      </c>
      <c r="L981" s="91">
        <f>STOCK[[#This Row],[Entradas]]-STOCK[[#This Row],[Salidas]]</f>
        <v>0</v>
      </c>
      <c r="M981" s="76">
        <f>STOCK[[#This Row],[Precio Final]]*10%</f>
        <v>0.6</v>
      </c>
      <c r="N981" s="76">
        <v>0</v>
      </c>
      <c r="O981" s="76">
        <v>0</v>
      </c>
      <c r="P981" s="76">
        <v>4</v>
      </c>
      <c r="Q981" s="91">
        <v>0</v>
      </c>
      <c r="R981" s="76">
        <v>0</v>
      </c>
      <c r="S981" s="76">
        <v>0</v>
      </c>
      <c r="T981" s="76">
        <f>STOCK[[#This Row],[Costo Unitario (USD)]]+STOCK[[#This Row],[Costo Envío (USD)]]+STOCK[[#This Row],[Comisión 10%]]</f>
        <v>4.6</v>
      </c>
      <c r="U981" s="76">
        <f>STOCK[[#This Row],[Costo total]]*1.5</f>
        <v>6.9</v>
      </c>
      <c r="V981" s="76">
        <v>6</v>
      </c>
      <c r="W981" s="76">
        <f>STOCK[[#This Row],[Precio Final]]-STOCK[[#This Row],[Costo total]]</f>
        <v>1.4</v>
      </c>
      <c r="X981" s="76">
        <f>STOCK[[#This Row],[Ganancia Unitaria]]*STOCK[[#This Row],[Salidas]]</f>
        <v>0</v>
      </c>
      <c r="Y981" s="76" t="s">
        <v>1951</v>
      </c>
      <c r="AA981" s="76">
        <f>STOCK[[#This Row],[Costo total]]*STOCK[[#This Row],[Entradas]]</f>
        <v>0</v>
      </c>
      <c r="AB981" s="76">
        <f>STOCK[[#This Row],[Stock Actual]]*STOCK[[#This Row],[Costo total]]</f>
        <v>0</v>
      </c>
    </row>
    <row r="982" s="77" customFormat="1" ht="50" hidden="1" customHeight="1" spans="1:28">
      <c r="A982" s="77" t="s">
        <v>1992</v>
      </c>
      <c r="B982" s="6"/>
      <c r="C982" s="77" t="s">
        <v>30</v>
      </c>
      <c r="D982" s="77" t="s">
        <v>1947</v>
      </c>
      <c r="E982" s="77" t="s">
        <v>1993</v>
      </c>
      <c r="F982" s="77" t="s">
        <v>1994</v>
      </c>
      <c r="G982" s="77" t="s">
        <v>1599</v>
      </c>
      <c r="H982" s="77">
        <f>STOCK[[#This Row],[Precio Final]]</f>
        <v>7.5</v>
      </c>
      <c r="I982" s="77">
        <f>STOCK[[#This Row],[Precio Venta Ideal (x1.5)]]</f>
        <v>8.625</v>
      </c>
      <c r="J982" s="92">
        <v>0</v>
      </c>
      <c r="K982" s="92">
        <f>SUMIFS(VENTAS[Cantidad],VENTAS[Código del producto Vendido],STOCK[[#This Row],[Code]])</f>
        <v>0</v>
      </c>
      <c r="L982" s="92">
        <f>STOCK[[#This Row],[Entradas]]-STOCK[[#This Row],[Salidas]]</f>
        <v>0</v>
      </c>
      <c r="M982" s="77">
        <f>STOCK[[#This Row],[Precio Final]]*10%</f>
        <v>0.75</v>
      </c>
      <c r="N982" s="77">
        <v>0</v>
      </c>
      <c r="O982" s="77">
        <v>0</v>
      </c>
      <c r="P982" s="77">
        <v>5</v>
      </c>
      <c r="Q982" s="92">
        <v>0</v>
      </c>
      <c r="R982" s="77">
        <v>0</v>
      </c>
      <c r="S982" s="77">
        <v>0</v>
      </c>
      <c r="T982" s="76">
        <f>STOCK[[#This Row],[Costo Unitario (USD)]]+STOCK[[#This Row],[Costo Envío (USD)]]+STOCK[[#This Row],[Comisión 10%]]</f>
        <v>5.75</v>
      </c>
      <c r="U982" s="77">
        <f>STOCK[[#This Row],[Costo total]]*1.5</f>
        <v>8.625</v>
      </c>
      <c r="V982" s="77">
        <v>7.5</v>
      </c>
      <c r="W982" s="77">
        <f>STOCK[[#This Row],[Precio Final]]-STOCK[[#This Row],[Costo total]]</f>
        <v>1.75</v>
      </c>
      <c r="X982" s="77">
        <f>STOCK[[#This Row],[Ganancia Unitaria]]*STOCK[[#This Row],[Salidas]]</f>
        <v>0</v>
      </c>
      <c r="Y982" s="77" t="s">
        <v>1951</v>
      </c>
      <c r="AA982" s="77">
        <f>STOCK[[#This Row],[Costo total]]*STOCK[[#This Row],[Entradas]]</f>
        <v>0</v>
      </c>
      <c r="AB982" s="77">
        <f>STOCK[[#This Row],[Stock Actual]]*STOCK[[#This Row],[Costo total]]</f>
        <v>0</v>
      </c>
    </row>
    <row r="983" s="76" customFormat="1" ht="50" hidden="1" customHeight="1" spans="1:28">
      <c r="A983" s="76" t="s">
        <v>1995</v>
      </c>
      <c r="B983" s="6"/>
      <c r="C983" s="76" t="s">
        <v>30</v>
      </c>
      <c r="D983" s="76" t="s">
        <v>1947</v>
      </c>
      <c r="E983" s="76" t="s">
        <v>1996</v>
      </c>
      <c r="F983" s="76" t="s">
        <v>1997</v>
      </c>
      <c r="G983" s="76" t="s">
        <v>702</v>
      </c>
      <c r="H983" s="76">
        <f>STOCK[[#This Row],[Precio Final]]</f>
        <v>8</v>
      </c>
      <c r="I983" s="76">
        <f>STOCK[[#This Row],[Precio Venta Ideal (x1.5)]]</f>
        <v>13.2</v>
      </c>
      <c r="J983" s="92">
        <v>0</v>
      </c>
      <c r="K983" s="91">
        <f>SUMIFS(VENTAS[Cantidad],VENTAS[Código del producto Vendido],STOCK[[#This Row],[Code]])</f>
        <v>0</v>
      </c>
      <c r="L983" s="91">
        <f>STOCK[[#This Row],[Entradas]]-STOCK[[#This Row],[Salidas]]</f>
        <v>0</v>
      </c>
      <c r="M983" s="76">
        <f>STOCK[[#This Row],[Precio Final]]*10%</f>
        <v>0.8</v>
      </c>
      <c r="N983" s="76">
        <v>0</v>
      </c>
      <c r="O983" s="76">
        <v>0</v>
      </c>
      <c r="P983" s="76">
        <v>8</v>
      </c>
      <c r="Q983" s="91">
        <v>0</v>
      </c>
      <c r="R983" s="76">
        <v>0</v>
      </c>
      <c r="S983" s="76">
        <v>0</v>
      </c>
      <c r="T983" s="76">
        <f>STOCK[[#This Row],[Costo Unitario (USD)]]+STOCK[[#This Row],[Costo Envío (USD)]]+STOCK[[#This Row],[Comisión 10%]]</f>
        <v>8.8</v>
      </c>
      <c r="U983" s="76">
        <f>STOCK[[#This Row],[Costo total]]*1.5</f>
        <v>13.2</v>
      </c>
      <c r="V983" s="76">
        <v>8</v>
      </c>
      <c r="W983" s="76">
        <f>STOCK[[#This Row],[Precio Final]]-STOCK[[#This Row],[Costo total]]</f>
        <v>-0.800000000000001</v>
      </c>
      <c r="X983" s="76">
        <f>STOCK[[#This Row],[Ganancia Unitaria]]*STOCK[[#This Row],[Salidas]]</f>
        <v>0</v>
      </c>
      <c r="Y983" s="76" t="s">
        <v>1951</v>
      </c>
      <c r="AA983" s="76">
        <f>STOCK[[#This Row],[Costo total]]*STOCK[[#This Row],[Entradas]]</f>
        <v>0</v>
      </c>
      <c r="AB983" s="76">
        <f>STOCK[[#This Row],[Stock Actual]]*STOCK[[#This Row],[Costo total]]</f>
        <v>0</v>
      </c>
    </row>
    <row r="984" s="77" customFormat="1" ht="50" hidden="1" customHeight="1" spans="1:28">
      <c r="A984" s="77" t="s">
        <v>1998</v>
      </c>
      <c r="B984" s="6"/>
      <c r="C984" s="77" t="s">
        <v>30</v>
      </c>
      <c r="D984" s="77" t="s">
        <v>1947</v>
      </c>
      <c r="E984" s="77" t="s">
        <v>1999</v>
      </c>
      <c r="F984" s="77" t="s">
        <v>2000</v>
      </c>
      <c r="G984" s="77" t="s">
        <v>2001</v>
      </c>
      <c r="H984" s="77">
        <f>STOCK[[#This Row],[Precio Final]]</f>
        <v>3</v>
      </c>
      <c r="I984" s="77">
        <f>STOCK[[#This Row],[Precio Venta Ideal (x1.5)]]</f>
        <v>3.45</v>
      </c>
      <c r="J984" s="92">
        <v>0</v>
      </c>
      <c r="K984" s="92">
        <f>SUMIFS(VENTAS[Cantidad],VENTAS[Código del producto Vendido],STOCK[[#This Row],[Code]])</f>
        <v>0</v>
      </c>
      <c r="L984" s="92">
        <f>STOCK[[#This Row],[Entradas]]-STOCK[[#This Row],[Salidas]]</f>
        <v>0</v>
      </c>
      <c r="M984" s="77">
        <f>STOCK[[#This Row],[Precio Final]]*10%</f>
        <v>0.3</v>
      </c>
      <c r="N984" s="77">
        <v>0</v>
      </c>
      <c r="O984" s="77">
        <v>0</v>
      </c>
      <c r="P984" s="77">
        <v>2</v>
      </c>
      <c r="Q984" s="92">
        <v>0</v>
      </c>
      <c r="R984" s="77">
        <v>0</v>
      </c>
      <c r="S984" s="77">
        <v>0</v>
      </c>
      <c r="T984" s="76">
        <f>STOCK[[#This Row],[Costo Unitario (USD)]]+STOCK[[#This Row],[Costo Envío (USD)]]+STOCK[[#This Row],[Comisión 10%]]</f>
        <v>2.3</v>
      </c>
      <c r="U984" s="77">
        <f>STOCK[[#This Row],[Costo total]]*1.5</f>
        <v>3.45</v>
      </c>
      <c r="V984" s="77">
        <v>3</v>
      </c>
      <c r="W984" s="77">
        <f>STOCK[[#This Row],[Precio Final]]-STOCK[[#This Row],[Costo total]]</f>
        <v>0.7</v>
      </c>
      <c r="X984" s="77">
        <f>STOCK[[#This Row],[Ganancia Unitaria]]*STOCK[[#This Row],[Salidas]]</f>
        <v>0</v>
      </c>
      <c r="Y984" s="77" t="s">
        <v>1951</v>
      </c>
      <c r="AA984" s="77">
        <f>STOCK[[#This Row],[Costo total]]*STOCK[[#This Row],[Entradas]]</f>
        <v>0</v>
      </c>
      <c r="AB984" s="77">
        <f>STOCK[[#This Row],[Stock Actual]]*STOCK[[#This Row],[Costo total]]</f>
        <v>0</v>
      </c>
    </row>
    <row r="985" s="76" customFormat="1" ht="50" hidden="1" customHeight="1" spans="1:28">
      <c r="A985" s="76" t="s">
        <v>2002</v>
      </c>
      <c r="B985" s="6"/>
      <c r="C985" s="76" t="s">
        <v>30</v>
      </c>
      <c r="D985" s="76" t="s">
        <v>1947</v>
      </c>
      <c r="E985" s="76" t="s">
        <v>2003</v>
      </c>
      <c r="F985" s="76" t="s">
        <v>227</v>
      </c>
      <c r="G985" s="76" t="s">
        <v>1954</v>
      </c>
      <c r="H985" s="76">
        <f>STOCK[[#This Row],[Precio Final]]</f>
        <v>4.5</v>
      </c>
      <c r="I985" s="76">
        <f>STOCK[[#This Row],[Precio Venta Ideal (x1.5)]]</f>
        <v>5.175</v>
      </c>
      <c r="J985" s="92">
        <v>0</v>
      </c>
      <c r="K985" s="91">
        <f>SUMIFS(VENTAS[Cantidad],VENTAS[Código del producto Vendido],STOCK[[#This Row],[Code]])</f>
        <v>0</v>
      </c>
      <c r="L985" s="91">
        <f>STOCK[[#This Row],[Entradas]]-STOCK[[#This Row],[Salidas]]</f>
        <v>0</v>
      </c>
      <c r="M985" s="76">
        <f>STOCK[[#This Row],[Precio Final]]*10%</f>
        <v>0.45</v>
      </c>
      <c r="N985" s="76">
        <v>0</v>
      </c>
      <c r="O985" s="76">
        <v>0</v>
      </c>
      <c r="P985" s="76">
        <v>3</v>
      </c>
      <c r="Q985" s="91">
        <v>0</v>
      </c>
      <c r="R985" s="76">
        <v>0</v>
      </c>
      <c r="S985" s="76">
        <v>0</v>
      </c>
      <c r="T985" s="76">
        <f>STOCK[[#This Row],[Costo Unitario (USD)]]+STOCK[[#This Row],[Costo Envío (USD)]]+STOCK[[#This Row],[Comisión 10%]]</f>
        <v>3.45</v>
      </c>
      <c r="U985" s="76">
        <f>STOCK[[#This Row],[Costo total]]*1.5</f>
        <v>5.175</v>
      </c>
      <c r="V985" s="76">
        <v>4.5</v>
      </c>
      <c r="W985" s="76">
        <f>STOCK[[#This Row],[Precio Final]]-STOCK[[#This Row],[Costo total]]</f>
        <v>1.05</v>
      </c>
      <c r="X985" s="76">
        <f>STOCK[[#This Row],[Ganancia Unitaria]]*STOCK[[#This Row],[Salidas]]</f>
        <v>0</v>
      </c>
      <c r="Y985" s="76" t="s">
        <v>1951</v>
      </c>
      <c r="AA985" s="76">
        <f>STOCK[[#This Row],[Costo total]]*STOCK[[#This Row],[Entradas]]</f>
        <v>0</v>
      </c>
      <c r="AB985" s="76">
        <f>STOCK[[#This Row],[Stock Actual]]*STOCK[[#This Row],[Costo total]]</f>
        <v>0</v>
      </c>
    </row>
    <row r="986" s="77" customFormat="1" ht="50" hidden="1" customHeight="1" spans="1:28">
      <c r="A986" s="77" t="s">
        <v>2004</v>
      </c>
      <c r="B986" s="6"/>
      <c r="C986" s="77" t="s">
        <v>30</v>
      </c>
      <c r="D986" s="77" t="s">
        <v>1947</v>
      </c>
      <c r="E986" s="77" t="s">
        <v>2005</v>
      </c>
      <c r="F986" s="77" t="s">
        <v>2006</v>
      </c>
      <c r="G986" s="77" t="s">
        <v>1954</v>
      </c>
      <c r="H986" s="77">
        <f>STOCK[[#This Row],[Precio Final]]</f>
        <v>3</v>
      </c>
      <c r="I986" s="77">
        <f>STOCK[[#This Row],[Precio Venta Ideal (x1.5)]]</f>
        <v>3.45</v>
      </c>
      <c r="J986" s="92">
        <v>0</v>
      </c>
      <c r="K986" s="92">
        <f>SUMIFS(VENTAS[Cantidad],VENTAS[Código del producto Vendido],STOCK[[#This Row],[Code]])</f>
        <v>0</v>
      </c>
      <c r="L986" s="92">
        <f>STOCK[[#This Row],[Entradas]]-STOCK[[#This Row],[Salidas]]</f>
        <v>0</v>
      </c>
      <c r="M986" s="77">
        <f>STOCK[[#This Row],[Precio Final]]*10%</f>
        <v>0.3</v>
      </c>
      <c r="N986" s="77">
        <v>0</v>
      </c>
      <c r="O986" s="77">
        <v>0</v>
      </c>
      <c r="P986" s="77">
        <v>2</v>
      </c>
      <c r="Q986" s="92">
        <v>0</v>
      </c>
      <c r="R986" s="77">
        <v>0</v>
      </c>
      <c r="S986" s="77">
        <v>0</v>
      </c>
      <c r="T986" s="76">
        <f>STOCK[[#This Row],[Costo Unitario (USD)]]+STOCK[[#This Row],[Costo Envío (USD)]]+STOCK[[#This Row],[Comisión 10%]]</f>
        <v>2.3</v>
      </c>
      <c r="U986" s="77">
        <f>STOCK[[#This Row],[Costo total]]*1.5</f>
        <v>3.45</v>
      </c>
      <c r="V986" s="77">
        <v>3</v>
      </c>
      <c r="W986" s="77">
        <f>STOCK[[#This Row],[Precio Final]]-STOCK[[#This Row],[Costo total]]</f>
        <v>0.7</v>
      </c>
      <c r="X986" s="77">
        <f>STOCK[[#This Row],[Ganancia Unitaria]]*STOCK[[#This Row],[Salidas]]</f>
        <v>0</v>
      </c>
      <c r="Y986" s="77" t="s">
        <v>1951</v>
      </c>
      <c r="AA986" s="77">
        <f>STOCK[[#This Row],[Costo total]]*STOCK[[#This Row],[Entradas]]</f>
        <v>0</v>
      </c>
      <c r="AB986" s="77">
        <f>STOCK[[#This Row],[Stock Actual]]*STOCK[[#This Row],[Costo total]]</f>
        <v>0</v>
      </c>
    </row>
    <row r="987" s="76" customFormat="1" ht="50" hidden="1" customHeight="1" spans="1:28">
      <c r="A987" s="76" t="s">
        <v>2007</v>
      </c>
      <c r="B987" s="6"/>
      <c r="C987" s="76" t="s">
        <v>30</v>
      </c>
      <c r="D987" s="76" t="s">
        <v>1947</v>
      </c>
      <c r="E987" s="76" t="s">
        <v>2008</v>
      </c>
      <c r="F987" s="76" t="s">
        <v>2009</v>
      </c>
      <c r="G987" s="76" t="s">
        <v>1954</v>
      </c>
      <c r="H987" s="76">
        <f>STOCK[[#This Row],[Precio Final]]</f>
        <v>15</v>
      </c>
      <c r="I987" s="76">
        <f>STOCK[[#This Row],[Precio Venta Ideal (x1.5)]]</f>
        <v>17.25</v>
      </c>
      <c r="J987" s="92">
        <v>0</v>
      </c>
      <c r="K987" s="91">
        <f>SUMIFS(VENTAS[Cantidad],VENTAS[Código del producto Vendido],STOCK[[#This Row],[Code]])</f>
        <v>0</v>
      </c>
      <c r="L987" s="91">
        <f>STOCK[[#This Row],[Entradas]]-STOCK[[#This Row],[Salidas]]</f>
        <v>0</v>
      </c>
      <c r="M987" s="76">
        <f>STOCK[[#This Row],[Precio Final]]*10%</f>
        <v>1.5</v>
      </c>
      <c r="N987" s="76">
        <v>0</v>
      </c>
      <c r="O987" s="76">
        <v>0</v>
      </c>
      <c r="P987" s="76">
        <v>10</v>
      </c>
      <c r="Q987" s="91">
        <v>0</v>
      </c>
      <c r="R987" s="76">
        <v>0</v>
      </c>
      <c r="S987" s="76">
        <v>0</v>
      </c>
      <c r="T987" s="76">
        <f>STOCK[[#This Row],[Costo Unitario (USD)]]+STOCK[[#This Row],[Costo Envío (USD)]]+STOCK[[#This Row],[Comisión 10%]]</f>
        <v>11.5</v>
      </c>
      <c r="U987" s="76">
        <f>STOCK[[#This Row],[Costo total]]*1.5</f>
        <v>17.25</v>
      </c>
      <c r="V987" s="76">
        <v>15</v>
      </c>
      <c r="W987" s="76">
        <f>STOCK[[#This Row],[Precio Final]]-STOCK[[#This Row],[Costo total]]</f>
        <v>3.5</v>
      </c>
      <c r="X987" s="76">
        <f>STOCK[[#This Row],[Ganancia Unitaria]]*STOCK[[#This Row],[Salidas]]</f>
        <v>0</v>
      </c>
      <c r="Y987" s="76" t="s">
        <v>1951</v>
      </c>
      <c r="AA987" s="76">
        <f>STOCK[[#This Row],[Costo total]]*STOCK[[#This Row],[Entradas]]</f>
        <v>0</v>
      </c>
      <c r="AB987" s="76">
        <f>STOCK[[#This Row],[Stock Actual]]*STOCK[[#This Row],[Costo total]]</f>
        <v>0</v>
      </c>
    </row>
    <row r="988" s="77" customFormat="1" ht="50" hidden="1" customHeight="1" spans="1:28">
      <c r="A988" s="77" t="s">
        <v>2010</v>
      </c>
      <c r="B988" s="6"/>
      <c r="C988" s="77" t="s">
        <v>30</v>
      </c>
      <c r="D988" s="77" t="s">
        <v>1947</v>
      </c>
      <c r="E988" s="77" t="s">
        <v>2011</v>
      </c>
      <c r="F988" s="77" t="s">
        <v>2012</v>
      </c>
      <c r="G988" s="77" t="s">
        <v>1954</v>
      </c>
      <c r="H988" s="77">
        <f>STOCK[[#This Row],[Precio Final]]</f>
        <v>4.5</v>
      </c>
      <c r="I988" s="77">
        <f>STOCK[[#This Row],[Precio Venta Ideal (x1.5)]]</f>
        <v>3.675</v>
      </c>
      <c r="J988" s="92">
        <v>0</v>
      </c>
      <c r="K988" s="92">
        <f>SUMIFS(VENTAS[Cantidad],VENTAS[Código del producto Vendido],STOCK[[#This Row],[Code]])</f>
        <v>0</v>
      </c>
      <c r="L988" s="92">
        <f>STOCK[[#This Row],[Entradas]]-STOCK[[#This Row],[Salidas]]</f>
        <v>0</v>
      </c>
      <c r="M988" s="77">
        <f>STOCK[[#This Row],[Precio Final]]*10%</f>
        <v>0.45</v>
      </c>
      <c r="N988" s="77">
        <v>0</v>
      </c>
      <c r="O988" s="77">
        <v>0</v>
      </c>
      <c r="P988" s="77">
        <v>2</v>
      </c>
      <c r="Q988" s="92">
        <v>0</v>
      </c>
      <c r="R988" s="77">
        <v>0</v>
      </c>
      <c r="S988" s="77">
        <v>0</v>
      </c>
      <c r="T988" s="76">
        <f>STOCK[[#This Row],[Costo Unitario (USD)]]+STOCK[[#This Row],[Costo Envío (USD)]]+STOCK[[#This Row],[Comisión 10%]]</f>
        <v>2.45</v>
      </c>
      <c r="U988" s="77">
        <f>STOCK[[#This Row],[Costo total]]*1.5</f>
        <v>3.675</v>
      </c>
      <c r="V988" s="77">
        <v>4.5</v>
      </c>
      <c r="W988" s="77">
        <f>STOCK[[#This Row],[Precio Final]]-STOCK[[#This Row],[Costo total]]</f>
        <v>2.05</v>
      </c>
      <c r="X988" s="77">
        <f>STOCK[[#This Row],[Ganancia Unitaria]]*STOCK[[#This Row],[Salidas]]</f>
        <v>0</v>
      </c>
      <c r="Y988" s="77" t="s">
        <v>1951</v>
      </c>
      <c r="AA988" s="77">
        <f>STOCK[[#This Row],[Costo total]]*STOCK[[#This Row],[Entradas]]</f>
        <v>0</v>
      </c>
      <c r="AB988" s="77">
        <f>STOCK[[#This Row],[Stock Actual]]*STOCK[[#This Row],[Costo total]]</f>
        <v>0</v>
      </c>
    </row>
    <row r="989" s="76" customFormat="1" ht="50" hidden="1" customHeight="1" spans="1:28">
      <c r="A989" s="76" t="s">
        <v>2013</v>
      </c>
      <c r="B989" s="6"/>
      <c r="C989" s="76" t="s">
        <v>30</v>
      </c>
      <c r="D989" s="76" t="s">
        <v>1947</v>
      </c>
      <c r="E989" s="76" t="s">
        <v>2014</v>
      </c>
      <c r="F989" s="76" t="s">
        <v>2015</v>
      </c>
      <c r="G989" s="76" t="s">
        <v>1950</v>
      </c>
      <c r="H989" s="76">
        <f>STOCK[[#This Row],[Precio Final]]</f>
        <v>4.5</v>
      </c>
      <c r="I989" s="76">
        <f>STOCK[[#This Row],[Precio Venta Ideal (x1.5)]]</f>
        <v>3.675</v>
      </c>
      <c r="J989" s="92">
        <v>0</v>
      </c>
      <c r="K989" s="91">
        <f>SUMIFS(VENTAS[Cantidad],VENTAS[Código del producto Vendido],STOCK[[#This Row],[Code]])</f>
        <v>0</v>
      </c>
      <c r="L989" s="91">
        <f>STOCK[[#This Row],[Entradas]]-STOCK[[#This Row],[Salidas]]</f>
        <v>0</v>
      </c>
      <c r="M989" s="76">
        <f>STOCK[[#This Row],[Precio Final]]*10%</f>
        <v>0.45</v>
      </c>
      <c r="N989" s="76">
        <v>0</v>
      </c>
      <c r="O989" s="76">
        <v>0</v>
      </c>
      <c r="P989" s="76">
        <v>2</v>
      </c>
      <c r="Q989" s="91">
        <v>0</v>
      </c>
      <c r="R989" s="76">
        <v>0</v>
      </c>
      <c r="S989" s="76">
        <v>0</v>
      </c>
      <c r="T989" s="76">
        <f>STOCK[[#This Row],[Costo Unitario (USD)]]+STOCK[[#This Row],[Costo Envío (USD)]]+STOCK[[#This Row],[Comisión 10%]]</f>
        <v>2.45</v>
      </c>
      <c r="U989" s="76">
        <f>STOCK[[#This Row],[Costo total]]*1.5</f>
        <v>3.675</v>
      </c>
      <c r="V989" s="76">
        <v>4.5</v>
      </c>
      <c r="W989" s="76">
        <f>STOCK[[#This Row],[Precio Final]]-STOCK[[#This Row],[Costo total]]</f>
        <v>2.05</v>
      </c>
      <c r="X989" s="76">
        <f>STOCK[[#This Row],[Ganancia Unitaria]]*STOCK[[#This Row],[Salidas]]</f>
        <v>0</v>
      </c>
      <c r="Y989" s="76" t="s">
        <v>1951</v>
      </c>
      <c r="AA989" s="76">
        <f>STOCK[[#This Row],[Costo total]]*STOCK[[#This Row],[Entradas]]</f>
        <v>0</v>
      </c>
      <c r="AB989" s="76">
        <f>STOCK[[#This Row],[Stock Actual]]*STOCK[[#This Row],[Costo total]]</f>
        <v>0</v>
      </c>
    </row>
    <row r="990" s="77" customFormat="1" ht="50" hidden="1" customHeight="1" spans="1:28">
      <c r="A990" s="77" t="s">
        <v>2016</v>
      </c>
      <c r="B990" s="6"/>
      <c r="C990" s="77" t="s">
        <v>30</v>
      </c>
      <c r="D990" s="77" t="s">
        <v>1951</v>
      </c>
      <c r="E990" s="77" t="s">
        <v>2017</v>
      </c>
      <c r="F990" s="77" t="s">
        <v>2018</v>
      </c>
      <c r="G990" s="77" t="s">
        <v>34</v>
      </c>
      <c r="H990" s="77">
        <f>STOCK[[#This Row],[Precio Final]]</f>
        <v>22</v>
      </c>
      <c r="I990" s="77">
        <f>STOCK[[#This Row],[Precio Venta Ideal (x1.5)]]</f>
        <v>3.3</v>
      </c>
      <c r="J990" s="92">
        <v>1</v>
      </c>
      <c r="K990" s="92">
        <f>SUMIFS(VENTAS[Cantidad],VENTAS[Código del producto Vendido],STOCK[[#This Row],[Code]])</f>
        <v>1</v>
      </c>
      <c r="L990" s="92">
        <f>STOCK[[#This Row],[Entradas]]-STOCK[[#This Row],[Salidas]]</f>
        <v>0</v>
      </c>
      <c r="M990" s="77">
        <f>STOCK[[#This Row],[Precio Final]]*10%</f>
        <v>2.2</v>
      </c>
      <c r="N990" s="77">
        <v>0</v>
      </c>
      <c r="O990" s="77">
        <v>0</v>
      </c>
      <c r="P990" s="77">
        <v>0</v>
      </c>
      <c r="Q990" s="92">
        <v>0</v>
      </c>
      <c r="R990" s="77">
        <v>0</v>
      </c>
      <c r="S990" s="77">
        <v>0</v>
      </c>
      <c r="T990" s="76">
        <f>STOCK[[#This Row],[Costo Unitario (USD)]]+STOCK[[#This Row],[Costo Envío (USD)]]+STOCK[[#This Row],[Comisión 10%]]</f>
        <v>2.2</v>
      </c>
      <c r="U990" s="77">
        <f>STOCK[[#This Row],[Costo total]]*1.5</f>
        <v>3.3</v>
      </c>
      <c r="V990" s="77">
        <v>22</v>
      </c>
      <c r="W990" s="77">
        <f>STOCK[[#This Row],[Precio Final]]-STOCK[[#This Row],[Costo total]]</f>
        <v>19.8</v>
      </c>
      <c r="X990" s="77">
        <f>STOCK[[#This Row],[Ganancia Unitaria]]*STOCK[[#This Row],[Salidas]]</f>
        <v>19.8</v>
      </c>
      <c r="Y990" s="77" t="s">
        <v>1951</v>
      </c>
      <c r="AA990" s="77">
        <f>STOCK[[#This Row],[Costo total]]*STOCK[[#This Row],[Entradas]]</f>
        <v>2.2</v>
      </c>
      <c r="AB990" s="77">
        <f>STOCK[[#This Row],[Stock Actual]]*STOCK[[#This Row],[Costo total]]</f>
        <v>0</v>
      </c>
    </row>
    <row r="991" s="76" customFormat="1" ht="50" hidden="1" customHeight="1" spans="1:28">
      <c r="A991" s="76" t="s">
        <v>2019</v>
      </c>
      <c r="B991" s="6"/>
      <c r="C991" s="76" t="s">
        <v>30</v>
      </c>
      <c r="D991" s="76" t="s">
        <v>2020</v>
      </c>
      <c r="E991" s="76" t="s">
        <v>2021</v>
      </c>
      <c r="F991" s="76" t="s">
        <v>44</v>
      </c>
      <c r="G991" s="76" t="s">
        <v>34</v>
      </c>
      <c r="H991" s="76">
        <f>STOCK[[#This Row],[Precio Final]]</f>
        <v>22</v>
      </c>
      <c r="I991" s="76">
        <f>STOCK[[#This Row],[Precio Venta Ideal (x1.5)]]</f>
        <v>3.3</v>
      </c>
      <c r="J991" s="91">
        <v>1</v>
      </c>
      <c r="K991" s="91">
        <f>SUMIFS(VENTAS[Cantidad],VENTAS[Código del producto Vendido],STOCK[[#This Row],[Code]])</f>
        <v>0</v>
      </c>
      <c r="L991" s="91">
        <f>STOCK[[#This Row],[Entradas]]-STOCK[[#This Row],[Salidas]]</f>
        <v>1</v>
      </c>
      <c r="M991" s="76">
        <f>STOCK[[#This Row],[Precio Final]]*10%</f>
        <v>2.2</v>
      </c>
      <c r="N991" s="76">
        <v>0</v>
      </c>
      <c r="O991" s="76">
        <v>0</v>
      </c>
      <c r="P991" s="76">
        <v>0</v>
      </c>
      <c r="Q991" s="91">
        <v>0</v>
      </c>
      <c r="R991" s="76">
        <v>0</v>
      </c>
      <c r="S991" s="76">
        <v>0</v>
      </c>
      <c r="T991" s="76">
        <f>STOCK[[#This Row],[Costo Unitario (USD)]]+STOCK[[#This Row],[Costo Envío (USD)]]+STOCK[[#This Row],[Comisión 10%]]</f>
        <v>2.2</v>
      </c>
      <c r="U991" s="76">
        <f>STOCK[[#This Row],[Costo total]]*1.5</f>
        <v>3.3</v>
      </c>
      <c r="V991" s="76">
        <v>22</v>
      </c>
      <c r="W991" s="76">
        <f>STOCK[[#This Row],[Precio Final]]-STOCK[[#This Row],[Costo total]]</f>
        <v>19.8</v>
      </c>
      <c r="X991" s="76">
        <f>STOCK[[#This Row],[Ganancia Unitaria]]*STOCK[[#This Row],[Salidas]]</f>
        <v>0</v>
      </c>
      <c r="Y991" s="76" t="s">
        <v>1951</v>
      </c>
      <c r="AA991" s="76">
        <f>STOCK[[#This Row],[Costo total]]*STOCK[[#This Row],[Entradas]]</f>
        <v>2.2</v>
      </c>
      <c r="AB991" s="76">
        <f>STOCK[[#This Row],[Stock Actual]]*STOCK[[#This Row],[Costo total]]</f>
        <v>2.2</v>
      </c>
    </row>
    <row r="992" s="77" customFormat="1" ht="50" hidden="1" customHeight="1" spans="1:28">
      <c r="A992" s="77" t="s">
        <v>2022</v>
      </c>
      <c r="B992" s="6"/>
      <c r="C992" s="77" t="s">
        <v>30</v>
      </c>
      <c r="D992" s="77" t="s">
        <v>1947</v>
      </c>
      <c r="E992" s="77" t="s">
        <v>2017</v>
      </c>
      <c r="F992" s="77" t="s">
        <v>2023</v>
      </c>
      <c r="G992" s="77" t="s">
        <v>34</v>
      </c>
      <c r="H992" s="77">
        <f>STOCK[[#This Row],[Precio Final]]</f>
        <v>22</v>
      </c>
      <c r="I992" s="77">
        <f>STOCK[[#This Row],[Precio Venta Ideal (x1.5)]]</f>
        <v>3.3</v>
      </c>
      <c r="J992" s="92">
        <v>1</v>
      </c>
      <c r="K992" s="92">
        <f>SUMIFS(VENTAS[Cantidad],VENTAS[Código del producto Vendido],STOCK[[#This Row],[Code]])</f>
        <v>1</v>
      </c>
      <c r="L992" s="92">
        <f>STOCK[[#This Row],[Entradas]]-STOCK[[#This Row],[Salidas]]</f>
        <v>0</v>
      </c>
      <c r="M992" s="77">
        <f>STOCK[[#This Row],[Precio Final]]*10%</f>
        <v>2.2</v>
      </c>
      <c r="N992" s="77">
        <v>0</v>
      </c>
      <c r="O992" s="77">
        <v>0</v>
      </c>
      <c r="P992" s="77">
        <v>0</v>
      </c>
      <c r="Q992" s="92">
        <v>0</v>
      </c>
      <c r="R992" s="77">
        <v>0</v>
      </c>
      <c r="S992" s="77">
        <v>0</v>
      </c>
      <c r="T992" s="76">
        <f>STOCK[[#This Row],[Costo Unitario (USD)]]+STOCK[[#This Row],[Costo Envío (USD)]]+STOCK[[#This Row],[Comisión 10%]]</f>
        <v>2.2</v>
      </c>
      <c r="U992" s="77">
        <f>STOCK[[#This Row],[Costo total]]*1.5</f>
        <v>3.3</v>
      </c>
      <c r="V992" s="77">
        <v>22</v>
      </c>
      <c r="W992" s="77">
        <f>STOCK[[#This Row],[Precio Final]]-STOCK[[#This Row],[Costo total]]</f>
        <v>19.8</v>
      </c>
      <c r="X992" s="77">
        <f>STOCK[[#This Row],[Ganancia Unitaria]]*STOCK[[#This Row],[Salidas]]</f>
        <v>19.8</v>
      </c>
      <c r="Y992" s="77" t="s">
        <v>1951</v>
      </c>
      <c r="AA992" s="77">
        <f>STOCK[[#This Row],[Costo total]]*STOCK[[#This Row],[Entradas]]</f>
        <v>2.2</v>
      </c>
      <c r="AB992" s="77">
        <f>STOCK[[#This Row],[Stock Actual]]*STOCK[[#This Row],[Costo total]]</f>
        <v>0</v>
      </c>
    </row>
    <row r="993" s="76" customFormat="1" ht="50" hidden="1" customHeight="1" spans="1:28">
      <c r="A993" s="76" t="s">
        <v>2024</v>
      </c>
      <c r="B993" s="6"/>
      <c r="C993" s="76" t="s">
        <v>30</v>
      </c>
      <c r="D993" s="76" t="s">
        <v>1947</v>
      </c>
      <c r="E993" s="76" t="s">
        <v>2025</v>
      </c>
      <c r="F993" s="76" t="s">
        <v>2026</v>
      </c>
      <c r="H993" s="76">
        <f>STOCK[[#This Row],[Precio Final]]</f>
        <v>3</v>
      </c>
      <c r="I993" s="76">
        <f>STOCK[[#This Row],[Precio Venta Ideal (x1.5)]]</f>
        <v>0.45</v>
      </c>
      <c r="J993" s="91">
        <v>0</v>
      </c>
      <c r="K993" s="91">
        <f>SUMIFS(VENTAS[Cantidad],VENTAS[Código del producto Vendido],STOCK[[#This Row],[Code]])</f>
        <v>0</v>
      </c>
      <c r="L993" s="91">
        <f>STOCK[[#This Row],[Entradas]]-STOCK[[#This Row],[Salidas]]</f>
        <v>0</v>
      </c>
      <c r="M993" s="76">
        <f>STOCK[[#This Row],[Precio Final]]*10%</f>
        <v>0.3</v>
      </c>
      <c r="N993" s="76">
        <v>0</v>
      </c>
      <c r="O993" s="76">
        <v>0</v>
      </c>
      <c r="P993" s="76">
        <v>0</v>
      </c>
      <c r="Q993" s="91">
        <v>0</v>
      </c>
      <c r="R993" s="76">
        <v>0</v>
      </c>
      <c r="S993" s="76">
        <v>0</v>
      </c>
      <c r="T993" s="76">
        <f>STOCK[[#This Row],[Costo Unitario (USD)]]+STOCK[[#This Row],[Costo Envío (USD)]]+STOCK[[#This Row],[Comisión 10%]]</f>
        <v>0.3</v>
      </c>
      <c r="U993" s="76">
        <f>STOCK[[#This Row],[Costo total]]*1.5</f>
        <v>0.45</v>
      </c>
      <c r="V993" s="76">
        <v>3</v>
      </c>
      <c r="W993" s="76">
        <f>STOCK[[#This Row],[Precio Final]]-STOCK[[#This Row],[Costo total]]</f>
        <v>2.7</v>
      </c>
      <c r="X993" s="76">
        <f>STOCK[[#This Row],[Ganancia Unitaria]]*STOCK[[#This Row],[Salidas]]</f>
        <v>0</v>
      </c>
      <c r="Y993" s="76" t="s">
        <v>1951</v>
      </c>
      <c r="Z993" s="76">
        <f>STOCK[[#This Row],[Precio Final]]*25%</f>
        <v>0.75</v>
      </c>
      <c r="AA993" s="76">
        <f>STOCK[[#This Row],[Costo total]]*STOCK[[#This Row],[Entradas]]</f>
        <v>0</v>
      </c>
      <c r="AB993" s="76">
        <f>STOCK[[#This Row],[Stock Actual]]*STOCK[[#This Row],[Costo total]]</f>
        <v>0</v>
      </c>
    </row>
    <row r="994" s="77" customFormat="1" ht="50" hidden="1" customHeight="1" spans="1:28">
      <c r="A994" s="77" t="s">
        <v>2027</v>
      </c>
      <c r="B994" s="6"/>
      <c r="C994" s="77" t="s">
        <v>30</v>
      </c>
      <c r="D994" s="77" t="s">
        <v>1947</v>
      </c>
      <c r="E994" s="77" t="s">
        <v>2028</v>
      </c>
      <c r="F994" s="77" t="s">
        <v>2029</v>
      </c>
      <c r="G994" s="77" t="s">
        <v>2030</v>
      </c>
      <c r="H994" s="77">
        <f>STOCK[[#This Row],[Precio Final]]</f>
        <v>3</v>
      </c>
      <c r="I994" s="77">
        <f>STOCK[[#This Row],[Precio Venta Ideal (x1.5)]]</f>
        <v>0.45</v>
      </c>
      <c r="J994" s="92">
        <v>1</v>
      </c>
      <c r="K994" s="92">
        <f>SUMIFS(VENTAS[Cantidad],VENTAS[Código del producto Vendido],STOCK[[#This Row],[Code]])</f>
        <v>1</v>
      </c>
      <c r="L994" s="92">
        <f>STOCK[[#This Row],[Entradas]]-STOCK[[#This Row],[Salidas]]</f>
        <v>0</v>
      </c>
      <c r="M994" s="77">
        <f>STOCK[[#This Row],[Precio Final]]*10%</f>
        <v>0.3</v>
      </c>
      <c r="N994" s="77">
        <v>0</v>
      </c>
      <c r="O994" s="77">
        <v>0</v>
      </c>
      <c r="P994" s="77">
        <v>0</v>
      </c>
      <c r="Q994" s="92">
        <v>0</v>
      </c>
      <c r="R994" s="77">
        <v>0</v>
      </c>
      <c r="S994" s="77">
        <v>0</v>
      </c>
      <c r="T994" s="76">
        <f>STOCK[[#This Row],[Costo Unitario (USD)]]+STOCK[[#This Row],[Costo Envío (USD)]]+STOCK[[#This Row],[Comisión 10%]]</f>
        <v>0.3</v>
      </c>
      <c r="U994" s="77">
        <f>STOCK[[#This Row],[Costo total]]*1.5</f>
        <v>0.45</v>
      </c>
      <c r="V994" s="77">
        <v>3</v>
      </c>
      <c r="W994" s="77">
        <f>STOCK[[#This Row],[Precio Final]]-STOCK[[#This Row],[Costo total]]</f>
        <v>2.7</v>
      </c>
      <c r="X994" s="77">
        <f>STOCK[[#This Row],[Ganancia Unitaria]]*STOCK[[#This Row],[Salidas]]</f>
        <v>2.7</v>
      </c>
      <c r="Y994" s="77" t="s">
        <v>1951</v>
      </c>
      <c r="Z994" s="77">
        <f>STOCK[[#This Row],[Precio Final]]*25%</f>
        <v>0.75</v>
      </c>
      <c r="AA994" s="77">
        <f>STOCK[[#This Row],[Costo total]]*STOCK[[#This Row],[Entradas]]</f>
        <v>0.3</v>
      </c>
      <c r="AB994" s="77">
        <f>STOCK[[#This Row],[Stock Actual]]*STOCK[[#This Row],[Costo total]]</f>
        <v>0</v>
      </c>
    </row>
    <row r="995" s="76" customFormat="1" ht="50" hidden="1" customHeight="1" spans="1:28">
      <c r="A995" s="76" t="s">
        <v>2031</v>
      </c>
      <c r="B995" s="6"/>
      <c r="C995" s="76" t="s">
        <v>30</v>
      </c>
      <c r="D995" s="76" t="s">
        <v>1947</v>
      </c>
      <c r="E995" s="76" t="s">
        <v>2032</v>
      </c>
      <c r="F995" s="76" t="s">
        <v>1981</v>
      </c>
      <c r="H995" s="76">
        <f>STOCK[[#This Row],[Precio Final]]</f>
        <v>3</v>
      </c>
      <c r="I995" s="76">
        <f>STOCK[[#This Row],[Precio Venta Ideal (x1.5)]]</f>
        <v>0.45</v>
      </c>
      <c r="J995" s="91">
        <v>0</v>
      </c>
      <c r="K995" s="91">
        <f>SUMIFS(VENTAS[Cantidad],VENTAS[Código del producto Vendido],STOCK[[#This Row],[Code]])</f>
        <v>0</v>
      </c>
      <c r="L995" s="91">
        <f>STOCK[[#This Row],[Entradas]]-STOCK[[#This Row],[Salidas]]</f>
        <v>0</v>
      </c>
      <c r="M995" s="76">
        <f>STOCK[[#This Row],[Precio Final]]*10%</f>
        <v>0.3</v>
      </c>
      <c r="N995" s="76">
        <v>0</v>
      </c>
      <c r="O995" s="76">
        <v>0</v>
      </c>
      <c r="P995" s="76">
        <v>0</v>
      </c>
      <c r="Q995" s="91">
        <v>0</v>
      </c>
      <c r="R995" s="76">
        <v>0</v>
      </c>
      <c r="S995" s="76">
        <v>0</v>
      </c>
      <c r="T995" s="76">
        <f>STOCK[[#This Row],[Costo Unitario (USD)]]+STOCK[[#This Row],[Costo Envío (USD)]]+STOCK[[#This Row],[Comisión 10%]]</f>
        <v>0.3</v>
      </c>
      <c r="U995" s="76">
        <f>STOCK[[#This Row],[Costo total]]*1.5</f>
        <v>0.45</v>
      </c>
      <c r="V995" s="76">
        <v>3</v>
      </c>
      <c r="W995" s="76">
        <f>STOCK[[#This Row],[Precio Final]]-STOCK[[#This Row],[Costo total]]</f>
        <v>2.7</v>
      </c>
      <c r="X995" s="76">
        <f>STOCK[[#This Row],[Ganancia Unitaria]]*STOCK[[#This Row],[Salidas]]</f>
        <v>0</v>
      </c>
      <c r="Y995" s="76" t="s">
        <v>1951</v>
      </c>
      <c r="Z995" s="76">
        <f>STOCK[[#This Row],[Precio Final]]*25%</f>
        <v>0.75</v>
      </c>
      <c r="AA995" s="76">
        <f>STOCK[[#This Row],[Costo total]]*STOCK[[#This Row],[Entradas]]</f>
        <v>0</v>
      </c>
      <c r="AB995" s="76">
        <f>STOCK[[#This Row],[Stock Actual]]*STOCK[[#This Row],[Costo total]]</f>
        <v>0</v>
      </c>
    </row>
    <row r="996" s="77" customFormat="1" ht="50" hidden="1" customHeight="1" spans="1:28">
      <c r="A996" s="77" t="s">
        <v>2033</v>
      </c>
      <c r="B996" s="6"/>
      <c r="C996" s="77" t="s">
        <v>30</v>
      </c>
      <c r="D996" s="77" t="s">
        <v>1947</v>
      </c>
      <c r="E996" s="77" t="s">
        <v>2034</v>
      </c>
      <c r="F996" s="77" t="s">
        <v>2035</v>
      </c>
      <c r="G996" s="77" t="s">
        <v>2036</v>
      </c>
      <c r="H996" s="77">
        <f>STOCK[[#This Row],[Precio Final]]</f>
        <v>3</v>
      </c>
      <c r="I996" s="77">
        <f>STOCK[[#This Row],[Precio Venta Ideal (x1.5)]]</f>
        <v>0.45</v>
      </c>
      <c r="J996" s="92">
        <v>0</v>
      </c>
      <c r="K996" s="92">
        <f>SUMIFS(VENTAS[Cantidad],VENTAS[Código del producto Vendido],STOCK[[#This Row],[Code]])</f>
        <v>0</v>
      </c>
      <c r="L996" s="92">
        <f>STOCK[[#This Row],[Entradas]]-STOCK[[#This Row],[Salidas]]</f>
        <v>0</v>
      </c>
      <c r="M996" s="77">
        <f>STOCK[[#This Row],[Precio Final]]*10%</f>
        <v>0.3</v>
      </c>
      <c r="N996" s="77">
        <v>0</v>
      </c>
      <c r="O996" s="77">
        <v>0</v>
      </c>
      <c r="P996" s="77">
        <v>0</v>
      </c>
      <c r="Q996" s="92">
        <v>0</v>
      </c>
      <c r="R996" s="77">
        <v>0</v>
      </c>
      <c r="S996" s="77">
        <v>0</v>
      </c>
      <c r="T996" s="76">
        <f>STOCK[[#This Row],[Costo Unitario (USD)]]+STOCK[[#This Row],[Costo Envío (USD)]]+STOCK[[#This Row],[Comisión 10%]]</f>
        <v>0.3</v>
      </c>
      <c r="U996" s="77">
        <f>STOCK[[#This Row],[Costo total]]*1.5</f>
        <v>0.45</v>
      </c>
      <c r="V996" s="77">
        <v>3</v>
      </c>
      <c r="W996" s="77">
        <f>STOCK[[#This Row],[Precio Final]]-STOCK[[#This Row],[Costo total]]</f>
        <v>2.7</v>
      </c>
      <c r="X996" s="77">
        <f>STOCK[[#This Row],[Ganancia Unitaria]]*STOCK[[#This Row],[Salidas]]</f>
        <v>0</v>
      </c>
      <c r="Y996" s="77" t="s">
        <v>1951</v>
      </c>
      <c r="Z996" s="77">
        <f>STOCK[[#This Row],[Precio Final]]*25%</f>
        <v>0.75</v>
      </c>
      <c r="AA996" s="77">
        <f>STOCK[[#This Row],[Costo total]]*STOCK[[#This Row],[Entradas]]</f>
        <v>0</v>
      </c>
      <c r="AB996" s="77">
        <f>STOCK[[#This Row],[Stock Actual]]*STOCK[[#This Row],[Costo total]]</f>
        <v>0</v>
      </c>
    </row>
    <row r="997" s="76" customFormat="1" ht="50" hidden="1" customHeight="1" spans="1:28">
      <c r="A997" s="76" t="s">
        <v>2037</v>
      </c>
      <c r="B997" s="6"/>
      <c r="C997" s="76" t="s">
        <v>30</v>
      </c>
      <c r="D997" s="76" t="s">
        <v>1947</v>
      </c>
      <c r="E997" s="76" t="s">
        <v>2038</v>
      </c>
      <c r="F997" s="76" t="s">
        <v>2039</v>
      </c>
      <c r="H997" s="76">
        <f>STOCK[[#This Row],[Precio Final]]</f>
        <v>2</v>
      </c>
      <c r="I997" s="76">
        <f>STOCK[[#This Row],[Precio Venta Ideal (x1.5)]]</f>
        <v>0.3</v>
      </c>
      <c r="J997" s="91">
        <v>0</v>
      </c>
      <c r="K997" s="91">
        <f>SUMIFS(VENTAS[Cantidad],VENTAS[Código del producto Vendido],STOCK[[#This Row],[Code]])</f>
        <v>0</v>
      </c>
      <c r="L997" s="91">
        <f>STOCK[[#This Row],[Entradas]]-STOCK[[#This Row],[Salidas]]</f>
        <v>0</v>
      </c>
      <c r="M997" s="76">
        <f>STOCK[[#This Row],[Precio Final]]*10%</f>
        <v>0.2</v>
      </c>
      <c r="N997" s="76">
        <v>0</v>
      </c>
      <c r="O997" s="76">
        <v>0</v>
      </c>
      <c r="P997" s="76">
        <v>0</v>
      </c>
      <c r="Q997" s="91">
        <v>0</v>
      </c>
      <c r="R997" s="76">
        <v>0</v>
      </c>
      <c r="S997" s="76">
        <v>0</v>
      </c>
      <c r="T997" s="76">
        <f>STOCK[[#This Row],[Costo Unitario (USD)]]+STOCK[[#This Row],[Costo Envío (USD)]]+STOCK[[#This Row],[Comisión 10%]]</f>
        <v>0.2</v>
      </c>
      <c r="U997" s="76">
        <f>STOCK[[#This Row],[Costo total]]*1.5</f>
        <v>0.3</v>
      </c>
      <c r="V997" s="76">
        <v>2</v>
      </c>
      <c r="W997" s="76">
        <f>STOCK[[#This Row],[Precio Final]]-STOCK[[#This Row],[Costo total]]</f>
        <v>1.8</v>
      </c>
      <c r="X997" s="76">
        <f>STOCK[[#This Row],[Ganancia Unitaria]]*STOCK[[#This Row],[Salidas]]</f>
        <v>0</v>
      </c>
      <c r="Y997" s="76" t="s">
        <v>1951</v>
      </c>
      <c r="Z997" s="76">
        <f>STOCK[[#This Row],[Precio Final]]*25%</f>
        <v>0.5</v>
      </c>
      <c r="AA997" s="76">
        <f>STOCK[[#This Row],[Costo total]]*STOCK[[#This Row],[Entradas]]</f>
        <v>0</v>
      </c>
      <c r="AB997" s="76">
        <f>STOCK[[#This Row],[Stock Actual]]*STOCK[[#This Row],[Costo total]]</f>
        <v>0</v>
      </c>
    </row>
    <row r="998" s="77" customFormat="1" ht="50" hidden="1" customHeight="1" spans="1:28">
      <c r="A998" s="77" t="s">
        <v>2040</v>
      </c>
      <c r="B998" s="6"/>
      <c r="C998" s="77" t="s">
        <v>30</v>
      </c>
      <c r="D998" s="77" t="s">
        <v>1951</v>
      </c>
      <c r="E998" s="77" t="s">
        <v>2041</v>
      </c>
      <c r="F998" s="77" t="s">
        <v>1960</v>
      </c>
      <c r="H998" s="77">
        <f>STOCK[[#This Row],[Precio Final]]</f>
        <v>3</v>
      </c>
      <c r="I998" s="77">
        <f>STOCK[[#This Row],[Precio Venta Ideal (x1.5)]]</f>
        <v>0.45</v>
      </c>
      <c r="J998" s="92">
        <v>1</v>
      </c>
      <c r="K998" s="92">
        <f>SUMIFS(VENTAS[Cantidad],VENTAS[Código del producto Vendido],STOCK[[#This Row],[Code]])</f>
        <v>1</v>
      </c>
      <c r="L998" s="92">
        <f>STOCK[[#This Row],[Entradas]]-STOCK[[#This Row],[Salidas]]</f>
        <v>0</v>
      </c>
      <c r="M998" s="77">
        <f>STOCK[[#This Row],[Precio Final]]*10%</f>
        <v>0.3</v>
      </c>
      <c r="N998" s="77">
        <v>0</v>
      </c>
      <c r="O998" s="77">
        <v>0</v>
      </c>
      <c r="P998" s="77">
        <v>0</v>
      </c>
      <c r="Q998" s="92">
        <v>0</v>
      </c>
      <c r="R998" s="77">
        <v>0</v>
      </c>
      <c r="S998" s="77">
        <v>0</v>
      </c>
      <c r="T998" s="76">
        <f>STOCK[[#This Row],[Costo Unitario (USD)]]+STOCK[[#This Row],[Costo Envío (USD)]]+STOCK[[#This Row],[Comisión 10%]]</f>
        <v>0.3</v>
      </c>
      <c r="U998" s="77">
        <f>STOCK[[#This Row],[Costo total]]*1.5</f>
        <v>0.45</v>
      </c>
      <c r="V998" s="77">
        <v>3</v>
      </c>
      <c r="W998" s="77">
        <f>STOCK[[#This Row],[Precio Final]]-STOCK[[#This Row],[Costo total]]</f>
        <v>2.7</v>
      </c>
      <c r="X998" s="77">
        <f>STOCK[[#This Row],[Ganancia Unitaria]]*STOCK[[#This Row],[Salidas]]</f>
        <v>2.7</v>
      </c>
      <c r="Y998" s="77" t="s">
        <v>1951</v>
      </c>
      <c r="Z998" s="77">
        <f>STOCK[[#This Row],[Precio Final]]*25%</f>
        <v>0.75</v>
      </c>
      <c r="AA998" s="77">
        <f>STOCK[[#This Row],[Costo total]]*STOCK[[#This Row],[Entradas]]</f>
        <v>0.3</v>
      </c>
      <c r="AB998" s="77">
        <f>STOCK[[#This Row],[Stock Actual]]*STOCK[[#This Row],[Costo total]]</f>
        <v>0</v>
      </c>
    </row>
    <row r="999" s="76" customFormat="1" ht="50" hidden="1" customHeight="1" spans="1:28">
      <c r="A999" s="76" t="s">
        <v>2042</v>
      </c>
      <c r="B999" s="6"/>
      <c r="C999" s="76" t="s">
        <v>30</v>
      </c>
      <c r="D999" s="76" t="s">
        <v>1947</v>
      </c>
      <c r="E999" s="76" t="s">
        <v>2043</v>
      </c>
      <c r="F999" s="76" t="s">
        <v>1960</v>
      </c>
      <c r="H999" s="76">
        <f>STOCK[[#This Row],[Precio Final]]</f>
        <v>3</v>
      </c>
      <c r="I999" s="76">
        <f>STOCK[[#This Row],[Precio Venta Ideal (x1.5)]]</f>
        <v>0.45</v>
      </c>
      <c r="J999" s="91">
        <v>0</v>
      </c>
      <c r="K999" s="91">
        <f>SUMIFS(VENTAS[Cantidad],VENTAS[Código del producto Vendido],STOCK[[#This Row],[Code]])</f>
        <v>0</v>
      </c>
      <c r="L999" s="91">
        <f>STOCK[[#This Row],[Entradas]]-STOCK[[#This Row],[Salidas]]</f>
        <v>0</v>
      </c>
      <c r="M999" s="76">
        <f>STOCK[[#This Row],[Precio Final]]*10%</f>
        <v>0.3</v>
      </c>
      <c r="N999" s="76">
        <v>0</v>
      </c>
      <c r="O999" s="76">
        <v>0</v>
      </c>
      <c r="P999" s="76">
        <v>0</v>
      </c>
      <c r="Q999" s="91">
        <v>0</v>
      </c>
      <c r="R999" s="76">
        <v>0</v>
      </c>
      <c r="S999" s="76">
        <v>0</v>
      </c>
      <c r="T999" s="76">
        <f>STOCK[[#This Row],[Costo Unitario (USD)]]+STOCK[[#This Row],[Costo Envío (USD)]]+STOCK[[#This Row],[Comisión 10%]]</f>
        <v>0.3</v>
      </c>
      <c r="U999" s="76">
        <f>STOCK[[#This Row],[Costo total]]*1.5</f>
        <v>0.45</v>
      </c>
      <c r="V999" s="76">
        <v>3</v>
      </c>
      <c r="W999" s="76">
        <f>STOCK[[#This Row],[Precio Final]]-STOCK[[#This Row],[Costo total]]</f>
        <v>2.7</v>
      </c>
      <c r="X999" s="76">
        <f>STOCK[[#This Row],[Ganancia Unitaria]]*STOCK[[#This Row],[Salidas]]</f>
        <v>0</v>
      </c>
      <c r="Y999" s="76" t="s">
        <v>1951</v>
      </c>
      <c r="Z999" s="76">
        <f>STOCK[[#This Row],[Precio Final]]*25%</f>
        <v>0.75</v>
      </c>
      <c r="AA999" s="76">
        <f>STOCK[[#This Row],[Costo total]]*STOCK[[#This Row],[Entradas]]</f>
        <v>0</v>
      </c>
      <c r="AB999" s="76">
        <f>STOCK[[#This Row],[Stock Actual]]*STOCK[[#This Row],[Costo total]]</f>
        <v>0</v>
      </c>
    </row>
    <row r="1000" s="77" customFormat="1" ht="50" hidden="1" customHeight="1" spans="1:28">
      <c r="A1000" s="77" t="s">
        <v>2044</v>
      </c>
      <c r="B1000" s="6"/>
      <c r="C1000" s="77" t="s">
        <v>30</v>
      </c>
      <c r="D1000" s="77" t="s">
        <v>1947</v>
      </c>
      <c r="E1000" s="77" t="s">
        <v>2045</v>
      </c>
      <c r="F1000" s="77" t="s">
        <v>2046</v>
      </c>
      <c r="H1000" s="77">
        <f>STOCK[[#This Row],[Precio Final]]</f>
        <v>5</v>
      </c>
      <c r="I1000" s="77">
        <f>STOCK[[#This Row],[Precio Venta Ideal (x1.5)]]</f>
        <v>0.75</v>
      </c>
      <c r="J1000" s="91">
        <v>0</v>
      </c>
      <c r="K1000" s="92">
        <f>SUMIFS(VENTAS[Cantidad],VENTAS[Código del producto Vendido],STOCK[[#This Row],[Code]])</f>
        <v>0</v>
      </c>
      <c r="L1000" s="92">
        <f>STOCK[[#This Row],[Entradas]]-STOCK[[#This Row],[Salidas]]</f>
        <v>0</v>
      </c>
      <c r="M1000" s="77">
        <f>STOCK[[#This Row],[Precio Final]]*10%</f>
        <v>0.5</v>
      </c>
      <c r="N1000" s="77">
        <v>0</v>
      </c>
      <c r="O1000" s="77">
        <v>0</v>
      </c>
      <c r="P1000" s="77">
        <v>0</v>
      </c>
      <c r="Q1000" s="92">
        <v>0</v>
      </c>
      <c r="R1000" s="77">
        <v>0</v>
      </c>
      <c r="S1000" s="77">
        <v>0</v>
      </c>
      <c r="T1000" s="76">
        <f>STOCK[[#This Row],[Costo Unitario (USD)]]+STOCK[[#This Row],[Costo Envío (USD)]]+STOCK[[#This Row],[Comisión 10%]]</f>
        <v>0.5</v>
      </c>
      <c r="U1000" s="77">
        <f>STOCK[[#This Row],[Costo total]]*1.5</f>
        <v>0.75</v>
      </c>
      <c r="V1000" s="77">
        <v>5</v>
      </c>
      <c r="W1000" s="77">
        <f>STOCK[[#This Row],[Precio Final]]-STOCK[[#This Row],[Costo total]]</f>
        <v>4.5</v>
      </c>
      <c r="X1000" s="77">
        <f>STOCK[[#This Row],[Ganancia Unitaria]]*STOCK[[#This Row],[Salidas]]</f>
        <v>0</v>
      </c>
      <c r="Y1000" s="77" t="s">
        <v>1951</v>
      </c>
      <c r="Z1000" s="77">
        <f>STOCK[[#This Row],[Precio Final]]*25%</f>
        <v>1.25</v>
      </c>
      <c r="AA1000" s="77">
        <f>STOCK[[#This Row],[Costo total]]*STOCK[[#This Row],[Entradas]]</f>
        <v>0</v>
      </c>
      <c r="AB1000" s="77">
        <f>STOCK[[#This Row],[Stock Actual]]*STOCK[[#This Row],[Costo total]]</f>
        <v>0</v>
      </c>
    </row>
    <row r="1001" s="76" customFormat="1" ht="50" hidden="1" customHeight="1" spans="1:28">
      <c r="A1001" s="76" t="s">
        <v>2047</v>
      </c>
      <c r="B1001" s="6"/>
      <c r="C1001" s="76" t="s">
        <v>30</v>
      </c>
      <c r="D1001" s="76" t="s">
        <v>1947</v>
      </c>
      <c r="E1001" s="76" t="s">
        <v>2048</v>
      </c>
      <c r="F1001" s="76" t="s">
        <v>2049</v>
      </c>
      <c r="G1001" s="76" t="s">
        <v>34</v>
      </c>
      <c r="H1001" s="76">
        <f>STOCK[[#This Row],[Precio Final]]</f>
        <v>6</v>
      </c>
      <c r="I1001" s="76">
        <f>STOCK[[#This Row],[Precio Venta Ideal (x1.5)]]</f>
        <v>0.9</v>
      </c>
      <c r="J1001" s="91">
        <v>0</v>
      </c>
      <c r="K1001" s="91">
        <f>SUMIFS(VENTAS[Cantidad],VENTAS[Código del producto Vendido],STOCK[[#This Row],[Code]])</f>
        <v>0</v>
      </c>
      <c r="L1001" s="91">
        <f>STOCK[[#This Row],[Entradas]]-STOCK[[#This Row],[Salidas]]</f>
        <v>0</v>
      </c>
      <c r="M1001" s="76">
        <f>STOCK[[#This Row],[Precio Final]]*10%</f>
        <v>0.6</v>
      </c>
      <c r="N1001" s="76">
        <v>0</v>
      </c>
      <c r="O1001" s="76">
        <v>0</v>
      </c>
      <c r="P1001" s="76">
        <v>0</v>
      </c>
      <c r="Q1001" s="91">
        <v>0</v>
      </c>
      <c r="R1001" s="76">
        <v>0</v>
      </c>
      <c r="S1001" s="76">
        <v>0</v>
      </c>
      <c r="T1001" s="76">
        <f>STOCK[[#This Row],[Costo Unitario (USD)]]+STOCK[[#This Row],[Costo Envío (USD)]]+STOCK[[#This Row],[Comisión 10%]]</f>
        <v>0.6</v>
      </c>
      <c r="U1001" s="76">
        <f>STOCK[[#This Row],[Costo total]]*1.5</f>
        <v>0.9</v>
      </c>
      <c r="V1001" s="76">
        <v>6</v>
      </c>
      <c r="W1001" s="76">
        <f>STOCK[[#This Row],[Precio Final]]-STOCK[[#This Row],[Costo total]]</f>
        <v>5.4</v>
      </c>
      <c r="X1001" s="76">
        <f>STOCK[[#This Row],[Ganancia Unitaria]]*STOCK[[#This Row],[Salidas]]</f>
        <v>0</v>
      </c>
      <c r="Y1001" s="76" t="s">
        <v>1951</v>
      </c>
      <c r="AA1001" s="76">
        <f>STOCK[[#This Row],[Costo total]]*STOCK[[#This Row],[Entradas]]</f>
        <v>0</v>
      </c>
      <c r="AB1001" s="76">
        <f>STOCK[[#This Row],[Stock Actual]]*STOCK[[#This Row],[Costo total]]</f>
        <v>0</v>
      </c>
    </row>
    <row r="1002" s="77" customFormat="1" ht="50" hidden="1" customHeight="1" spans="1:28">
      <c r="A1002" s="77" t="s">
        <v>2050</v>
      </c>
      <c r="B1002" s="6"/>
      <c r="C1002" s="77" t="s">
        <v>30</v>
      </c>
      <c r="D1002" s="77" t="s">
        <v>1947</v>
      </c>
      <c r="E1002" s="77" t="s">
        <v>2051</v>
      </c>
      <c r="F1002" s="77" t="s">
        <v>2052</v>
      </c>
      <c r="G1002" s="77" t="s">
        <v>2053</v>
      </c>
      <c r="H1002" s="77">
        <f>STOCK[[#This Row],[Precio Final]]</f>
        <v>6</v>
      </c>
      <c r="I1002" s="77">
        <f>STOCK[[#This Row],[Precio Venta Ideal (x1.5)]]</f>
        <v>0.9</v>
      </c>
      <c r="J1002" s="91">
        <v>0</v>
      </c>
      <c r="K1002" s="92">
        <f>SUMIFS(VENTAS[Cantidad],VENTAS[Código del producto Vendido],STOCK[[#This Row],[Code]])</f>
        <v>0</v>
      </c>
      <c r="L1002" s="92">
        <f>STOCK[[#This Row],[Entradas]]-STOCK[[#This Row],[Salidas]]</f>
        <v>0</v>
      </c>
      <c r="M1002" s="77">
        <f>STOCK[[#This Row],[Precio Final]]*10%</f>
        <v>0.6</v>
      </c>
      <c r="N1002" s="77">
        <v>0</v>
      </c>
      <c r="O1002" s="77">
        <v>0</v>
      </c>
      <c r="P1002" s="77">
        <v>0</v>
      </c>
      <c r="Q1002" s="92">
        <v>0</v>
      </c>
      <c r="R1002" s="77">
        <v>0</v>
      </c>
      <c r="S1002" s="77">
        <v>0</v>
      </c>
      <c r="T1002" s="76">
        <f>STOCK[[#This Row],[Costo Unitario (USD)]]+STOCK[[#This Row],[Costo Envío (USD)]]+STOCK[[#This Row],[Comisión 10%]]</f>
        <v>0.6</v>
      </c>
      <c r="U1002" s="77">
        <f>STOCK[[#This Row],[Costo total]]*1.5</f>
        <v>0.9</v>
      </c>
      <c r="V1002" s="77">
        <v>6</v>
      </c>
      <c r="W1002" s="77">
        <f>STOCK[[#This Row],[Precio Final]]-STOCK[[#This Row],[Costo total]]</f>
        <v>5.4</v>
      </c>
      <c r="X1002" s="77">
        <f>STOCK[[#This Row],[Ganancia Unitaria]]*STOCK[[#This Row],[Salidas]]</f>
        <v>0</v>
      </c>
      <c r="Y1002" s="77" t="s">
        <v>1951</v>
      </c>
      <c r="AA1002" s="77">
        <f>STOCK[[#This Row],[Costo total]]*STOCK[[#This Row],[Entradas]]</f>
        <v>0</v>
      </c>
      <c r="AB1002" s="77">
        <f>STOCK[[#This Row],[Stock Actual]]*STOCK[[#This Row],[Costo total]]</f>
        <v>0</v>
      </c>
    </row>
    <row r="1003" s="76" customFormat="1" ht="50" hidden="1" customHeight="1" spans="1:28">
      <c r="A1003" s="76" t="s">
        <v>2054</v>
      </c>
      <c r="B1003" s="6"/>
      <c r="C1003" s="76" t="s">
        <v>30</v>
      </c>
      <c r="D1003" s="76" t="s">
        <v>1947</v>
      </c>
      <c r="E1003" s="76" t="s">
        <v>2055</v>
      </c>
      <c r="F1003" s="76" t="s">
        <v>2056</v>
      </c>
      <c r="G1003" s="76" t="s">
        <v>34</v>
      </c>
      <c r="H1003" s="76">
        <f>STOCK[[#This Row],[Precio Final]]</f>
        <v>20</v>
      </c>
      <c r="I1003" s="76">
        <f>STOCK[[#This Row],[Precio Venta Ideal (x1.5)]]</f>
        <v>3</v>
      </c>
      <c r="J1003" s="91">
        <v>0</v>
      </c>
      <c r="K1003" s="91">
        <f>SUMIFS(VENTAS[Cantidad],VENTAS[Código del producto Vendido],STOCK[[#This Row],[Code]])</f>
        <v>0</v>
      </c>
      <c r="L1003" s="91">
        <f>STOCK[[#This Row],[Entradas]]-STOCK[[#This Row],[Salidas]]</f>
        <v>0</v>
      </c>
      <c r="M1003" s="76">
        <f>STOCK[[#This Row],[Precio Final]]*10%</f>
        <v>2</v>
      </c>
      <c r="N1003" s="76">
        <v>0</v>
      </c>
      <c r="O1003" s="76">
        <v>0</v>
      </c>
      <c r="P1003" s="76">
        <v>0</v>
      </c>
      <c r="Q1003" s="91">
        <v>0</v>
      </c>
      <c r="R1003" s="76">
        <v>0</v>
      </c>
      <c r="S1003" s="76">
        <v>0</v>
      </c>
      <c r="T1003" s="76">
        <f>STOCK[[#This Row],[Costo Unitario (USD)]]+STOCK[[#This Row],[Costo Envío (USD)]]+STOCK[[#This Row],[Comisión 10%]]</f>
        <v>2</v>
      </c>
      <c r="U1003" s="76">
        <f>STOCK[[#This Row],[Costo total]]*1.5</f>
        <v>3</v>
      </c>
      <c r="V1003" s="76">
        <v>20</v>
      </c>
      <c r="W1003" s="76">
        <f>STOCK[[#This Row],[Precio Final]]-STOCK[[#This Row],[Costo total]]</f>
        <v>18</v>
      </c>
      <c r="X1003" s="76">
        <f>STOCK[[#This Row],[Ganancia Unitaria]]*STOCK[[#This Row],[Salidas]]</f>
        <v>0</v>
      </c>
      <c r="Y1003" s="76" t="s">
        <v>1951</v>
      </c>
      <c r="AA1003" s="76">
        <f>STOCK[[#This Row],[Costo total]]*STOCK[[#This Row],[Entradas]]</f>
        <v>0</v>
      </c>
      <c r="AB1003" s="76">
        <f>STOCK[[#This Row],[Stock Actual]]*STOCK[[#This Row],[Costo total]]</f>
        <v>0</v>
      </c>
    </row>
    <row r="1004" s="77" customFormat="1" ht="50" hidden="1" customHeight="1" spans="1:28">
      <c r="A1004" s="77" t="s">
        <v>2057</v>
      </c>
      <c r="B1004" s="6"/>
      <c r="C1004" s="77" t="s">
        <v>30</v>
      </c>
      <c r="D1004" s="77" t="s">
        <v>151</v>
      </c>
      <c r="E1004" s="77" t="s">
        <v>2058</v>
      </c>
      <c r="F1004" s="77" t="s">
        <v>257</v>
      </c>
      <c r="G1004" s="77" t="s">
        <v>34</v>
      </c>
      <c r="H1004" s="77">
        <f>STOCK[[#This Row],[Precio Final]]</f>
        <v>28</v>
      </c>
      <c r="I1004" s="77">
        <f>STOCK[[#This Row],[Precio Venta Ideal (x1.5)]]</f>
        <v>25.2</v>
      </c>
      <c r="J1004" s="91">
        <v>0</v>
      </c>
      <c r="K1004" s="92">
        <f>SUMIFS(VENTAS[Cantidad],VENTAS[Código del producto Vendido],STOCK[[#This Row],[Code]])</f>
        <v>0</v>
      </c>
      <c r="L1004" s="92">
        <f>STOCK[[#This Row],[Entradas]]-STOCK[[#This Row],[Salidas]]</f>
        <v>0</v>
      </c>
      <c r="M1004" s="77">
        <f>STOCK[[#This Row],[Precio Final]]*10%</f>
        <v>2.8</v>
      </c>
      <c r="N1004" s="77">
        <v>0</v>
      </c>
      <c r="O1004" s="77">
        <v>0</v>
      </c>
      <c r="P1004" s="77">
        <v>14</v>
      </c>
      <c r="Q1004" s="92">
        <v>0</v>
      </c>
      <c r="R1004" s="77">
        <v>0</v>
      </c>
      <c r="S1004" s="77">
        <v>0</v>
      </c>
      <c r="T1004" s="76">
        <f>STOCK[[#This Row],[Costo Unitario (USD)]]+STOCK[[#This Row],[Costo Envío (USD)]]+STOCK[[#This Row],[Comisión 10%]]</f>
        <v>16.8</v>
      </c>
      <c r="U1004" s="77">
        <f>STOCK[[#This Row],[Costo total]]*1.5</f>
        <v>25.2</v>
      </c>
      <c r="V1004" s="77">
        <v>28</v>
      </c>
      <c r="W1004" s="77">
        <f>STOCK[[#This Row],[Precio Final]]-STOCK[[#This Row],[Costo total]]</f>
        <v>11.2</v>
      </c>
      <c r="X1004" s="77">
        <f>STOCK[[#This Row],[Ganancia Unitaria]]*STOCK[[#This Row],[Salidas]]</f>
        <v>0</v>
      </c>
      <c r="Y1004" s="77" t="s">
        <v>1951</v>
      </c>
      <c r="AA1004" s="77">
        <f>STOCK[[#This Row],[Costo total]]*STOCK[[#This Row],[Entradas]]</f>
        <v>0</v>
      </c>
      <c r="AB1004" s="77">
        <f>STOCK[[#This Row],[Stock Actual]]*STOCK[[#This Row],[Costo total]]</f>
        <v>0</v>
      </c>
    </row>
    <row r="1005" s="76" customFormat="1" ht="50" hidden="1" customHeight="1" spans="1:28">
      <c r="A1005" s="76" t="s">
        <v>2059</v>
      </c>
      <c r="B1005" s="6"/>
      <c r="C1005" s="76" t="s">
        <v>30</v>
      </c>
      <c r="D1005" s="76" t="s">
        <v>741</v>
      </c>
      <c r="E1005" s="76" t="s">
        <v>2060</v>
      </c>
      <c r="F1005" s="76" t="s">
        <v>2061</v>
      </c>
      <c r="G1005" s="76" t="s">
        <v>702</v>
      </c>
      <c r="H1005" s="76">
        <f>STOCK[[#This Row],[Precio Final]]</f>
        <v>0</v>
      </c>
      <c r="I1005" s="76">
        <f>STOCK[[#This Row],[Precio Venta Ideal (x1.5)]]</f>
        <v>0</v>
      </c>
      <c r="J1005" s="91">
        <v>0</v>
      </c>
      <c r="K1005" s="91">
        <f>SUMIFS(VENTAS[Cantidad],VENTAS[Código del producto Vendido],STOCK[[#This Row],[Code]])</f>
        <v>0</v>
      </c>
      <c r="L1005" s="91">
        <f>STOCK[[#This Row],[Entradas]]-STOCK[[#This Row],[Salidas]]</f>
        <v>0</v>
      </c>
      <c r="M1005" s="76">
        <f>STOCK[[#This Row],[Precio Final]]*10%</f>
        <v>0</v>
      </c>
      <c r="N1005" s="76">
        <v>0</v>
      </c>
      <c r="O1005" s="76">
        <v>0</v>
      </c>
      <c r="P1005" s="76">
        <v>0</v>
      </c>
      <c r="Q1005" s="91">
        <v>0</v>
      </c>
      <c r="R1005" s="76">
        <v>0</v>
      </c>
      <c r="S1005" s="76">
        <v>0</v>
      </c>
      <c r="T1005" s="76">
        <f>STOCK[[#This Row],[Costo Unitario (USD)]]+STOCK[[#This Row],[Costo Envío (USD)]]+STOCK[[#This Row],[Comisión 10%]]</f>
        <v>0</v>
      </c>
      <c r="U1005" s="76">
        <f>STOCK[[#This Row],[Costo total]]*1.5</f>
        <v>0</v>
      </c>
      <c r="W1005" s="76">
        <f>STOCK[[#This Row],[Precio Final]]-STOCK[[#This Row],[Costo total]]</f>
        <v>0</v>
      </c>
      <c r="X1005" s="76">
        <f>STOCK[[#This Row],[Ganancia Unitaria]]*STOCK[[#This Row],[Salidas]]</f>
        <v>0</v>
      </c>
      <c r="Y1005" s="76" t="s">
        <v>1951</v>
      </c>
      <c r="AA1005" s="76">
        <f>STOCK[[#This Row],[Costo total]]*STOCK[[#This Row],[Entradas]]</f>
        <v>0</v>
      </c>
      <c r="AB1005" s="76">
        <f>STOCK[[#This Row],[Stock Actual]]*STOCK[[#This Row],[Costo total]]</f>
        <v>0</v>
      </c>
    </row>
    <row r="1006" s="77" customFormat="1" ht="50" hidden="1" customHeight="1" spans="1:28">
      <c r="A1006" s="77" t="s">
        <v>2062</v>
      </c>
      <c r="B1006" s="6"/>
      <c r="C1006" s="77" t="s">
        <v>30</v>
      </c>
      <c r="D1006" s="77" t="s">
        <v>151</v>
      </c>
      <c r="E1006" s="77" t="s">
        <v>2063</v>
      </c>
      <c r="F1006" s="77" t="s">
        <v>2064</v>
      </c>
      <c r="G1006" s="77" t="s">
        <v>702</v>
      </c>
      <c r="H1006" s="77">
        <f>STOCK[[#This Row],[Precio Final]]</f>
        <v>30</v>
      </c>
      <c r="I1006" s="77">
        <f>STOCK[[#This Row],[Precio Venta Ideal (x1.5)]]</f>
        <v>27</v>
      </c>
      <c r="J1006" s="91">
        <v>0</v>
      </c>
      <c r="K1006" s="92">
        <f>SUMIFS(VENTAS[Cantidad],VENTAS[Código del producto Vendido],STOCK[[#This Row],[Code]])</f>
        <v>0</v>
      </c>
      <c r="L1006" s="92">
        <f>STOCK[[#This Row],[Entradas]]-STOCK[[#This Row],[Salidas]]</f>
        <v>0</v>
      </c>
      <c r="M1006" s="77">
        <f>STOCK[[#This Row],[Precio Final]]*10%</f>
        <v>3</v>
      </c>
      <c r="N1006" s="77">
        <v>0</v>
      </c>
      <c r="O1006" s="77">
        <v>0</v>
      </c>
      <c r="P1006" s="77">
        <v>15</v>
      </c>
      <c r="Q1006" s="92">
        <v>0</v>
      </c>
      <c r="R1006" s="77">
        <v>0</v>
      </c>
      <c r="S1006" s="77">
        <v>0</v>
      </c>
      <c r="T1006" s="76">
        <f>STOCK[[#This Row],[Costo Unitario (USD)]]+STOCK[[#This Row],[Costo Envío (USD)]]+STOCK[[#This Row],[Comisión 10%]]</f>
        <v>18</v>
      </c>
      <c r="U1006" s="77">
        <f>STOCK[[#This Row],[Costo total]]*1.5</f>
        <v>27</v>
      </c>
      <c r="V1006" s="77">
        <v>30</v>
      </c>
      <c r="W1006" s="77">
        <f>STOCK[[#This Row],[Precio Final]]-STOCK[[#This Row],[Costo total]]</f>
        <v>12</v>
      </c>
      <c r="X1006" s="77">
        <f>STOCK[[#This Row],[Ganancia Unitaria]]*STOCK[[#This Row],[Salidas]]</f>
        <v>0</v>
      </c>
      <c r="Y1006" s="77" t="s">
        <v>1951</v>
      </c>
      <c r="AA1006" s="77">
        <f>STOCK[[#This Row],[Costo total]]*STOCK[[#This Row],[Entradas]]</f>
        <v>0</v>
      </c>
      <c r="AB1006" s="77">
        <f>STOCK[[#This Row],[Stock Actual]]*STOCK[[#This Row],[Costo total]]</f>
        <v>0</v>
      </c>
    </row>
    <row r="1007" s="76" customFormat="1" ht="50" hidden="1" customHeight="1" spans="1:28">
      <c r="A1007" s="76" t="s">
        <v>2065</v>
      </c>
      <c r="B1007" s="6"/>
      <c r="C1007" s="76" t="s">
        <v>30</v>
      </c>
      <c r="D1007" s="76" t="s">
        <v>1947</v>
      </c>
      <c r="E1007" s="76" t="s">
        <v>2066</v>
      </c>
      <c r="F1007" s="76" t="s">
        <v>2067</v>
      </c>
      <c r="G1007" s="76" t="s">
        <v>2068</v>
      </c>
      <c r="H1007" s="76">
        <f>STOCK[[#This Row],[Precio Final]]</f>
        <v>0</v>
      </c>
      <c r="I1007" s="76">
        <f>STOCK[[#This Row],[Precio Venta Ideal (x1.5)]]</f>
        <v>0</v>
      </c>
      <c r="J1007" s="91">
        <v>0</v>
      </c>
      <c r="K1007" s="91">
        <f>SUMIFS(VENTAS[Cantidad],VENTAS[Código del producto Vendido],STOCK[[#This Row],[Code]])</f>
        <v>0</v>
      </c>
      <c r="L1007" s="91">
        <f>STOCK[[#This Row],[Entradas]]-STOCK[[#This Row],[Salidas]]</f>
        <v>0</v>
      </c>
      <c r="M1007" s="76">
        <f>STOCK[[#This Row],[Precio Final]]*10%</f>
        <v>0</v>
      </c>
      <c r="N1007" s="76">
        <v>0</v>
      </c>
      <c r="O1007" s="76">
        <v>0</v>
      </c>
      <c r="P1007" s="76">
        <v>0</v>
      </c>
      <c r="Q1007" s="91">
        <v>0</v>
      </c>
      <c r="R1007" s="76">
        <v>0</v>
      </c>
      <c r="S1007" s="76">
        <v>0</v>
      </c>
      <c r="T1007" s="76">
        <f>STOCK[[#This Row],[Costo Unitario (USD)]]+STOCK[[#This Row],[Costo Envío (USD)]]+STOCK[[#This Row],[Comisión 10%]]</f>
        <v>0</v>
      </c>
      <c r="U1007" s="76">
        <f>STOCK[[#This Row],[Costo total]]*1.5</f>
        <v>0</v>
      </c>
      <c r="W1007" s="76">
        <f>STOCK[[#This Row],[Precio Final]]-STOCK[[#This Row],[Costo total]]</f>
        <v>0</v>
      </c>
      <c r="X1007" s="76">
        <f>STOCK[[#This Row],[Ganancia Unitaria]]*STOCK[[#This Row],[Salidas]]</f>
        <v>0</v>
      </c>
      <c r="Y1007" s="76" t="s">
        <v>1951</v>
      </c>
      <c r="AA1007" s="76">
        <f>STOCK[[#This Row],[Costo total]]*STOCK[[#This Row],[Entradas]]</f>
        <v>0</v>
      </c>
      <c r="AB1007" s="76">
        <f>STOCK[[#This Row],[Stock Actual]]*STOCK[[#This Row],[Costo total]]</f>
        <v>0</v>
      </c>
    </row>
    <row r="1008" s="77" customFormat="1" ht="50" hidden="1" customHeight="1" spans="1:28">
      <c r="A1008" s="77" t="s">
        <v>2069</v>
      </c>
      <c r="B1008" s="6"/>
      <c r="C1008" s="77" t="s">
        <v>30</v>
      </c>
      <c r="D1008" s="77" t="s">
        <v>1947</v>
      </c>
      <c r="E1008" s="77" t="s">
        <v>2070</v>
      </c>
      <c r="F1008" s="77" t="s">
        <v>2067</v>
      </c>
      <c r="G1008" s="77" t="s">
        <v>2068</v>
      </c>
      <c r="H1008" s="77">
        <f>STOCK[[#This Row],[Precio Final]]</f>
        <v>0</v>
      </c>
      <c r="I1008" s="77">
        <f>STOCK[[#This Row],[Precio Venta Ideal (x1.5)]]</f>
        <v>0</v>
      </c>
      <c r="J1008" s="91">
        <v>0</v>
      </c>
      <c r="K1008" s="92">
        <f>SUMIFS(VENTAS[Cantidad],VENTAS[Código del producto Vendido],STOCK[[#This Row],[Code]])</f>
        <v>0</v>
      </c>
      <c r="L1008" s="92">
        <f>STOCK[[#This Row],[Entradas]]-STOCK[[#This Row],[Salidas]]</f>
        <v>0</v>
      </c>
      <c r="M1008" s="77">
        <f>STOCK[[#This Row],[Precio Final]]*10%</f>
        <v>0</v>
      </c>
      <c r="N1008" s="77">
        <v>0</v>
      </c>
      <c r="O1008" s="77">
        <v>0</v>
      </c>
      <c r="P1008" s="77">
        <v>0</v>
      </c>
      <c r="Q1008" s="92">
        <v>0</v>
      </c>
      <c r="R1008" s="77">
        <v>0</v>
      </c>
      <c r="S1008" s="77">
        <v>0</v>
      </c>
      <c r="T1008" s="76">
        <f>STOCK[[#This Row],[Costo Unitario (USD)]]+STOCK[[#This Row],[Costo Envío (USD)]]+STOCK[[#This Row],[Comisión 10%]]</f>
        <v>0</v>
      </c>
      <c r="U1008" s="77">
        <f>STOCK[[#This Row],[Costo total]]*1.5</f>
        <v>0</v>
      </c>
      <c r="W1008" s="77">
        <f>STOCK[[#This Row],[Precio Final]]-STOCK[[#This Row],[Costo total]]</f>
        <v>0</v>
      </c>
      <c r="X1008" s="77">
        <f>STOCK[[#This Row],[Ganancia Unitaria]]*STOCK[[#This Row],[Salidas]]</f>
        <v>0</v>
      </c>
      <c r="Y1008" s="77" t="s">
        <v>1951</v>
      </c>
      <c r="AA1008" s="77">
        <f>STOCK[[#This Row],[Costo total]]*STOCK[[#This Row],[Entradas]]</f>
        <v>0</v>
      </c>
      <c r="AB1008" s="77">
        <f>STOCK[[#This Row],[Stock Actual]]*STOCK[[#This Row],[Costo total]]</f>
        <v>0</v>
      </c>
    </row>
    <row r="1009" s="76" customFormat="1" ht="50" hidden="1" customHeight="1" spans="1:28">
      <c r="A1009" s="76" t="s">
        <v>2071</v>
      </c>
      <c r="B1009" s="6"/>
      <c r="C1009" s="76" t="s">
        <v>30</v>
      </c>
      <c r="D1009" s="76" t="s">
        <v>1947</v>
      </c>
      <c r="E1009" s="76" t="s">
        <v>2072</v>
      </c>
      <c r="F1009" s="76" t="s">
        <v>2067</v>
      </c>
      <c r="G1009" s="76" t="s">
        <v>2068</v>
      </c>
      <c r="H1009" s="76">
        <f>STOCK[[#This Row],[Precio Final]]</f>
        <v>0</v>
      </c>
      <c r="I1009" s="76">
        <f>STOCK[[#This Row],[Precio Venta Ideal (x1.5)]]</f>
        <v>0</v>
      </c>
      <c r="J1009" s="91">
        <v>0</v>
      </c>
      <c r="K1009" s="91">
        <f>SUMIFS(VENTAS[Cantidad],VENTAS[Código del producto Vendido],STOCK[[#This Row],[Code]])</f>
        <v>0</v>
      </c>
      <c r="L1009" s="91">
        <f>STOCK[[#This Row],[Entradas]]-STOCK[[#This Row],[Salidas]]</f>
        <v>0</v>
      </c>
      <c r="M1009" s="76">
        <f>STOCK[[#This Row],[Precio Final]]*10%</f>
        <v>0</v>
      </c>
      <c r="N1009" s="76">
        <v>0</v>
      </c>
      <c r="O1009" s="76">
        <v>0</v>
      </c>
      <c r="P1009" s="76">
        <v>0</v>
      </c>
      <c r="Q1009" s="91">
        <v>0</v>
      </c>
      <c r="R1009" s="76">
        <v>0</v>
      </c>
      <c r="S1009" s="76">
        <v>0</v>
      </c>
      <c r="T1009" s="76">
        <f>STOCK[[#This Row],[Costo Unitario (USD)]]+STOCK[[#This Row],[Costo Envío (USD)]]+STOCK[[#This Row],[Comisión 10%]]</f>
        <v>0</v>
      </c>
      <c r="U1009" s="76">
        <f>STOCK[[#This Row],[Costo total]]*1.5</f>
        <v>0</v>
      </c>
      <c r="W1009" s="76">
        <f>STOCK[[#This Row],[Precio Final]]-STOCK[[#This Row],[Costo total]]</f>
        <v>0</v>
      </c>
      <c r="X1009" s="76">
        <f>STOCK[[#This Row],[Ganancia Unitaria]]*STOCK[[#This Row],[Salidas]]</f>
        <v>0</v>
      </c>
      <c r="Y1009" s="76" t="s">
        <v>1951</v>
      </c>
      <c r="AA1009" s="76">
        <f>STOCK[[#This Row],[Costo total]]*STOCK[[#This Row],[Entradas]]</f>
        <v>0</v>
      </c>
      <c r="AB1009" s="76">
        <f>STOCK[[#This Row],[Stock Actual]]*STOCK[[#This Row],[Costo total]]</f>
        <v>0</v>
      </c>
    </row>
    <row r="1010" s="77" customFormat="1" ht="50" hidden="1" customHeight="1" spans="1:28">
      <c r="A1010" s="77" t="s">
        <v>2073</v>
      </c>
      <c r="B1010" s="6"/>
      <c r="C1010" s="77" t="s">
        <v>30</v>
      </c>
      <c r="D1010" s="77" t="s">
        <v>1947</v>
      </c>
      <c r="E1010" s="77" t="s">
        <v>2074</v>
      </c>
      <c r="F1010" s="77" t="s">
        <v>2067</v>
      </c>
      <c r="G1010" s="77" t="s">
        <v>2068</v>
      </c>
      <c r="H1010" s="77">
        <f>STOCK[[#This Row],[Precio Final]]</f>
        <v>0</v>
      </c>
      <c r="I1010" s="77">
        <f>STOCK[[#This Row],[Precio Venta Ideal (x1.5)]]</f>
        <v>0</v>
      </c>
      <c r="J1010" s="91">
        <v>0</v>
      </c>
      <c r="K1010" s="92">
        <f>SUMIFS(VENTAS[Cantidad],VENTAS[Código del producto Vendido],STOCK[[#This Row],[Code]])</f>
        <v>0</v>
      </c>
      <c r="L1010" s="92">
        <f>STOCK[[#This Row],[Entradas]]-STOCK[[#This Row],[Salidas]]</f>
        <v>0</v>
      </c>
      <c r="M1010" s="77">
        <f>STOCK[[#This Row],[Precio Final]]*10%</f>
        <v>0</v>
      </c>
      <c r="N1010" s="77">
        <v>0</v>
      </c>
      <c r="O1010" s="77">
        <v>0</v>
      </c>
      <c r="P1010" s="77">
        <v>0</v>
      </c>
      <c r="Q1010" s="92">
        <v>0</v>
      </c>
      <c r="R1010" s="77">
        <v>0</v>
      </c>
      <c r="S1010" s="77">
        <v>0</v>
      </c>
      <c r="T1010" s="76">
        <f>STOCK[[#This Row],[Costo Unitario (USD)]]+STOCK[[#This Row],[Costo Envío (USD)]]+STOCK[[#This Row],[Comisión 10%]]</f>
        <v>0</v>
      </c>
      <c r="U1010" s="77">
        <f>STOCK[[#This Row],[Costo total]]*1.5</f>
        <v>0</v>
      </c>
      <c r="W1010" s="77">
        <f>STOCK[[#This Row],[Precio Final]]-STOCK[[#This Row],[Costo total]]</f>
        <v>0</v>
      </c>
      <c r="X1010" s="77">
        <f>STOCK[[#This Row],[Ganancia Unitaria]]*STOCK[[#This Row],[Salidas]]</f>
        <v>0</v>
      </c>
      <c r="Y1010" s="77" t="s">
        <v>1951</v>
      </c>
      <c r="AA1010" s="77">
        <f>STOCK[[#This Row],[Costo total]]*STOCK[[#This Row],[Entradas]]</f>
        <v>0</v>
      </c>
      <c r="AB1010" s="77">
        <f>STOCK[[#This Row],[Stock Actual]]*STOCK[[#This Row],[Costo total]]</f>
        <v>0</v>
      </c>
    </row>
    <row r="1011" s="76" customFormat="1" ht="50" hidden="1" customHeight="1" spans="1:28">
      <c r="A1011" s="76" t="s">
        <v>2075</v>
      </c>
      <c r="B1011" s="6"/>
      <c r="C1011" s="76" t="s">
        <v>30</v>
      </c>
      <c r="D1011" s="76" t="s">
        <v>1947</v>
      </c>
      <c r="E1011" s="76" t="s">
        <v>2076</v>
      </c>
      <c r="F1011" s="76" t="s">
        <v>2077</v>
      </c>
      <c r="G1011" s="76" t="s">
        <v>2068</v>
      </c>
      <c r="H1011" s="76">
        <f>STOCK[[#This Row],[Precio Final]]</f>
        <v>0</v>
      </c>
      <c r="I1011" s="76">
        <f>STOCK[[#This Row],[Precio Venta Ideal (x1.5)]]</f>
        <v>0</v>
      </c>
      <c r="J1011" s="91">
        <v>0</v>
      </c>
      <c r="K1011" s="91">
        <f>SUMIFS(VENTAS[Cantidad],VENTAS[Código del producto Vendido],STOCK[[#This Row],[Code]])</f>
        <v>0</v>
      </c>
      <c r="L1011" s="91">
        <f>STOCK[[#This Row],[Entradas]]-STOCK[[#This Row],[Salidas]]</f>
        <v>0</v>
      </c>
      <c r="M1011" s="76">
        <f>STOCK[[#This Row],[Precio Final]]*10%</f>
        <v>0</v>
      </c>
      <c r="N1011" s="76">
        <v>0</v>
      </c>
      <c r="O1011" s="76">
        <v>0</v>
      </c>
      <c r="P1011" s="76">
        <v>0</v>
      </c>
      <c r="Q1011" s="91">
        <v>0</v>
      </c>
      <c r="R1011" s="76">
        <v>0</v>
      </c>
      <c r="S1011" s="76">
        <v>0</v>
      </c>
      <c r="T1011" s="76">
        <f>STOCK[[#This Row],[Costo Unitario (USD)]]+STOCK[[#This Row],[Costo Envío (USD)]]+STOCK[[#This Row],[Comisión 10%]]</f>
        <v>0</v>
      </c>
      <c r="U1011" s="76">
        <f>STOCK[[#This Row],[Costo total]]*1.5</f>
        <v>0</v>
      </c>
      <c r="W1011" s="76">
        <f>STOCK[[#This Row],[Precio Final]]-STOCK[[#This Row],[Costo total]]</f>
        <v>0</v>
      </c>
      <c r="X1011" s="76">
        <f>STOCK[[#This Row],[Ganancia Unitaria]]*STOCK[[#This Row],[Salidas]]</f>
        <v>0</v>
      </c>
      <c r="Y1011" s="76" t="s">
        <v>1951</v>
      </c>
      <c r="AA1011" s="76">
        <f>STOCK[[#This Row],[Costo total]]*STOCK[[#This Row],[Entradas]]</f>
        <v>0</v>
      </c>
      <c r="AB1011" s="76">
        <f>STOCK[[#This Row],[Stock Actual]]*STOCK[[#This Row],[Costo total]]</f>
        <v>0</v>
      </c>
    </row>
    <row r="1012" s="77" customFormat="1" ht="50" hidden="1" customHeight="1" spans="1:28">
      <c r="A1012" s="77" t="s">
        <v>2078</v>
      </c>
      <c r="B1012" s="6"/>
      <c r="C1012" s="77" t="s">
        <v>30</v>
      </c>
      <c r="D1012" s="77" t="s">
        <v>151</v>
      </c>
      <c r="E1012" s="77" t="s">
        <v>2079</v>
      </c>
      <c r="F1012" s="77" t="s">
        <v>47</v>
      </c>
      <c r="G1012" s="77" t="s">
        <v>702</v>
      </c>
      <c r="H1012" s="77">
        <f>STOCK[[#This Row],[Precio Final]]</f>
        <v>30</v>
      </c>
      <c r="I1012" s="77">
        <f>STOCK[[#This Row],[Precio Venta Ideal (x1.5)]]</f>
        <v>27</v>
      </c>
      <c r="J1012" s="91">
        <v>0</v>
      </c>
      <c r="K1012" s="92">
        <f>SUMIFS(VENTAS[Cantidad],VENTAS[Código del producto Vendido],STOCK[[#This Row],[Code]])</f>
        <v>0</v>
      </c>
      <c r="L1012" s="92">
        <f>STOCK[[#This Row],[Entradas]]-STOCK[[#This Row],[Salidas]]</f>
        <v>0</v>
      </c>
      <c r="M1012" s="77">
        <f>STOCK[[#This Row],[Precio Final]]*10%</f>
        <v>3</v>
      </c>
      <c r="N1012" s="77">
        <v>0</v>
      </c>
      <c r="O1012" s="77">
        <v>0</v>
      </c>
      <c r="P1012" s="77">
        <v>15</v>
      </c>
      <c r="Q1012" s="92">
        <v>0</v>
      </c>
      <c r="R1012" s="77">
        <v>0</v>
      </c>
      <c r="S1012" s="77">
        <v>0</v>
      </c>
      <c r="T1012" s="76">
        <f>STOCK[[#This Row],[Costo Unitario (USD)]]+STOCK[[#This Row],[Costo Envío (USD)]]+STOCK[[#This Row],[Comisión 10%]]</f>
        <v>18</v>
      </c>
      <c r="U1012" s="77">
        <f>STOCK[[#This Row],[Costo total]]*1.5</f>
        <v>27</v>
      </c>
      <c r="V1012" s="77">
        <v>30</v>
      </c>
      <c r="W1012" s="77">
        <f>STOCK[[#This Row],[Precio Final]]-STOCK[[#This Row],[Costo total]]</f>
        <v>12</v>
      </c>
      <c r="X1012" s="77">
        <f>STOCK[[#This Row],[Ganancia Unitaria]]*STOCK[[#This Row],[Salidas]]</f>
        <v>0</v>
      </c>
      <c r="Y1012" s="77" t="s">
        <v>1951</v>
      </c>
      <c r="AA1012" s="77">
        <f>STOCK[[#This Row],[Costo total]]*STOCK[[#This Row],[Entradas]]</f>
        <v>0</v>
      </c>
      <c r="AB1012" s="77">
        <f>STOCK[[#This Row],[Stock Actual]]*STOCK[[#This Row],[Costo total]]</f>
        <v>0</v>
      </c>
    </row>
    <row r="1013" s="76" customFormat="1" ht="50" hidden="1" customHeight="1" spans="1:28">
      <c r="A1013" s="76" t="s">
        <v>2080</v>
      </c>
      <c r="B1013" s="6"/>
      <c r="C1013" s="76" t="s">
        <v>30</v>
      </c>
      <c r="D1013" s="76" t="s">
        <v>151</v>
      </c>
      <c r="E1013" s="76" t="s">
        <v>2081</v>
      </c>
      <c r="F1013" s="76" t="s">
        <v>38</v>
      </c>
      <c r="G1013" s="76" t="s">
        <v>34</v>
      </c>
      <c r="H1013" s="76">
        <f>STOCK[[#This Row],[Precio Final]]</f>
        <v>30</v>
      </c>
      <c r="I1013" s="76">
        <f>STOCK[[#This Row],[Precio Venta Ideal (x1.5)]]</f>
        <v>27</v>
      </c>
      <c r="J1013" s="91">
        <v>0</v>
      </c>
      <c r="K1013" s="91">
        <f>SUMIFS(VENTAS[Cantidad],VENTAS[Código del producto Vendido],STOCK[[#This Row],[Code]])</f>
        <v>0</v>
      </c>
      <c r="L1013" s="91">
        <f>STOCK[[#This Row],[Entradas]]-STOCK[[#This Row],[Salidas]]</f>
        <v>0</v>
      </c>
      <c r="M1013" s="76">
        <f>STOCK[[#This Row],[Precio Final]]*10%</f>
        <v>3</v>
      </c>
      <c r="N1013" s="76">
        <v>0</v>
      </c>
      <c r="O1013" s="76">
        <v>0</v>
      </c>
      <c r="P1013" s="76">
        <v>15</v>
      </c>
      <c r="Q1013" s="91">
        <v>0</v>
      </c>
      <c r="R1013" s="76">
        <v>0</v>
      </c>
      <c r="S1013" s="76">
        <v>0</v>
      </c>
      <c r="T1013" s="76">
        <f>STOCK[[#This Row],[Costo Unitario (USD)]]+STOCK[[#This Row],[Costo Envío (USD)]]+STOCK[[#This Row],[Comisión 10%]]</f>
        <v>18</v>
      </c>
      <c r="U1013" s="76">
        <f>STOCK[[#This Row],[Costo total]]*1.5</f>
        <v>27</v>
      </c>
      <c r="V1013" s="76">
        <v>30</v>
      </c>
      <c r="W1013" s="76">
        <f>STOCK[[#This Row],[Precio Final]]-STOCK[[#This Row],[Costo total]]</f>
        <v>12</v>
      </c>
      <c r="X1013" s="76">
        <f>STOCK[[#This Row],[Ganancia Unitaria]]*STOCK[[#This Row],[Salidas]]</f>
        <v>0</v>
      </c>
      <c r="Y1013" s="76" t="s">
        <v>1951</v>
      </c>
      <c r="AA1013" s="76">
        <f>STOCK[[#This Row],[Costo total]]*STOCK[[#This Row],[Entradas]]</f>
        <v>0</v>
      </c>
      <c r="AB1013" s="76">
        <f>STOCK[[#This Row],[Stock Actual]]*STOCK[[#This Row],[Costo total]]</f>
        <v>0</v>
      </c>
    </row>
    <row r="1014" s="77" customFormat="1" ht="50" hidden="1" customHeight="1" spans="1:28">
      <c r="A1014" s="77" t="s">
        <v>2082</v>
      </c>
      <c r="B1014" s="6"/>
      <c r="C1014" s="77" t="s">
        <v>30</v>
      </c>
      <c r="D1014" s="77" t="s">
        <v>151</v>
      </c>
      <c r="E1014" s="77" t="s">
        <v>2083</v>
      </c>
      <c r="F1014" s="77" t="s">
        <v>1984</v>
      </c>
      <c r="G1014" s="77" t="s">
        <v>1294</v>
      </c>
      <c r="H1014" s="77">
        <f>STOCK[[#This Row],[Precio Final]]</f>
        <v>15</v>
      </c>
      <c r="I1014" s="77">
        <f>STOCK[[#This Row],[Precio Venta Ideal (x1.5)]]</f>
        <v>17.25</v>
      </c>
      <c r="J1014" s="91">
        <v>0</v>
      </c>
      <c r="K1014" s="92">
        <f>SUMIFS(VENTAS[Cantidad],VENTAS[Código del producto Vendido],STOCK[[#This Row],[Code]])</f>
        <v>0</v>
      </c>
      <c r="L1014" s="92">
        <f>STOCK[[#This Row],[Entradas]]-STOCK[[#This Row],[Salidas]]</f>
        <v>0</v>
      </c>
      <c r="M1014" s="77">
        <f>STOCK[[#This Row],[Precio Final]]*10%</f>
        <v>1.5</v>
      </c>
      <c r="N1014" s="77">
        <v>0</v>
      </c>
      <c r="O1014" s="77">
        <v>0</v>
      </c>
      <c r="P1014" s="77">
        <v>10</v>
      </c>
      <c r="Q1014" s="92">
        <v>0</v>
      </c>
      <c r="R1014" s="77">
        <v>0</v>
      </c>
      <c r="S1014" s="77">
        <v>0</v>
      </c>
      <c r="T1014" s="76">
        <f>STOCK[[#This Row],[Costo Unitario (USD)]]+STOCK[[#This Row],[Costo Envío (USD)]]+STOCK[[#This Row],[Comisión 10%]]</f>
        <v>11.5</v>
      </c>
      <c r="U1014" s="77">
        <f>STOCK[[#This Row],[Costo total]]*1.5</f>
        <v>17.25</v>
      </c>
      <c r="V1014" s="77">
        <v>15</v>
      </c>
      <c r="W1014" s="77">
        <f>STOCK[[#This Row],[Precio Final]]-STOCK[[#This Row],[Costo total]]</f>
        <v>3.5</v>
      </c>
      <c r="X1014" s="77">
        <f>STOCK[[#This Row],[Ganancia Unitaria]]*STOCK[[#This Row],[Salidas]]</f>
        <v>0</v>
      </c>
      <c r="Y1014" s="77" t="s">
        <v>1951</v>
      </c>
      <c r="AA1014" s="77">
        <f>STOCK[[#This Row],[Costo total]]*STOCK[[#This Row],[Entradas]]</f>
        <v>0</v>
      </c>
      <c r="AB1014" s="77">
        <f>STOCK[[#This Row],[Stock Actual]]*STOCK[[#This Row],[Costo total]]</f>
        <v>0</v>
      </c>
    </row>
    <row r="1015" s="76" customFormat="1" ht="50" hidden="1" customHeight="1" spans="1:28">
      <c r="A1015" s="76" t="s">
        <v>2084</v>
      </c>
      <c r="B1015" s="6"/>
      <c r="C1015" s="76" t="s">
        <v>30</v>
      </c>
      <c r="D1015" s="76" t="s">
        <v>514</v>
      </c>
      <c r="E1015" s="76" t="s">
        <v>2085</v>
      </c>
      <c r="F1015" s="76" t="s">
        <v>764</v>
      </c>
      <c r="G1015" s="76" t="s">
        <v>1599</v>
      </c>
      <c r="H1015" s="76">
        <f>STOCK[[#This Row],[Precio Final]]</f>
        <v>40</v>
      </c>
      <c r="I1015" s="76">
        <f>STOCK[[#This Row],[Precio Venta Ideal (x1.5)]]</f>
        <v>39.63</v>
      </c>
      <c r="J1015" s="91">
        <v>1</v>
      </c>
      <c r="K1015" s="91">
        <f>SUMIFS(VENTAS[Cantidad],VENTAS[Código del producto Vendido],STOCK[[#This Row],[Code]])</f>
        <v>1</v>
      </c>
      <c r="L1015" s="91">
        <f>STOCK[[#This Row],[Entradas]]-STOCK[[#This Row],[Salidas]]</f>
        <v>0</v>
      </c>
      <c r="M1015" s="76">
        <f>STOCK[[#This Row],[Precio Final]]*10%</f>
        <v>4</v>
      </c>
      <c r="N1015" s="76">
        <v>0</v>
      </c>
      <c r="O1015" s="76">
        <v>0</v>
      </c>
      <c r="P1015" s="76">
        <v>20.92</v>
      </c>
      <c r="Q1015" s="91">
        <v>0</v>
      </c>
      <c r="R1015" s="76">
        <v>0</v>
      </c>
      <c r="S1015" s="76">
        <v>1.5</v>
      </c>
      <c r="T1015" s="76">
        <f>STOCK[[#This Row],[Costo Unitario (USD)]]+STOCK[[#This Row],[Costo Envío (USD)]]+STOCK[[#This Row],[Comisión 10%]]</f>
        <v>26.42</v>
      </c>
      <c r="U1015" s="76">
        <f>STOCK[[#This Row],[Costo total]]*1.5</f>
        <v>39.63</v>
      </c>
      <c r="V1015" s="76">
        <v>40</v>
      </c>
      <c r="W1015" s="76">
        <f>STOCK[[#This Row],[Precio Final]]-STOCK[[#This Row],[Costo total]]</f>
        <v>13.58</v>
      </c>
      <c r="X1015" s="76">
        <f>STOCK[[#This Row],[Ganancia Unitaria]]*STOCK[[#This Row],[Salidas]]</f>
        <v>13.58</v>
      </c>
      <c r="Y1015" s="76" t="s">
        <v>1600</v>
      </c>
      <c r="AA1015" s="76">
        <f>STOCK[[#This Row],[Costo total]]*STOCK[[#This Row],[Entradas]]</f>
        <v>26.42</v>
      </c>
      <c r="AB1015" s="76">
        <f>STOCK[[#This Row],[Stock Actual]]*STOCK[[#This Row],[Costo total]]</f>
        <v>0</v>
      </c>
    </row>
    <row r="1016" s="77" customFormat="1" ht="50" hidden="1" customHeight="1" spans="1:28">
      <c r="A1016" s="77" t="s">
        <v>2086</v>
      </c>
      <c r="B1016" s="6"/>
      <c r="C1016" s="77" t="s">
        <v>30</v>
      </c>
      <c r="D1016" s="77" t="s">
        <v>1865</v>
      </c>
      <c r="E1016" s="77" t="s">
        <v>1901</v>
      </c>
      <c r="F1016" s="77" t="s">
        <v>40</v>
      </c>
      <c r="G1016" s="77" t="s">
        <v>1874</v>
      </c>
      <c r="H1016" s="77">
        <f>STOCK[[#This Row],[Precio Final]]</f>
        <v>14</v>
      </c>
      <c r="I1016" s="77">
        <f>STOCK[[#This Row],[Precio Venta Ideal (x1.5)]]</f>
        <v>15.9</v>
      </c>
      <c r="J1016" s="92">
        <v>2</v>
      </c>
      <c r="K1016" s="92">
        <f>SUMIFS(VENTAS[Cantidad],VENTAS[Código del producto Vendido],STOCK[[#This Row],[Code]])</f>
        <v>0</v>
      </c>
      <c r="L1016" s="92">
        <f>STOCK[[#This Row],[Entradas]]-STOCK[[#This Row],[Salidas]]</f>
        <v>2</v>
      </c>
      <c r="M1016" s="77">
        <f>STOCK[[#This Row],[Precio Final]]*10%</f>
        <v>1.4</v>
      </c>
      <c r="N1016" s="77">
        <v>0</v>
      </c>
      <c r="O1016" s="77">
        <v>0</v>
      </c>
      <c r="P1016" s="77">
        <v>8.7</v>
      </c>
      <c r="Q1016" s="92">
        <v>0</v>
      </c>
      <c r="R1016" s="77">
        <v>0</v>
      </c>
      <c r="S1016" s="77">
        <v>0.5</v>
      </c>
      <c r="T1016" s="76">
        <f>STOCK[[#This Row],[Costo Unitario (USD)]]+STOCK[[#This Row],[Costo Envío (USD)]]+STOCK[[#This Row],[Comisión 10%]]</f>
        <v>10.6</v>
      </c>
      <c r="U1016" s="77">
        <f>STOCK[[#This Row],[Costo total]]*1.5</f>
        <v>15.9</v>
      </c>
      <c r="V1016" s="77">
        <v>14</v>
      </c>
      <c r="W1016" s="77">
        <f>STOCK[[#This Row],[Precio Final]]-STOCK[[#This Row],[Costo total]]</f>
        <v>3.4</v>
      </c>
      <c r="X1016" s="77">
        <f>STOCK[[#This Row],[Ganancia Unitaria]]*STOCK[[#This Row],[Salidas]]</f>
        <v>0</v>
      </c>
      <c r="Y1016" s="77" t="s">
        <v>1875</v>
      </c>
      <c r="AA1016" s="77">
        <f>STOCK[[#This Row],[Costo total]]*STOCK[[#This Row],[Entradas]]</f>
        <v>21.2</v>
      </c>
      <c r="AB1016" s="77">
        <f>STOCK[[#This Row],[Stock Actual]]*STOCK[[#This Row],[Costo total]]</f>
        <v>21.2</v>
      </c>
    </row>
    <row r="1017" s="76" customFormat="1" ht="50" hidden="1" customHeight="1" spans="1:28">
      <c r="A1017" s="76" t="s">
        <v>2087</v>
      </c>
      <c r="B1017" s="6"/>
      <c r="C1017" s="76" t="s">
        <v>30</v>
      </c>
      <c r="D1017" s="76" t="s">
        <v>2088</v>
      </c>
      <c r="E1017" s="76" t="s">
        <v>2089</v>
      </c>
      <c r="F1017" s="76" t="s">
        <v>2090</v>
      </c>
      <c r="G1017" s="76" t="s">
        <v>34</v>
      </c>
      <c r="H1017" s="76">
        <f>STOCK[[#This Row],[Precio Final]]</f>
        <v>8</v>
      </c>
      <c r="I1017" s="76">
        <f>STOCK[[#This Row],[Precio Venta Ideal (x1.5)]]</f>
        <v>4.2</v>
      </c>
      <c r="J1017" s="91">
        <v>0</v>
      </c>
      <c r="K1017" s="91">
        <f>SUMIFS(VENTAS[Cantidad],VENTAS[Código del producto Vendido],STOCK[[#This Row],[Code]])</f>
        <v>0</v>
      </c>
      <c r="L1017" s="91">
        <f>STOCK[[#This Row],[Entradas]]-STOCK[[#This Row],[Salidas]]</f>
        <v>0</v>
      </c>
      <c r="M1017" s="76">
        <f>STOCK[[#This Row],[Precio Final]]*10%</f>
        <v>0.8</v>
      </c>
      <c r="N1017" s="76">
        <v>0</v>
      </c>
      <c r="O1017" s="76">
        <v>0</v>
      </c>
      <c r="P1017" s="76">
        <v>1</v>
      </c>
      <c r="Q1017" s="91">
        <v>0</v>
      </c>
      <c r="R1017" s="76">
        <v>0</v>
      </c>
      <c r="S1017" s="76">
        <v>1</v>
      </c>
      <c r="T1017" s="76">
        <f>STOCK[[#This Row],[Costo Unitario (USD)]]+STOCK[[#This Row],[Costo Envío (USD)]]+STOCK[[#This Row],[Comisión 10%]]</f>
        <v>2.8</v>
      </c>
      <c r="U1017" s="76">
        <f>STOCK[[#This Row],[Costo total]]*1.5</f>
        <v>4.2</v>
      </c>
      <c r="V1017" s="76">
        <v>8</v>
      </c>
      <c r="W1017" s="76">
        <f>STOCK[[#This Row],[Precio Final]]-STOCK[[#This Row],[Costo total]]</f>
        <v>5.2</v>
      </c>
      <c r="X1017" s="76">
        <f>STOCK[[#This Row],[Ganancia Unitaria]]*STOCK[[#This Row],[Salidas]]</f>
        <v>0</v>
      </c>
      <c r="AA1017" s="76">
        <f>STOCK[[#This Row],[Costo total]]*STOCK[[#This Row],[Entradas]]</f>
        <v>0</v>
      </c>
      <c r="AB1017" s="76">
        <f>STOCK[[#This Row],[Stock Actual]]*STOCK[[#This Row],[Costo total]]</f>
        <v>0</v>
      </c>
    </row>
    <row r="1018" s="77" customFormat="1" ht="50" hidden="1" customHeight="1" spans="1:28">
      <c r="A1018" s="77" t="s">
        <v>2091</v>
      </c>
      <c r="B1018" s="6" t="s">
        <v>2092</v>
      </c>
      <c r="C1018" s="77" t="s">
        <v>30</v>
      </c>
      <c r="D1018" s="77" t="s">
        <v>173</v>
      </c>
      <c r="E1018" s="77" t="s">
        <v>2093</v>
      </c>
      <c r="F1018" s="77" t="s">
        <v>38</v>
      </c>
      <c r="G1018" s="77" t="s">
        <v>34</v>
      </c>
      <c r="H1018" s="77">
        <f>STOCK[[#This Row],[Precio Final]]</f>
        <v>22</v>
      </c>
      <c r="I1018" s="77">
        <f>STOCK[[#This Row],[Precio Venta Ideal (x1.5)]]</f>
        <v>10.8</v>
      </c>
      <c r="J1018" s="92">
        <v>0</v>
      </c>
      <c r="K1018" s="92">
        <f>SUMIFS(VENTAS[Cantidad],VENTAS[Código del producto Vendido],STOCK[[#This Row],[Code]])</f>
        <v>0</v>
      </c>
      <c r="L1018" s="92">
        <f>STOCK[[#This Row],[Entradas]]-STOCK[[#This Row],[Salidas]]</f>
        <v>0</v>
      </c>
      <c r="M1018" s="77">
        <f>STOCK[[#This Row],[Precio Final]]*10%</f>
        <v>2.2</v>
      </c>
      <c r="N1018" s="77">
        <v>0</v>
      </c>
      <c r="O1018" s="77">
        <v>0</v>
      </c>
      <c r="P1018" s="77">
        <v>5</v>
      </c>
      <c r="Q1018" s="92">
        <v>0</v>
      </c>
      <c r="R1018" s="77">
        <v>0</v>
      </c>
      <c r="S1018" s="77">
        <v>0</v>
      </c>
      <c r="T1018" s="76">
        <f>STOCK[[#This Row],[Costo Unitario (USD)]]+STOCK[[#This Row],[Costo Envío (USD)]]+STOCK[[#This Row],[Comisión 10%]]</f>
        <v>7.2</v>
      </c>
      <c r="U1018" s="77">
        <f>STOCK[[#This Row],[Costo total]]*1.5</f>
        <v>10.8</v>
      </c>
      <c r="V1018" s="77">
        <v>22</v>
      </c>
      <c r="W1018" s="77">
        <f>STOCK[[#This Row],[Precio Final]]-STOCK[[#This Row],[Costo total]]</f>
        <v>14.8</v>
      </c>
      <c r="X1018" s="77">
        <f>STOCK[[#This Row],[Ganancia Unitaria]]*STOCK[[#This Row],[Salidas]]</f>
        <v>0</v>
      </c>
      <c r="AA1018" s="77">
        <f>STOCK[[#This Row],[Costo total]]*STOCK[[#This Row],[Entradas]]</f>
        <v>0</v>
      </c>
      <c r="AB1018" s="77">
        <f>STOCK[[#This Row],[Stock Actual]]*STOCK[[#This Row],[Costo total]]</f>
        <v>0</v>
      </c>
    </row>
    <row r="1019" s="76" customFormat="1" ht="50" hidden="1" customHeight="1" spans="1:28">
      <c r="A1019" s="76" t="s">
        <v>2094</v>
      </c>
      <c r="B1019" s="6"/>
      <c r="C1019" s="76" t="s">
        <v>30</v>
      </c>
      <c r="D1019" s="76" t="s">
        <v>173</v>
      </c>
      <c r="E1019" s="76" t="s">
        <v>2095</v>
      </c>
      <c r="F1019" s="76" t="s">
        <v>60</v>
      </c>
      <c r="G1019" s="76" t="s">
        <v>34</v>
      </c>
      <c r="H1019" s="76">
        <f>STOCK[[#This Row],[Precio Final]]</f>
        <v>22</v>
      </c>
      <c r="I1019" s="76">
        <f>STOCK[[#This Row],[Precio Venta Ideal (x1.5)]]</f>
        <v>19.8</v>
      </c>
      <c r="J1019" s="91">
        <v>1</v>
      </c>
      <c r="K1019" s="91">
        <f>SUMIFS(VENTAS[Cantidad],VENTAS[Código del producto Vendido],STOCK[[#This Row],[Code]])</f>
        <v>0</v>
      </c>
      <c r="L1019" s="91">
        <f>STOCK[[#This Row],[Entradas]]-STOCK[[#This Row],[Salidas]]</f>
        <v>1</v>
      </c>
      <c r="M1019" s="76">
        <f>STOCK[[#This Row],[Precio Final]]*10%</f>
        <v>2.2</v>
      </c>
      <c r="N1019" s="76">
        <v>0</v>
      </c>
      <c r="O1019" s="76">
        <v>0</v>
      </c>
      <c r="P1019" s="76">
        <v>10</v>
      </c>
      <c r="Q1019" s="91">
        <v>0</v>
      </c>
      <c r="R1019" s="76">
        <v>0</v>
      </c>
      <c r="S1019" s="76">
        <v>1</v>
      </c>
      <c r="T1019" s="76">
        <f>STOCK[[#This Row],[Costo Unitario (USD)]]+STOCK[[#This Row],[Costo Envío (USD)]]+STOCK[[#This Row],[Comisión 10%]]</f>
        <v>13.2</v>
      </c>
      <c r="U1019" s="76">
        <f>STOCK[[#This Row],[Costo total]]*1.5</f>
        <v>19.8</v>
      </c>
      <c r="V1019" s="76">
        <v>22</v>
      </c>
      <c r="W1019" s="76">
        <f>STOCK[[#This Row],[Precio Final]]-STOCK[[#This Row],[Costo total]]</f>
        <v>8.8</v>
      </c>
      <c r="X1019" s="76">
        <f>STOCK[[#This Row],[Ganancia Unitaria]]*STOCK[[#This Row],[Salidas]]</f>
        <v>0</v>
      </c>
      <c r="AA1019" s="76">
        <f>STOCK[[#This Row],[Costo total]]*STOCK[[#This Row],[Entradas]]</f>
        <v>13.2</v>
      </c>
      <c r="AB1019" s="76">
        <f>STOCK[[#This Row],[Stock Actual]]*STOCK[[#This Row],[Costo total]]</f>
        <v>13.2</v>
      </c>
    </row>
    <row r="1020" s="77" customFormat="1" ht="50" hidden="1" customHeight="1" spans="1:28">
      <c r="A1020" s="77" t="s">
        <v>2096</v>
      </c>
      <c r="B1020" s="6"/>
      <c r="C1020" s="77" t="s">
        <v>30</v>
      </c>
      <c r="D1020" s="77" t="s">
        <v>173</v>
      </c>
      <c r="E1020" s="76" t="s">
        <v>2095</v>
      </c>
      <c r="F1020" s="77" t="s">
        <v>47</v>
      </c>
      <c r="G1020" s="77" t="s">
        <v>34</v>
      </c>
      <c r="H1020" s="77">
        <f>STOCK[[#This Row],[Precio Final]]</f>
        <v>22</v>
      </c>
      <c r="I1020" s="77">
        <f>STOCK[[#This Row],[Precio Venta Ideal (x1.5)]]</f>
        <v>18.3</v>
      </c>
      <c r="J1020" s="92">
        <v>1</v>
      </c>
      <c r="K1020" s="92">
        <f>SUMIFS(VENTAS[Cantidad],VENTAS[Código del producto Vendido],STOCK[[#This Row],[Code]])</f>
        <v>0</v>
      </c>
      <c r="L1020" s="92">
        <f>STOCK[[#This Row],[Entradas]]-STOCK[[#This Row],[Salidas]]</f>
        <v>1</v>
      </c>
      <c r="M1020" s="77">
        <f>STOCK[[#This Row],[Precio Final]]*10%</f>
        <v>2.2</v>
      </c>
      <c r="N1020" s="77">
        <v>0</v>
      </c>
      <c r="O1020" s="77">
        <v>0</v>
      </c>
      <c r="P1020" s="77">
        <v>10</v>
      </c>
      <c r="Q1020" s="92">
        <v>0</v>
      </c>
      <c r="R1020" s="77">
        <v>0</v>
      </c>
      <c r="S1020" s="77">
        <v>0</v>
      </c>
      <c r="T1020" s="76">
        <f>STOCK[[#This Row],[Costo Unitario (USD)]]+STOCK[[#This Row],[Costo Envío (USD)]]+STOCK[[#This Row],[Comisión 10%]]</f>
        <v>12.2</v>
      </c>
      <c r="U1020" s="77">
        <f>STOCK[[#This Row],[Costo total]]*1.5</f>
        <v>18.3</v>
      </c>
      <c r="V1020" s="77">
        <v>22</v>
      </c>
      <c r="W1020" s="77">
        <f>STOCK[[#This Row],[Precio Final]]-STOCK[[#This Row],[Costo total]]</f>
        <v>9.8</v>
      </c>
      <c r="X1020" s="77">
        <f>STOCK[[#This Row],[Ganancia Unitaria]]*STOCK[[#This Row],[Salidas]]</f>
        <v>0</v>
      </c>
      <c r="AA1020" s="77">
        <f>STOCK[[#This Row],[Costo total]]*STOCK[[#This Row],[Entradas]]</f>
        <v>12.2</v>
      </c>
      <c r="AB1020" s="77">
        <f>STOCK[[#This Row],[Stock Actual]]*STOCK[[#This Row],[Costo total]]</f>
        <v>12.2</v>
      </c>
    </row>
    <row r="1021" s="76" customFormat="1" ht="50" hidden="1" customHeight="1" spans="1:28">
      <c r="A1021" s="76" t="s">
        <v>2097</v>
      </c>
      <c r="B1021" s="6"/>
      <c r="C1021" s="76" t="s">
        <v>30</v>
      </c>
      <c r="D1021" s="76" t="s">
        <v>42</v>
      </c>
      <c r="E1021" s="76" t="s">
        <v>1707</v>
      </c>
      <c r="F1021" s="76" t="s">
        <v>1732</v>
      </c>
      <c r="G1021" s="76" t="s">
        <v>34</v>
      </c>
      <c r="H1021" s="76">
        <f>STOCK[[#This Row],[Precio Final]]</f>
        <v>27</v>
      </c>
      <c r="I1021" s="76">
        <f>STOCK[[#This Row],[Precio Venta Ideal (x1.5)]]</f>
        <v>31.2</v>
      </c>
      <c r="J1021" s="91">
        <v>1</v>
      </c>
      <c r="K1021" s="91">
        <f>SUMIFS(VENTAS[Cantidad],VENTAS[Código del producto Vendido],STOCK[[#This Row],[Code]])</f>
        <v>1</v>
      </c>
      <c r="L1021" s="91">
        <f>STOCK[[#This Row],[Entradas]]-STOCK[[#This Row],[Salidas]]</f>
        <v>0</v>
      </c>
      <c r="M1021" s="76">
        <f>STOCK[[#This Row],[Precio Final]]*10%</f>
        <v>2.7</v>
      </c>
      <c r="N1021" s="76">
        <v>0</v>
      </c>
      <c r="O1021" s="76">
        <v>0</v>
      </c>
      <c r="P1021" s="76">
        <v>16.6</v>
      </c>
      <c r="Q1021" s="91">
        <v>0</v>
      </c>
      <c r="R1021" s="76">
        <v>0</v>
      </c>
      <c r="S1021" s="76">
        <v>1.5</v>
      </c>
      <c r="T1021" s="76">
        <f>STOCK[[#This Row],[Costo Unitario (USD)]]+STOCK[[#This Row],[Costo Envío (USD)]]+STOCK[[#This Row],[Comisión 10%]]</f>
        <v>20.8</v>
      </c>
      <c r="U1021" s="76">
        <f>STOCK[[#This Row],[Costo total]]*1.5</f>
        <v>31.2</v>
      </c>
      <c r="V1021" s="76">
        <v>27</v>
      </c>
      <c r="W1021" s="76">
        <f>STOCK[[#This Row],[Precio Final]]-STOCK[[#This Row],[Costo total]]</f>
        <v>6.2</v>
      </c>
      <c r="X1021" s="76">
        <f>STOCK[[#This Row],[Ganancia Unitaria]]*STOCK[[#This Row],[Salidas]]</f>
        <v>6.2</v>
      </c>
      <c r="AA1021" s="76">
        <f>STOCK[[#This Row],[Costo total]]*STOCK[[#This Row],[Entradas]]</f>
        <v>20.8</v>
      </c>
      <c r="AB1021" s="76">
        <f>STOCK[[#This Row],[Stock Actual]]*STOCK[[#This Row],[Costo total]]</f>
        <v>0</v>
      </c>
    </row>
    <row r="1022" s="77" customFormat="1" ht="50" hidden="1" customHeight="1" spans="1:28">
      <c r="A1022" s="77" t="s">
        <v>2098</v>
      </c>
      <c r="B1022" s="6" t="s">
        <v>2092</v>
      </c>
      <c r="C1022" s="77" t="s">
        <v>30</v>
      </c>
      <c r="D1022" s="77" t="s">
        <v>42</v>
      </c>
      <c r="E1022" s="77" t="s">
        <v>2099</v>
      </c>
      <c r="F1022" s="77" t="s">
        <v>40</v>
      </c>
      <c r="H1022" s="77">
        <f>STOCK[[#This Row],[Precio Final]]</f>
        <v>20</v>
      </c>
      <c r="I1022" s="77">
        <f>STOCK[[#This Row],[Precio Venta Ideal (x1.5)]]</f>
        <v>4.5</v>
      </c>
      <c r="J1022" s="92">
        <v>0</v>
      </c>
      <c r="K1022" s="92">
        <f>SUMIFS(VENTAS[Cantidad],VENTAS[Código del producto Vendido],STOCK[[#This Row],[Code]])</f>
        <v>0</v>
      </c>
      <c r="L1022" s="92">
        <f>STOCK[[#This Row],[Entradas]]-STOCK[[#This Row],[Salidas]]</f>
        <v>0</v>
      </c>
      <c r="M1022" s="77">
        <f>STOCK[[#This Row],[Precio Final]]*10%</f>
        <v>2</v>
      </c>
      <c r="N1022" s="77">
        <v>0</v>
      </c>
      <c r="O1022" s="77">
        <v>0</v>
      </c>
      <c r="P1022" s="77">
        <v>1</v>
      </c>
      <c r="Q1022" s="92">
        <v>0</v>
      </c>
      <c r="R1022" s="77">
        <v>0</v>
      </c>
      <c r="S1022" s="77">
        <v>0</v>
      </c>
      <c r="T1022" s="76">
        <f>STOCK[[#This Row],[Costo Unitario (USD)]]+STOCK[[#This Row],[Costo Envío (USD)]]+STOCK[[#This Row],[Comisión 10%]]</f>
        <v>3</v>
      </c>
      <c r="U1022" s="77">
        <f>STOCK[[#This Row],[Costo total]]*1.5</f>
        <v>4.5</v>
      </c>
      <c r="V1022" s="77">
        <v>20</v>
      </c>
      <c r="W1022" s="77">
        <f>STOCK[[#This Row],[Precio Final]]-STOCK[[#This Row],[Costo total]]</f>
        <v>17</v>
      </c>
      <c r="X1022" s="77">
        <f>STOCK[[#This Row],[Ganancia Unitaria]]*STOCK[[#This Row],[Salidas]]</f>
        <v>0</v>
      </c>
      <c r="AA1022" s="77">
        <f>STOCK[[#This Row],[Costo total]]*STOCK[[#This Row],[Entradas]]</f>
        <v>0</v>
      </c>
      <c r="AB1022" s="77">
        <f>STOCK[[#This Row],[Stock Actual]]*STOCK[[#This Row],[Costo total]]</f>
        <v>0</v>
      </c>
    </row>
    <row r="1023" s="76" customFormat="1" ht="50" hidden="1" customHeight="1" spans="1:29">
      <c r="A1023" s="77" t="s">
        <v>2100</v>
      </c>
      <c r="B1023" s="6"/>
      <c r="C1023" s="76" t="s">
        <v>30</v>
      </c>
      <c r="D1023" s="76" t="s">
        <v>215</v>
      </c>
      <c r="E1023" s="76" t="s">
        <v>2101</v>
      </c>
      <c r="F1023" s="76" t="s">
        <v>40</v>
      </c>
      <c r="H1023" s="76">
        <f>STOCK[[#This Row],[Precio Final]]</f>
        <v>15</v>
      </c>
      <c r="I1023" s="76">
        <f>STOCK[[#This Row],[Precio Venta Ideal (x1.5)]]</f>
        <v>5.25</v>
      </c>
      <c r="J1023" s="91">
        <v>1</v>
      </c>
      <c r="K1023" s="91">
        <f>SUMIFS(VENTAS[Cantidad],VENTAS[Código del producto Vendido],STOCK[[#This Row],[Code]])</f>
        <v>0</v>
      </c>
      <c r="L1023" s="91">
        <f>STOCK[[#This Row],[Entradas]]-STOCK[[#This Row],[Salidas]]</f>
        <v>1</v>
      </c>
      <c r="M1023" s="76">
        <f>STOCK[[#This Row],[Precio Final]]*10%</f>
        <v>1.5</v>
      </c>
      <c r="N1023" s="76">
        <v>0</v>
      </c>
      <c r="O1023" s="76">
        <v>0</v>
      </c>
      <c r="P1023" s="76">
        <v>2</v>
      </c>
      <c r="Q1023" s="91">
        <v>0</v>
      </c>
      <c r="R1023" s="76">
        <v>0</v>
      </c>
      <c r="S1023" s="76">
        <v>0</v>
      </c>
      <c r="T1023" s="76">
        <f>STOCK[[#This Row],[Costo Unitario (USD)]]+STOCK[[#This Row],[Costo Envío (USD)]]+STOCK[[#This Row],[Comisión 10%]]</f>
        <v>3.5</v>
      </c>
      <c r="U1023" s="76">
        <f>STOCK[[#This Row],[Costo total]]*1.5</f>
        <v>5.25</v>
      </c>
      <c r="V1023" s="76">
        <v>15</v>
      </c>
      <c r="W1023" s="76">
        <f>STOCK[[#This Row],[Precio Final]]-STOCK[[#This Row],[Costo total]]</f>
        <v>11.5</v>
      </c>
      <c r="X1023" s="76">
        <f>STOCK[[#This Row],[Ganancia Unitaria]]*STOCK[[#This Row],[Salidas]]</f>
        <v>0</v>
      </c>
      <c r="AA1023" s="76">
        <f>STOCK[[#This Row],[Costo total]]*STOCK[[#This Row],[Entradas]]</f>
        <v>3.5</v>
      </c>
      <c r="AB1023" s="76">
        <f>STOCK[[#This Row],[Stock Actual]]*STOCK[[#This Row],[Costo total]]</f>
        <v>3.5</v>
      </c>
      <c r="AC1023" s="76">
        <v>12</v>
      </c>
    </row>
    <row r="1024" s="77" customFormat="1" ht="50" hidden="1" customHeight="1" spans="1:28">
      <c r="A1024" s="77" t="s">
        <v>2102</v>
      </c>
      <c r="B1024" s="6"/>
      <c r="C1024" s="77" t="s">
        <v>30</v>
      </c>
      <c r="D1024" s="77" t="s">
        <v>514</v>
      </c>
      <c r="E1024" s="77" t="s">
        <v>1435</v>
      </c>
      <c r="F1024" s="77" t="s">
        <v>1576</v>
      </c>
      <c r="G1024" s="77" t="s">
        <v>1294</v>
      </c>
      <c r="H1024" s="77">
        <f>STOCK[[#This Row],[Precio Final]]</f>
        <v>30</v>
      </c>
      <c r="I1024" s="77">
        <f>STOCK[[#This Row],[Precio Venta Ideal (x1.5)]]</f>
        <v>30</v>
      </c>
      <c r="J1024" s="92">
        <v>1</v>
      </c>
      <c r="K1024" s="92">
        <f>SUMIFS(VENTAS[Cantidad],VENTAS[Código del producto Vendido],STOCK[[#This Row],[Code]])</f>
        <v>1</v>
      </c>
      <c r="L1024" s="92">
        <f>STOCK[[#This Row],[Entradas]]-STOCK[[#This Row],[Salidas]]</f>
        <v>0</v>
      </c>
      <c r="M1024" s="77">
        <f>STOCK[[#This Row],[Precio Final]]*10%</f>
        <v>3</v>
      </c>
      <c r="N1024" s="77">
        <v>0</v>
      </c>
      <c r="O1024" s="77">
        <v>17</v>
      </c>
      <c r="P1024" s="77">
        <v>7</v>
      </c>
      <c r="Q1024" s="92">
        <v>0</v>
      </c>
      <c r="R1024" s="77">
        <v>0</v>
      </c>
      <c r="S1024" s="77">
        <v>10</v>
      </c>
      <c r="T1024" s="76">
        <f>STOCK[[#This Row],[Costo Unitario (USD)]]+STOCK[[#This Row],[Costo Envío (USD)]]+STOCK[[#This Row],[Comisión 10%]]</f>
        <v>20</v>
      </c>
      <c r="U1024" s="77">
        <f>STOCK[[#This Row],[Costo total]]*1.5</f>
        <v>30</v>
      </c>
      <c r="V1024" s="77">
        <v>30</v>
      </c>
      <c r="W1024" s="77">
        <f>STOCK[[#This Row],[Precio Final]]-STOCK[[#This Row],[Costo total]]</f>
        <v>10</v>
      </c>
      <c r="X1024" s="77">
        <f>STOCK[[#This Row],[Ganancia Unitaria]]*STOCK[[#This Row],[Salidas]]</f>
        <v>10</v>
      </c>
      <c r="Y1024" s="77" t="s">
        <v>1429</v>
      </c>
      <c r="AA1024" s="77">
        <f>STOCK[[#This Row],[Costo total]]*STOCK[[#This Row],[Entradas]]</f>
        <v>20</v>
      </c>
      <c r="AB1024" s="77">
        <f>STOCK[[#This Row],[Stock Actual]]*STOCK[[#This Row],[Costo total]]</f>
        <v>0</v>
      </c>
    </row>
    <row r="1025" s="76" customFormat="1" ht="50" hidden="1" customHeight="1" spans="1:28">
      <c r="A1025" s="76" t="s">
        <v>2103</v>
      </c>
      <c r="B1025" s="6"/>
      <c r="C1025" s="76" t="s">
        <v>30</v>
      </c>
      <c r="D1025" s="76" t="s">
        <v>514</v>
      </c>
      <c r="E1025" s="76" t="s">
        <v>1586</v>
      </c>
      <c r="F1025" s="76" t="s">
        <v>516</v>
      </c>
      <c r="G1025" s="76" t="s">
        <v>1294</v>
      </c>
      <c r="H1025" s="76">
        <f>STOCK[[#This Row],[Precio Final]]</f>
        <v>15</v>
      </c>
      <c r="I1025" s="76">
        <f>STOCK[[#This Row],[Precio Venta Ideal (x1.5)]]</f>
        <v>16.485</v>
      </c>
      <c r="J1025" s="91">
        <v>1</v>
      </c>
      <c r="K1025" s="91">
        <f>SUMIFS(VENTAS[Cantidad],VENTAS[Código del producto Vendido],STOCK[[#This Row],[Code]])</f>
        <v>0</v>
      </c>
      <c r="L1025" s="91">
        <f>STOCK[[#This Row],[Entradas]]-STOCK[[#This Row],[Salidas]]</f>
        <v>1</v>
      </c>
      <c r="M1025" s="76">
        <f>STOCK[[#This Row],[Precio Final]]*10%</f>
        <v>1.5</v>
      </c>
      <c r="N1025" s="76">
        <v>0</v>
      </c>
      <c r="O1025" s="76">
        <v>0</v>
      </c>
      <c r="P1025" s="76">
        <v>6.49</v>
      </c>
      <c r="Q1025" s="91">
        <v>0</v>
      </c>
      <c r="R1025" s="76">
        <v>0</v>
      </c>
      <c r="S1025" s="76">
        <v>3</v>
      </c>
      <c r="T1025" s="76">
        <f>STOCK[[#This Row],[Costo Unitario (USD)]]+STOCK[[#This Row],[Costo Envío (USD)]]+STOCK[[#This Row],[Comisión 10%]]</f>
        <v>10.99</v>
      </c>
      <c r="U1025" s="76">
        <f>STOCK[[#This Row],[Costo total]]*1.5</f>
        <v>16.485</v>
      </c>
      <c r="V1025" s="76">
        <v>15</v>
      </c>
      <c r="W1025" s="76">
        <f>STOCK[[#This Row],[Precio Final]]-STOCK[[#This Row],[Costo total]]</f>
        <v>4.01</v>
      </c>
      <c r="X1025" s="76">
        <f>STOCK[[#This Row],[Ganancia Unitaria]]*STOCK[[#This Row],[Salidas]]</f>
        <v>0</v>
      </c>
      <c r="AA1025" s="76">
        <f>STOCK[[#This Row],[Costo total]]*STOCK[[#This Row],[Entradas]]</f>
        <v>10.99</v>
      </c>
      <c r="AB1025" s="76">
        <f>STOCK[[#This Row],[Stock Actual]]*STOCK[[#This Row],[Costo total]]</f>
        <v>10.99</v>
      </c>
    </row>
    <row r="1026" s="77" customFormat="1" ht="50" hidden="1" customHeight="1" spans="1:28">
      <c r="A1026" s="77" t="s">
        <v>2104</v>
      </c>
      <c r="B1026" s="6"/>
      <c r="C1026" s="77" t="s">
        <v>30</v>
      </c>
      <c r="D1026" s="77" t="s">
        <v>1879</v>
      </c>
      <c r="E1026" s="77" t="s">
        <v>2105</v>
      </c>
      <c r="F1026" s="77" t="s">
        <v>2106</v>
      </c>
      <c r="G1026" s="77" t="s">
        <v>1874</v>
      </c>
      <c r="H1026" s="77">
        <f>STOCK[[#This Row],[Precio Final]]</f>
        <v>18</v>
      </c>
      <c r="I1026" s="77">
        <f>STOCK[[#This Row],[Precio Venta Ideal (x1.5)]]</f>
        <v>14.085</v>
      </c>
      <c r="J1026" s="92">
        <v>3</v>
      </c>
      <c r="K1026" s="92">
        <f>SUMIFS(VENTAS[Cantidad],VENTAS[Código del producto Vendido],STOCK[[#This Row],[Code]])</f>
        <v>2</v>
      </c>
      <c r="L1026" s="92">
        <f>STOCK[[#This Row],[Entradas]]-STOCK[[#This Row],[Salidas]]</f>
        <v>1</v>
      </c>
      <c r="M1026" s="77">
        <f>STOCK[[#This Row],[Precio Final]]*10%</f>
        <v>1.8</v>
      </c>
      <c r="N1026" s="77">
        <v>0</v>
      </c>
      <c r="O1026" s="77">
        <v>0</v>
      </c>
      <c r="P1026" s="77">
        <v>6.99</v>
      </c>
      <c r="Q1026" s="92">
        <v>0</v>
      </c>
      <c r="R1026" s="77">
        <v>0</v>
      </c>
      <c r="S1026" s="77">
        <v>0.6</v>
      </c>
      <c r="T1026" s="76">
        <f>STOCK[[#This Row],[Costo Unitario (USD)]]+STOCK[[#This Row],[Costo Envío (USD)]]+STOCK[[#This Row],[Comisión 10%]]</f>
        <v>9.39</v>
      </c>
      <c r="U1026" s="77">
        <f>STOCK[[#This Row],[Costo total]]*1.5</f>
        <v>14.085</v>
      </c>
      <c r="V1026" s="77">
        <v>18</v>
      </c>
      <c r="W1026" s="77">
        <f>STOCK[[#This Row],[Precio Final]]-STOCK[[#This Row],[Costo total]]</f>
        <v>8.61</v>
      </c>
      <c r="X1026" s="77">
        <f>STOCK[[#This Row],[Ganancia Unitaria]]*STOCK[[#This Row],[Salidas]]</f>
        <v>17.22</v>
      </c>
      <c r="Y1026" s="77" t="s">
        <v>2107</v>
      </c>
      <c r="AA1026" s="77">
        <f>STOCK[[#This Row],[Costo total]]*STOCK[[#This Row],[Entradas]]</f>
        <v>28.17</v>
      </c>
      <c r="AB1026" s="77">
        <f>STOCK[[#This Row],[Stock Actual]]*STOCK[[#This Row],[Costo total]]</f>
        <v>9.39</v>
      </c>
    </row>
    <row r="1027" s="76" customFormat="1" ht="50" hidden="1" customHeight="1" spans="1:28">
      <c r="A1027" s="76" t="s">
        <v>2108</v>
      </c>
      <c r="B1027" s="6"/>
      <c r="C1027" s="76" t="s">
        <v>30</v>
      </c>
      <c r="D1027" s="76" t="s">
        <v>2109</v>
      </c>
      <c r="E1027" s="76" t="s">
        <v>2110</v>
      </c>
      <c r="F1027" s="76" t="s">
        <v>2106</v>
      </c>
      <c r="G1027" s="76" t="s">
        <v>1874</v>
      </c>
      <c r="H1027" s="76">
        <f>STOCK[[#This Row],[Precio Final]]</f>
        <v>12</v>
      </c>
      <c r="I1027" s="76">
        <f>STOCK[[#This Row],[Precio Venta Ideal (x1.5)]]</f>
        <v>10.17</v>
      </c>
      <c r="J1027" s="91">
        <v>2</v>
      </c>
      <c r="K1027" s="91">
        <f>SUMIFS(VENTAS[Cantidad],VENTAS[Código del producto Vendido],STOCK[[#This Row],[Code]])</f>
        <v>2</v>
      </c>
      <c r="L1027" s="91">
        <f>STOCK[[#This Row],[Entradas]]-STOCK[[#This Row],[Salidas]]</f>
        <v>0</v>
      </c>
      <c r="M1027" s="76">
        <f>STOCK[[#This Row],[Precio Final]]*10%</f>
        <v>1.2</v>
      </c>
      <c r="N1027" s="76">
        <v>0</v>
      </c>
      <c r="O1027" s="76">
        <v>0</v>
      </c>
      <c r="P1027" s="76">
        <v>4.98</v>
      </c>
      <c r="Q1027" s="91">
        <v>0</v>
      </c>
      <c r="R1027" s="76">
        <v>0</v>
      </c>
      <c r="S1027" s="76">
        <v>0.6</v>
      </c>
      <c r="T1027" s="76">
        <f>STOCK[[#This Row],[Costo Unitario (USD)]]+STOCK[[#This Row],[Costo Envío (USD)]]+STOCK[[#This Row],[Comisión 10%]]</f>
        <v>6.78</v>
      </c>
      <c r="U1027" s="76">
        <f>STOCK[[#This Row],[Costo total]]*1.5</f>
        <v>10.17</v>
      </c>
      <c r="V1027" s="76">
        <v>12</v>
      </c>
      <c r="W1027" s="76">
        <f>STOCK[[#This Row],[Precio Final]]-STOCK[[#This Row],[Costo total]]</f>
        <v>5.22</v>
      </c>
      <c r="X1027" s="76">
        <f>STOCK[[#This Row],[Ganancia Unitaria]]*STOCK[[#This Row],[Salidas]]</f>
        <v>10.44</v>
      </c>
      <c r="Y1027" s="76" t="s">
        <v>2111</v>
      </c>
      <c r="AA1027" s="76">
        <f>STOCK[[#This Row],[Costo total]]*STOCK[[#This Row],[Entradas]]</f>
        <v>13.56</v>
      </c>
      <c r="AB1027" s="76">
        <f>STOCK[[#This Row],[Stock Actual]]*STOCK[[#This Row],[Costo total]]</f>
        <v>0</v>
      </c>
    </row>
    <row r="1028" s="77" customFormat="1" ht="50" hidden="1" customHeight="1" spans="1:28">
      <c r="A1028" s="77" t="s">
        <v>2112</v>
      </c>
      <c r="B1028" s="6"/>
      <c r="C1028" s="77" t="s">
        <v>30</v>
      </c>
      <c r="D1028" s="77" t="s">
        <v>2109</v>
      </c>
      <c r="E1028" s="77" t="s">
        <v>2113</v>
      </c>
      <c r="F1028" s="77" t="s">
        <v>1532</v>
      </c>
      <c r="G1028" s="77" t="s">
        <v>1874</v>
      </c>
      <c r="H1028" s="77">
        <f>STOCK[[#This Row],[Precio Final]]</f>
        <v>12</v>
      </c>
      <c r="I1028" s="77">
        <f>STOCK[[#This Row],[Precio Venta Ideal (x1.5)]]</f>
        <v>7.455</v>
      </c>
      <c r="J1028" s="92">
        <v>2</v>
      </c>
      <c r="K1028" s="92">
        <f>SUMIFS(VENTAS[Cantidad],VENTAS[Código del producto Vendido],STOCK[[#This Row],[Code]])</f>
        <v>2</v>
      </c>
      <c r="L1028" s="92">
        <f>STOCK[[#This Row],[Entradas]]-STOCK[[#This Row],[Salidas]]</f>
        <v>0</v>
      </c>
      <c r="M1028" s="77">
        <f>STOCK[[#This Row],[Precio Final]]*10%</f>
        <v>1.2</v>
      </c>
      <c r="N1028" s="77">
        <v>0</v>
      </c>
      <c r="O1028" s="77">
        <v>0</v>
      </c>
      <c r="P1028" s="77">
        <v>3.17</v>
      </c>
      <c r="Q1028" s="92">
        <v>0</v>
      </c>
      <c r="R1028" s="77">
        <v>0</v>
      </c>
      <c r="S1028" s="77">
        <v>0.6</v>
      </c>
      <c r="T1028" s="76">
        <f>STOCK[[#This Row],[Costo Unitario (USD)]]+STOCK[[#This Row],[Costo Envío (USD)]]+STOCK[[#This Row],[Comisión 10%]]</f>
        <v>4.97</v>
      </c>
      <c r="U1028" s="77">
        <f>STOCK[[#This Row],[Costo total]]*1.5</f>
        <v>7.455</v>
      </c>
      <c r="V1028" s="77">
        <v>12</v>
      </c>
      <c r="W1028" s="77">
        <f>STOCK[[#This Row],[Precio Final]]-STOCK[[#This Row],[Costo total]]</f>
        <v>7.03</v>
      </c>
      <c r="X1028" s="77">
        <f>STOCK[[#This Row],[Ganancia Unitaria]]*STOCK[[#This Row],[Salidas]]</f>
        <v>14.06</v>
      </c>
      <c r="Y1028" s="77" t="s">
        <v>2114</v>
      </c>
      <c r="AA1028" s="77">
        <f>STOCK[[#This Row],[Costo total]]*STOCK[[#This Row],[Entradas]]</f>
        <v>9.94</v>
      </c>
      <c r="AB1028" s="77">
        <f>STOCK[[#This Row],[Stock Actual]]*STOCK[[#This Row],[Costo total]]</f>
        <v>0</v>
      </c>
    </row>
    <row r="1029" s="76" customFormat="1" ht="50" hidden="1" customHeight="1" spans="1:28">
      <c r="A1029" s="76" t="s">
        <v>2115</v>
      </c>
      <c r="B1029" s="6"/>
      <c r="C1029" s="76" t="s">
        <v>30</v>
      </c>
      <c r="D1029" s="76" t="s">
        <v>2116</v>
      </c>
      <c r="E1029" s="76" t="s">
        <v>2117</v>
      </c>
      <c r="F1029" s="76" t="s">
        <v>60</v>
      </c>
      <c r="G1029" s="76" t="s">
        <v>1874</v>
      </c>
      <c r="H1029" s="76">
        <f>STOCK[[#This Row],[Precio Final]]</f>
        <v>25</v>
      </c>
      <c r="I1029" s="76">
        <f>STOCK[[#This Row],[Precio Venta Ideal (x1.5)]]</f>
        <v>16.995</v>
      </c>
      <c r="J1029" s="91">
        <v>1</v>
      </c>
      <c r="K1029" s="91">
        <f>SUMIFS(VENTAS[Cantidad],VENTAS[Código del producto Vendido],STOCK[[#This Row],[Code]])</f>
        <v>1</v>
      </c>
      <c r="L1029" s="91">
        <f>STOCK[[#This Row],[Entradas]]-STOCK[[#This Row],[Salidas]]</f>
        <v>0</v>
      </c>
      <c r="M1029" s="76">
        <f>STOCK[[#This Row],[Precio Final]]*10%</f>
        <v>2.5</v>
      </c>
      <c r="N1029" s="76">
        <v>0</v>
      </c>
      <c r="O1029" s="76">
        <v>0</v>
      </c>
      <c r="P1029" s="76">
        <v>8.23</v>
      </c>
      <c r="Q1029" s="91">
        <v>0</v>
      </c>
      <c r="R1029" s="76">
        <v>0</v>
      </c>
      <c r="S1029" s="76">
        <v>0.6</v>
      </c>
      <c r="T1029" s="76">
        <f>STOCK[[#This Row],[Costo Unitario (USD)]]+STOCK[[#This Row],[Costo Envío (USD)]]+STOCK[[#This Row],[Comisión 10%]]</f>
        <v>11.33</v>
      </c>
      <c r="U1029" s="76">
        <f>STOCK[[#This Row],[Costo total]]*1.5</f>
        <v>16.995</v>
      </c>
      <c r="V1029" s="76">
        <v>25</v>
      </c>
      <c r="W1029" s="76">
        <f>STOCK[[#This Row],[Precio Final]]-STOCK[[#This Row],[Costo total]]</f>
        <v>13.67</v>
      </c>
      <c r="X1029" s="76">
        <f>STOCK[[#This Row],[Ganancia Unitaria]]*STOCK[[#This Row],[Salidas]]</f>
        <v>13.67</v>
      </c>
      <c r="Y1029" s="76" t="s">
        <v>2118</v>
      </c>
      <c r="AA1029" s="76">
        <f>STOCK[[#This Row],[Costo total]]*STOCK[[#This Row],[Entradas]]</f>
        <v>11.33</v>
      </c>
      <c r="AB1029" s="76">
        <f>STOCK[[#This Row],[Stock Actual]]*STOCK[[#This Row],[Costo total]]</f>
        <v>0</v>
      </c>
    </row>
    <row r="1030" s="77" customFormat="1" ht="50" hidden="1" customHeight="1" spans="1:28">
      <c r="A1030" s="77" t="s">
        <v>2119</v>
      </c>
      <c r="B1030" s="6"/>
      <c r="C1030" s="77" t="s">
        <v>30</v>
      </c>
      <c r="D1030" s="77" t="s">
        <v>2116</v>
      </c>
      <c r="E1030" s="77" t="s">
        <v>2117</v>
      </c>
      <c r="F1030" s="77" t="s">
        <v>47</v>
      </c>
      <c r="G1030" s="77" t="s">
        <v>1874</v>
      </c>
      <c r="H1030" s="77">
        <f>STOCK[[#This Row],[Precio Final]]</f>
        <v>25</v>
      </c>
      <c r="I1030" s="77">
        <f>STOCK[[#This Row],[Precio Venta Ideal (x1.5)]]</f>
        <v>16.995</v>
      </c>
      <c r="J1030" s="92">
        <v>1</v>
      </c>
      <c r="K1030" s="92">
        <f>SUMIFS(VENTAS[Cantidad],VENTAS[Código del producto Vendido],STOCK[[#This Row],[Code]])</f>
        <v>1</v>
      </c>
      <c r="L1030" s="92">
        <f>STOCK[[#This Row],[Entradas]]-STOCK[[#This Row],[Salidas]]</f>
        <v>0</v>
      </c>
      <c r="M1030" s="77">
        <f>STOCK[[#This Row],[Precio Final]]*10%</f>
        <v>2.5</v>
      </c>
      <c r="N1030" s="77">
        <v>0</v>
      </c>
      <c r="O1030" s="77">
        <v>0</v>
      </c>
      <c r="P1030" s="77">
        <v>8.23</v>
      </c>
      <c r="Q1030" s="92">
        <v>0</v>
      </c>
      <c r="R1030" s="77">
        <v>0</v>
      </c>
      <c r="S1030" s="77">
        <v>0.6</v>
      </c>
      <c r="T1030" s="76">
        <f>STOCK[[#This Row],[Costo Unitario (USD)]]+STOCK[[#This Row],[Costo Envío (USD)]]+STOCK[[#This Row],[Comisión 10%]]</f>
        <v>11.33</v>
      </c>
      <c r="U1030" s="77">
        <f>STOCK[[#This Row],[Costo total]]*1.5</f>
        <v>16.995</v>
      </c>
      <c r="V1030" s="77">
        <v>25</v>
      </c>
      <c r="W1030" s="77">
        <f>STOCK[[#This Row],[Precio Final]]-STOCK[[#This Row],[Costo total]]</f>
        <v>13.67</v>
      </c>
      <c r="X1030" s="77">
        <f>STOCK[[#This Row],[Ganancia Unitaria]]*STOCK[[#This Row],[Salidas]]</f>
        <v>13.67</v>
      </c>
      <c r="Y1030" s="77" t="s">
        <v>2120</v>
      </c>
      <c r="AA1030" s="77">
        <f>STOCK[[#This Row],[Costo total]]*STOCK[[#This Row],[Entradas]]</f>
        <v>11.33</v>
      </c>
      <c r="AB1030" s="77">
        <f>STOCK[[#This Row],[Stock Actual]]*STOCK[[#This Row],[Costo total]]</f>
        <v>0</v>
      </c>
    </row>
    <row r="1031" s="76" customFormat="1" ht="50" hidden="1" customHeight="1" spans="1:28">
      <c r="A1031" s="76" t="s">
        <v>2121</v>
      </c>
      <c r="B1031" s="6"/>
      <c r="C1031" s="76" t="s">
        <v>30</v>
      </c>
      <c r="D1031" s="77" t="s">
        <v>36</v>
      </c>
      <c r="E1031" s="76" t="s">
        <v>2122</v>
      </c>
      <c r="F1031" s="76" t="s">
        <v>44</v>
      </c>
      <c r="G1031" s="76" t="s">
        <v>1874</v>
      </c>
      <c r="H1031" s="76">
        <f>STOCK[[#This Row],[Precio Final]]</f>
        <v>25</v>
      </c>
      <c r="I1031" s="76">
        <f>STOCK[[#This Row],[Precio Venta Ideal (x1.5)]]</f>
        <v>20.565</v>
      </c>
      <c r="J1031" s="91">
        <v>1</v>
      </c>
      <c r="K1031" s="91">
        <f>SUMIFS(VENTAS[Cantidad],VENTAS[Código del producto Vendido],STOCK[[#This Row],[Code]])</f>
        <v>1</v>
      </c>
      <c r="L1031" s="91">
        <f>STOCK[[#This Row],[Entradas]]-STOCK[[#This Row],[Salidas]]</f>
        <v>0</v>
      </c>
      <c r="M1031" s="76">
        <f>STOCK[[#This Row],[Precio Final]]*10%</f>
        <v>2.5</v>
      </c>
      <c r="N1031" s="76">
        <v>0</v>
      </c>
      <c r="O1031" s="76">
        <v>0</v>
      </c>
      <c r="P1031" s="76">
        <v>10.61</v>
      </c>
      <c r="Q1031" s="91">
        <v>0</v>
      </c>
      <c r="R1031" s="76">
        <v>0</v>
      </c>
      <c r="S1031" s="76">
        <v>0.6</v>
      </c>
      <c r="T1031" s="76">
        <f>STOCK[[#This Row],[Costo Unitario (USD)]]+STOCK[[#This Row],[Costo Envío (USD)]]+STOCK[[#This Row],[Comisión 10%]]</f>
        <v>13.71</v>
      </c>
      <c r="U1031" s="76">
        <f>STOCK[[#This Row],[Costo total]]*1.5</f>
        <v>20.565</v>
      </c>
      <c r="V1031" s="76">
        <v>25</v>
      </c>
      <c r="W1031" s="76">
        <f>STOCK[[#This Row],[Precio Final]]-STOCK[[#This Row],[Costo total]]</f>
        <v>11.29</v>
      </c>
      <c r="X1031" s="76">
        <f>STOCK[[#This Row],[Ganancia Unitaria]]*STOCK[[#This Row],[Salidas]]</f>
        <v>11.29</v>
      </c>
      <c r="Y1031" s="76" t="s">
        <v>2123</v>
      </c>
      <c r="AA1031" s="76">
        <f>STOCK[[#This Row],[Costo total]]*STOCK[[#This Row],[Entradas]]</f>
        <v>13.71</v>
      </c>
      <c r="AB1031" s="76">
        <f>STOCK[[#This Row],[Stock Actual]]*STOCK[[#This Row],[Costo total]]</f>
        <v>0</v>
      </c>
    </row>
    <row r="1032" s="77" customFormat="1" ht="50" hidden="1" customHeight="1" spans="1:28">
      <c r="A1032" s="77" t="s">
        <v>2124</v>
      </c>
      <c r="B1032" s="6"/>
      <c r="C1032" s="77" t="s">
        <v>30</v>
      </c>
      <c r="D1032" s="77" t="s">
        <v>2125</v>
      </c>
      <c r="E1032" s="77" t="s">
        <v>2122</v>
      </c>
      <c r="F1032" s="77" t="s">
        <v>60</v>
      </c>
      <c r="G1032" s="77" t="s">
        <v>1874</v>
      </c>
      <c r="H1032" s="77">
        <f>STOCK[[#This Row],[Precio Final]]</f>
        <v>25</v>
      </c>
      <c r="I1032" s="77">
        <f>STOCK[[#This Row],[Precio Venta Ideal (x1.5)]]</f>
        <v>20.565</v>
      </c>
      <c r="J1032" s="92">
        <v>1</v>
      </c>
      <c r="K1032" s="92">
        <f>SUMIFS(VENTAS[Cantidad],VENTAS[Código del producto Vendido],STOCK[[#This Row],[Code]])</f>
        <v>1</v>
      </c>
      <c r="L1032" s="92">
        <f>STOCK[[#This Row],[Entradas]]-STOCK[[#This Row],[Salidas]]</f>
        <v>0</v>
      </c>
      <c r="M1032" s="77">
        <f>STOCK[[#This Row],[Precio Final]]*10%</f>
        <v>2.5</v>
      </c>
      <c r="N1032" s="77">
        <v>0</v>
      </c>
      <c r="O1032" s="77">
        <v>0</v>
      </c>
      <c r="P1032" s="77">
        <v>10.61</v>
      </c>
      <c r="Q1032" s="92">
        <v>0</v>
      </c>
      <c r="R1032" s="77">
        <v>0</v>
      </c>
      <c r="S1032" s="77">
        <v>0.6</v>
      </c>
      <c r="T1032" s="76">
        <f>STOCK[[#This Row],[Costo Unitario (USD)]]+STOCK[[#This Row],[Costo Envío (USD)]]+STOCK[[#This Row],[Comisión 10%]]</f>
        <v>13.71</v>
      </c>
      <c r="U1032" s="77">
        <f>STOCK[[#This Row],[Costo total]]*1.5</f>
        <v>20.565</v>
      </c>
      <c r="V1032" s="77">
        <v>25</v>
      </c>
      <c r="W1032" s="77">
        <f>STOCK[[#This Row],[Precio Final]]-STOCK[[#This Row],[Costo total]]</f>
        <v>11.29</v>
      </c>
      <c r="X1032" s="77">
        <f>STOCK[[#This Row],[Ganancia Unitaria]]*STOCK[[#This Row],[Salidas]]</f>
        <v>11.29</v>
      </c>
      <c r="Y1032" s="77" t="s">
        <v>2126</v>
      </c>
      <c r="AA1032" s="77">
        <f>STOCK[[#This Row],[Costo total]]*STOCK[[#This Row],[Entradas]]</f>
        <v>13.71</v>
      </c>
      <c r="AB1032" s="77">
        <f>STOCK[[#This Row],[Stock Actual]]*STOCK[[#This Row],[Costo total]]</f>
        <v>0</v>
      </c>
    </row>
    <row r="1033" s="76" customFormat="1" ht="50" hidden="1" customHeight="1" spans="1:28">
      <c r="A1033" s="76" t="s">
        <v>2127</v>
      </c>
      <c r="B1033" s="6"/>
      <c r="C1033" s="76" t="s">
        <v>30</v>
      </c>
      <c r="D1033" s="76" t="s">
        <v>1749</v>
      </c>
      <c r="E1033" s="76" t="s">
        <v>2128</v>
      </c>
      <c r="F1033" s="76" t="s">
        <v>44</v>
      </c>
      <c r="G1033" s="76" t="s">
        <v>1874</v>
      </c>
      <c r="H1033" s="76">
        <f>STOCK[[#This Row],[Precio Final]]</f>
        <v>22</v>
      </c>
      <c r="I1033" s="76">
        <f>STOCK[[#This Row],[Precio Venta Ideal (x1.5)]]</f>
        <v>19.56</v>
      </c>
      <c r="J1033" s="91">
        <v>1</v>
      </c>
      <c r="K1033" s="91">
        <f>SUMIFS(VENTAS[Cantidad],VENTAS[Código del producto Vendido],STOCK[[#This Row],[Code]])</f>
        <v>1</v>
      </c>
      <c r="L1033" s="91">
        <f>STOCK[[#This Row],[Entradas]]-STOCK[[#This Row],[Salidas]]</f>
        <v>0</v>
      </c>
      <c r="M1033" s="76">
        <f>STOCK[[#This Row],[Precio Final]]*10%</f>
        <v>2.2</v>
      </c>
      <c r="N1033" s="76">
        <v>0</v>
      </c>
      <c r="O1033" s="76">
        <v>0</v>
      </c>
      <c r="P1033" s="76">
        <v>10.24</v>
      </c>
      <c r="Q1033" s="91">
        <v>0</v>
      </c>
      <c r="R1033" s="76">
        <v>0</v>
      </c>
      <c r="S1033" s="76">
        <v>0.6</v>
      </c>
      <c r="T1033" s="76">
        <f>STOCK[[#This Row],[Costo Unitario (USD)]]+STOCK[[#This Row],[Costo Envío (USD)]]+STOCK[[#This Row],[Comisión 10%]]</f>
        <v>13.04</v>
      </c>
      <c r="U1033" s="76">
        <f>STOCK[[#This Row],[Costo total]]*1.5</f>
        <v>19.56</v>
      </c>
      <c r="V1033" s="76">
        <v>22</v>
      </c>
      <c r="W1033" s="76">
        <f>STOCK[[#This Row],[Precio Final]]-STOCK[[#This Row],[Costo total]]</f>
        <v>8.96</v>
      </c>
      <c r="X1033" s="76">
        <f>STOCK[[#This Row],[Ganancia Unitaria]]*STOCK[[#This Row],[Salidas]]</f>
        <v>8.96</v>
      </c>
      <c r="Y1033" s="76" t="s">
        <v>2129</v>
      </c>
      <c r="AA1033" s="76">
        <f>STOCK[[#This Row],[Costo total]]*STOCK[[#This Row],[Entradas]]</f>
        <v>13.04</v>
      </c>
      <c r="AB1033" s="76">
        <f>STOCK[[#This Row],[Stock Actual]]*STOCK[[#This Row],[Costo total]]</f>
        <v>0</v>
      </c>
    </row>
    <row r="1034" s="77" customFormat="1" ht="50" hidden="1" customHeight="1" spans="1:28">
      <c r="A1034" s="77" t="s">
        <v>2130</v>
      </c>
      <c r="B1034" s="6"/>
      <c r="C1034" s="77" t="s">
        <v>30</v>
      </c>
      <c r="D1034" s="77" t="s">
        <v>2131</v>
      </c>
      <c r="E1034" s="77" t="s">
        <v>2132</v>
      </c>
      <c r="F1034" s="77" t="s">
        <v>44</v>
      </c>
      <c r="G1034" s="77" t="s">
        <v>1874</v>
      </c>
      <c r="H1034" s="77">
        <f>STOCK[[#This Row],[Precio Final]]</f>
        <v>25</v>
      </c>
      <c r="I1034" s="77">
        <f>STOCK[[#This Row],[Precio Venta Ideal (x1.5)]]</f>
        <v>21.435</v>
      </c>
      <c r="J1034" s="92">
        <v>1</v>
      </c>
      <c r="K1034" s="92">
        <f>SUMIFS(VENTAS[Cantidad],VENTAS[Código del producto Vendido],STOCK[[#This Row],[Code]])</f>
        <v>1</v>
      </c>
      <c r="L1034" s="92">
        <f>STOCK[[#This Row],[Entradas]]-STOCK[[#This Row],[Salidas]]</f>
        <v>0</v>
      </c>
      <c r="M1034" s="77">
        <f>STOCK[[#This Row],[Precio Final]]*10%</f>
        <v>2.5</v>
      </c>
      <c r="N1034" s="77">
        <v>0</v>
      </c>
      <c r="O1034" s="77">
        <v>0</v>
      </c>
      <c r="P1034" s="77">
        <v>11.19</v>
      </c>
      <c r="Q1034" s="92">
        <v>0</v>
      </c>
      <c r="R1034" s="77">
        <v>0</v>
      </c>
      <c r="S1034" s="77">
        <v>0.6</v>
      </c>
      <c r="T1034" s="76">
        <f>STOCK[[#This Row],[Costo Unitario (USD)]]+STOCK[[#This Row],[Costo Envío (USD)]]+STOCK[[#This Row],[Comisión 10%]]</f>
        <v>14.29</v>
      </c>
      <c r="U1034" s="77">
        <f>STOCK[[#This Row],[Costo total]]*1.5</f>
        <v>21.435</v>
      </c>
      <c r="V1034" s="77">
        <v>25</v>
      </c>
      <c r="W1034" s="77">
        <f>STOCK[[#This Row],[Precio Final]]-STOCK[[#This Row],[Costo total]]</f>
        <v>10.71</v>
      </c>
      <c r="X1034" s="77">
        <f>STOCK[[#This Row],[Ganancia Unitaria]]*STOCK[[#This Row],[Salidas]]</f>
        <v>10.71</v>
      </c>
      <c r="Y1034" s="77" t="s">
        <v>2133</v>
      </c>
      <c r="AA1034" s="77">
        <f>STOCK[[#This Row],[Costo total]]*STOCK[[#This Row],[Entradas]]</f>
        <v>14.29</v>
      </c>
      <c r="AB1034" s="77">
        <f>STOCK[[#This Row],[Stock Actual]]*STOCK[[#This Row],[Costo total]]</f>
        <v>0</v>
      </c>
    </row>
    <row r="1035" s="76" customFormat="1" ht="50" hidden="1" customHeight="1" spans="1:28">
      <c r="A1035" s="76" t="s">
        <v>2134</v>
      </c>
      <c r="B1035" s="6"/>
      <c r="C1035" s="76" t="s">
        <v>30</v>
      </c>
      <c r="D1035" s="76" t="s">
        <v>2135</v>
      </c>
      <c r="E1035" s="76" t="s">
        <v>2136</v>
      </c>
      <c r="F1035" s="76" t="s">
        <v>2137</v>
      </c>
      <c r="G1035" s="76" t="s">
        <v>1874</v>
      </c>
      <c r="H1035" s="76">
        <f>STOCK[[#This Row],[Precio Final]]</f>
        <v>30</v>
      </c>
      <c r="I1035" s="76">
        <f>STOCK[[#This Row],[Precio Venta Ideal (x1.5)]]</f>
        <v>15.075</v>
      </c>
      <c r="J1035" s="91">
        <v>2</v>
      </c>
      <c r="K1035" s="91">
        <f>SUMIFS(VENTAS[Cantidad],VENTAS[Código del producto Vendido],STOCK[[#This Row],[Code]])</f>
        <v>1</v>
      </c>
      <c r="L1035" s="91">
        <f>STOCK[[#This Row],[Entradas]]-STOCK[[#This Row],[Salidas]]</f>
        <v>1</v>
      </c>
      <c r="M1035" s="76">
        <f>STOCK[[#This Row],[Precio Final]]*10%</f>
        <v>3</v>
      </c>
      <c r="N1035" s="76">
        <v>0</v>
      </c>
      <c r="O1035" s="76">
        <v>0</v>
      </c>
      <c r="P1035" s="76">
        <v>6.45</v>
      </c>
      <c r="Q1035" s="91">
        <v>0</v>
      </c>
      <c r="R1035" s="76">
        <v>0</v>
      </c>
      <c r="S1035" s="76">
        <v>0.6</v>
      </c>
      <c r="T1035" s="76">
        <f>STOCK[[#This Row],[Costo Unitario (USD)]]+STOCK[[#This Row],[Costo Envío (USD)]]+STOCK[[#This Row],[Comisión 10%]]</f>
        <v>10.05</v>
      </c>
      <c r="U1035" s="76">
        <f>STOCK[[#This Row],[Costo total]]*1.5</f>
        <v>15.075</v>
      </c>
      <c r="V1035" s="76">
        <v>30</v>
      </c>
      <c r="W1035" s="76">
        <f>STOCK[[#This Row],[Precio Final]]-STOCK[[#This Row],[Costo total]]</f>
        <v>19.95</v>
      </c>
      <c r="X1035" s="76">
        <f>STOCK[[#This Row],[Ganancia Unitaria]]*STOCK[[#This Row],[Salidas]]</f>
        <v>19.95</v>
      </c>
      <c r="Y1035" s="76" t="s">
        <v>2138</v>
      </c>
      <c r="AA1035" s="76">
        <f>STOCK[[#This Row],[Costo total]]*STOCK[[#This Row],[Entradas]]</f>
        <v>20.1</v>
      </c>
      <c r="AB1035" s="76">
        <f>STOCK[[#This Row],[Stock Actual]]*STOCK[[#This Row],[Costo total]]</f>
        <v>10.05</v>
      </c>
    </row>
    <row r="1036" s="77" customFormat="1" ht="50" hidden="1" customHeight="1" spans="1:28">
      <c r="A1036" s="77" t="s">
        <v>2139</v>
      </c>
      <c r="B1036" s="6"/>
      <c r="C1036" s="77" t="s">
        <v>30</v>
      </c>
      <c r="D1036" s="77" t="s">
        <v>1210</v>
      </c>
      <c r="E1036" s="77" t="s">
        <v>2136</v>
      </c>
      <c r="F1036" s="77" t="s">
        <v>2140</v>
      </c>
      <c r="G1036" s="77" t="s">
        <v>1874</v>
      </c>
      <c r="H1036" s="77">
        <f>STOCK[[#This Row],[Precio Final]]</f>
        <v>30</v>
      </c>
      <c r="I1036" s="77">
        <f>STOCK[[#This Row],[Precio Venta Ideal (x1.5)]]</f>
        <v>15.075</v>
      </c>
      <c r="J1036" s="92">
        <v>2</v>
      </c>
      <c r="K1036" s="92">
        <f>SUMIFS(VENTAS[Cantidad],VENTAS[Código del producto Vendido],STOCK[[#This Row],[Code]])</f>
        <v>2</v>
      </c>
      <c r="L1036" s="92">
        <f>STOCK[[#This Row],[Entradas]]-STOCK[[#This Row],[Salidas]]</f>
        <v>0</v>
      </c>
      <c r="M1036" s="77">
        <f>STOCK[[#This Row],[Precio Final]]*10%</f>
        <v>3</v>
      </c>
      <c r="N1036" s="77">
        <v>0</v>
      </c>
      <c r="O1036" s="77">
        <v>0</v>
      </c>
      <c r="P1036" s="77">
        <v>6.45</v>
      </c>
      <c r="Q1036" s="92">
        <v>0</v>
      </c>
      <c r="R1036" s="77">
        <v>0</v>
      </c>
      <c r="S1036" s="77">
        <v>0.6</v>
      </c>
      <c r="T1036" s="76">
        <f>STOCK[[#This Row],[Costo Unitario (USD)]]+STOCK[[#This Row],[Costo Envío (USD)]]+STOCK[[#This Row],[Comisión 10%]]</f>
        <v>10.05</v>
      </c>
      <c r="U1036" s="77">
        <f>STOCK[[#This Row],[Costo total]]*1.5</f>
        <v>15.075</v>
      </c>
      <c r="V1036" s="77">
        <v>30</v>
      </c>
      <c r="W1036" s="77">
        <f>STOCK[[#This Row],[Precio Final]]-STOCK[[#This Row],[Costo total]]</f>
        <v>19.95</v>
      </c>
      <c r="X1036" s="77">
        <f>STOCK[[#This Row],[Ganancia Unitaria]]*STOCK[[#This Row],[Salidas]]</f>
        <v>39.9</v>
      </c>
      <c r="Y1036" s="77" t="s">
        <v>2141</v>
      </c>
      <c r="AA1036" s="77">
        <f>STOCK[[#This Row],[Costo total]]*STOCK[[#This Row],[Entradas]]</f>
        <v>20.1</v>
      </c>
      <c r="AB1036" s="77">
        <f>STOCK[[#This Row],[Stock Actual]]*STOCK[[#This Row],[Costo total]]</f>
        <v>0</v>
      </c>
    </row>
    <row r="1037" s="76" customFormat="1" ht="50" hidden="1" customHeight="1" spans="1:28">
      <c r="A1037" s="76" t="s">
        <v>2142</v>
      </c>
      <c r="B1037" s="6"/>
      <c r="C1037" s="76" t="s">
        <v>30</v>
      </c>
      <c r="D1037" s="76" t="s">
        <v>1210</v>
      </c>
      <c r="E1037" s="76" t="s">
        <v>2136</v>
      </c>
      <c r="F1037" s="76" t="s">
        <v>2143</v>
      </c>
      <c r="G1037" s="76" t="s">
        <v>1874</v>
      </c>
      <c r="H1037" s="76">
        <f>STOCK[[#This Row],[Precio Final]]</f>
        <v>30</v>
      </c>
      <c r="I1037" s="76">
        <f>STOCK[[#This Row],[Precio Venta Ideal (x1.5)]]</f>
        <v>15.075</v>
      </c>
      <c r="J1037" s="91">
        <v>2</v>
      </c>
      <c r="K1037" s="91">
        <f>SUMIFS(VENTAS[Cantidad],VENTAS[Código del producto Vendido],STOCK[[#This Row],[Code]])</f>
        <v>2</v>
      </c>
      <c r="L1037" s="91">
        <f>STOCK[[#This Row],[Entradas]]-STOCK[[#This Row],[Salidas]]</f>
        <v>0</v>
      </c>
      <c r="M1037" s="76">
        <f>STOCK[[#This Row],[Precio Final]]*10%</f>
        <v>3</v>
      </c>
      <c r="N1037" s="76">
        <v>0</v>
      </c>
      <c r="O1037" s="76">
        <v>0</v>
      </c>
      <c r="P1037" s="76">
        <v>6.45</v>
      </c>
      <c r="Q1037" s="91">
        <v>0</v>
      </c>
      <c r="R1037" s="76">
        <v>0</v>
      </c>
      <c r="S1037" s="76">
        <v>0.6</v>
      </c>
      <c r="T1037" s="76">
        <f>STOCK[[#This Row],[Costo Unitario (USD)]]+STOCK[[#This Row],[Costo Envío (USD)]]+STOCK[[#This Row],[Comisión 10%]]</f>
        <v>10.05</v>
      </c>
      <c r="U1037" s="76">
        <f>STOCK[[#This Row],[Costo total]]*1.5</f>
        <v>15.075</v>
      </c>
      <c r="V1037" s="76">
        <v>30</v>
      </c>
      <c r="W1037" s="76">
        <f>STOCK[[#This Row],[Precio Final]]-STOCK[[#This Row],[Costo total]]</f>
        <v>19.95</v>
      </c>
      <c r="X1037" s="76">
        <f>STOCK[[#This Row],[Ganancia Unitaria]]*STOCK[[#This Row],[Salidas]]</f>
        <v>39.9</v>
      </c>
      <c r="Y1037" s="76" t="s">
        <v>2144</v>
      </c>
      <c r="AA1037" s="76">
        <f>STOCK[[#This Row],[Costo total]]*STOCK[[#This Row],[Entradas]]</f>
        <v>20.1</v>
      </c>
      <c r="AB1037" s="76">
        <f>STOCK[[#This Row],[Stock Actual]]*STOCK[[#This Row],[Costo total]]</f>
        <v>0</v>
      </c>
    </row>
    <row r="1038" s="77" customFormat="1" ht="50" hidden="1" customHeight="1" spans="1:28">
      <c r="A1038" s="77" t="s">
        <v>2145</v>
      </c>
      <c r="B1038" s="6"/>
      <c r="C1038" s="77" t="s">
        <v>30</v>
      </c>
      <c r="D1038" s="77" t="s">
        <v>36</v>
      </c>
      <c r="E1038" s="77" t="s">
        <v>2146</v>
      </c>
      <c r="F1038" s="77" t="s">
        <v>44</v>
      </c>
      <c r="G1038" s="77" t="s">
        <v>1874</v>
      </c>
      <c r="H1038" s="77">
        <f>STOCK[[#This Row],[Precio Final]]</f>
        <v>25</v>
      </c>
      <c r="I1038" s="77">
        <f>STOCK[[#This Row],[Precio Venta Ideal (x1.5)]]</f>
        <v>18.255</v>
      </c>
      <c r="J1038" s="92">
        <v>1</v>
      </c>
      <c r="K1038" s="92">
        <f>SUMIFS(VENTAS[Cantidad],VENTAS[Código del producto Vendido],STOCK[[#This Row],[Code]])</f>
        <v>1</v>
      </c>
      <c r="L1038" s="92">
        <f>STOCK[[#This Row],[Entradas]]-STOCK[[#This Row],[Salidas]]</f>
        <v>0</v>
      </c>
      <c r="M1038" s="77">
        <f>STOCK[[#This Row],[Precio Final]]*10%</f>
        <v>2.5</v>
      </c>
      <c r="N1038" s="77">
        <v>0</v>
      </c>
      <c r="O1038" s="77">
        <v>0</v>
      </c>
      <c r="P1038" s="77">
        <v>9.07</v>
      </c>
      <c r="Q1038" s="92">
        <v>0</v>
      </c>
      <c r="R1038" s="77">
        <v>0</v>
      </c>
      <c r="S1038" s="77">
        <v>0.6</v>
      </c>
      <c r="T1038" s="76">
        <f>STOCK[[#This Row],[Costo Unitario (USD)]]+STOCK[[#This Row],[Costo Envío (USD)]]+STOCK[[#This Row],[Comisión 10%]]</f>
        <v>12.17</v>
      </c>
      <c r="U1038" s="77">
        <f>STOCK[[#This Row],[Costo total]]*1.5</f>
        <v>18.255</v>
      </c>
      <c r="V1038" s="77">
        <v>25</v>
      </c>
      <c r="W1038" s="77">
        <f>STOCK[[#This Row],[Precio Final]]-STOCK[[#This Row],[Costo total]]</f>
        <v>12.83</v>
      </c>
      <c r="X1038" s="77">
        <f>STOCK[[#This Row],[Ganancia Unitaria]]*STOCK[[#This Row],[Salidas]]</f>
        <v>12.83</v>
      </c>
      <c r="Y1038" s="77" t="s">
        <v>2147</v>
      </c>
      <c r="AA1038" s="77">
        <f>STOCK[[#This Row],[Costo total]]*STOCK[[#This Row],[Entradas]]</f>
        <v>12.17</v>
      </c>
      <c r="AB1038" s="77">
        <f>STOCK[[#This Row],[Stock Actual]]*STOCK[[#This Row],[Costo total]]</f>
        <v>0</v>
      </c>
    </row>
    <row r="1039" s="76" customFormat="1" ht="50" hidden="1" customHeight="1" spans="1:28">
      <c r="A1039" s="76" t="s">
        <v>2148</v>
      </c>
      <c r="B1039" s="6"/>
      <c r="C1039" s="76" t="s">
        <v>30</v>
      </c>
      <c r="D1039" s="77" t="s">
        <v>36</v>
      </c>
      <c r="E1039" s="76" t="s">
        <v>2146</v>
      </c>
      <c r="F1039" s="76" t="s">
        <v>47</v>
      </c>
      <c r="G1039" s="76" t="s">
        <v>1874</v>
      </c>
      <c r="H1039" s="76">
        <f>STOCK[[#This Row],[Precio Final]]</f>
        <v>25</v>
      </c>
      <c r="I1039" s="76">
        <f>STOCK[[#This Row],[Precio Venta Ideal (x1.5)]]</f>
        <v>18.255</v>
      </c>
      <c r="J1039" s="91">
        <v>1</v>
      </c>
      <c r="K1039" s="91">
        <f>SUMIFS(VENTAS[Cantidad],VENTAS[Código del producto Vendido],STOCK[[#This Row],[Code]])</f>
        <v>1</v>
      </c>
      <c r="L1039" s="91">
        <f>STOCK[[#This Row],[Entradas]]-STOCK[[#This Row],[Salidas]]</f>
        <v>0</v>
      </c>
      <c r="M1039" s="76">
        <f>STOCK[[#This Row],[Precio Final]]*10%</f>
        <v>2.5</v>
      </c>
      <c r="N1039" s="76">
        <v>0</v>
      </c>
      <c r="O1039" s="76">
        <v>0</v>
      </c>
      <c r="P1039" s="76">
        <v>9.07</v>
      </c>
      <c r="Q1039" s="91">
        <v>0</v>
      </c>
      <c r="R1039" s="76">
        <v>0</v>
      </c>
      <c r="S1039" s="76">
        <v>0.6</v>
      </c>
      <c r="T1039" s="76">
        <f>STOCK[[#This Row],[Costo Unitario (USD)]]+STOCK[[#This Row],[Costo Envío (USD)]]+STOCK[[#This Row],[Comisión 10%]]</f>
        <v>12.17</v>
      </c>
      <c r="U1039" s="76">
        <f>STOCK[[#This Row],[Costo total]]*1.5</f>
        <v>18.255</v>
      </c>
      <c r="V1039" s="76">
        <v>25</v>
      </c>
      <c r="W1039" s="76">
        <f>STOCK[[#This Row],[Precio Final]]-STOCK[[#This Row],[Costo total]]</f>
        <v>12.83</v>
      </c>
      <c r="X1039" s="76">
        <f>STOCK[[#This Row],[Ganancia Unitaria]]*STOCK[[#This Row],[Salidas]]</f>
        <v>12.83</v>
      </c>
      <c r="Y1039" s="76" t="s">
        <v>2149</v>
      </c>
      <c r="AA1039" s="76">
        <f>STOCK[[#This Row],[Costo total]]*STOCK[[#This Row],[Entradas]]</f>
        <v>12.17</v>
      </c>
      <c r="AB1039" s="76">
        <f>STOCK[[#This Row],[Stock Actual]]*STOCK[[#This Row],[Costo total]]</f>
        <v>0</v>
      </c>
    </row>
    <row r="1040" s="77" customFormat="1" ht="50" hidden="1" customHeight="1" spans="1:28">
      <c r="A1040" s="77" t="s">
        <v>2150</v>
      </c>
      <c r="B1040" s="6"/>
      <c r="C1040" s="77" t="s">
        <v>30</v>
      </c>
      <c r="D1040" s="77" t="s">
        <v>36</v>
      </c>
      <c r="E1040" s="77" t="s">
        <v>2146</v>
      </c>
      <c r="F1040" s="77" t="s">
        <v>60</v>
      </c>
      <c r="G1040" s="77" t="s">
        <v>1874</v>
      </c>
      <c r="H1040" s="77">
        <f>STOCK[[#This Row],[Precio Final]]</f>
        <v>25</v>
      </c>
      <c r="I1040" s="77">
        <f>STOCK[[#This Row],[Precio Venta Ideal (x1.5)]]</f>
        <v>18.255</v>
      </c>
      <c r="J1040" s="92">
        <v>1</v>
      </c>
      <c r="K1040" s="92">
        <f>SUMIFS(VENTAS[Cantidad],VENTAS[Código del producto Vendido],STOCK[[#This Row],[Code]])</f>
        <v>1</v>
      </c>
      <c r="L1040" s="92">
        <f>STOCK[[#This Row],[Entradas]]-STOCK[[#This Row],[Salidas]]</f>
        <v>0</v>
      </c>
      <c r="M1040" s="77">
        <f>STOCK[[#This Row],[Precio Final]]*10%</f>
        <v>2.5</v>
      </c>
      <c r="N1040" s="77">
        <v>0</v>
      </c>
      <c r="O1040" s="77">
        <v>0</v>
      </c>
      <c r="P1040" s="77">
        <v>9.07</v>
      </c>
      <c r="Q1040" s="92">
        <v>0</v>
      </c>
      <c r="R1040" s="77">
        <v>0</v>
      </c>
      <c r="S1040" s="77">
        <v>0.6</v>
      </c>
      <c r="T1040" s="76">
        <f>STOCK[[#This Row],[Costo Unitario (USD)]]+STOCK[[#This Row],[Costo Envío (USD)]]+STOCK[[#This Row],[Comisión 10%]]</f>
        <v>12.17</v>
      </c>
      <c r="U1040" s="77">
        <f>STOCK[[#This Row],[Costo total]]*1.5</f>
        <v>18.255</v>
      </c>
      <c r="V1040" s="77">
        <v>25</v>
      </c>
      <c r="W1040" s="77">
        <f>STOCK[[#This Row],[Precio Final]]-STOCK[[#This Row],[Costo total]]</f>
        <v>12.83</v>
      </c>
      <c r="X1040" s="77">
        <f>STOCK[[#This Row],[Ganancia Unitaria]]*STOCK[[#This Row],[Salidas]]</f>
        <v>12.83</v>
      </c>
      <c r="Y1040" s="77" t="s">
        <v>2151</v>
      </c>
      <c r="AA1040" s="77">
        <f>STOCK[[#This Row],[Costo total]]*STOCK[[#This Row],[Entradas]]</f>
        <v>12.17</v>
      </c>
      <c r="AB1040" s="77">
        <f>STOCK[[#This Row],[Stock Actual]]*STOCK[[#This Row],[Costo total]]</f>
        <v>0</v>
      </c>
    </row>
    <row r="1041" s="76" customFormat="1" ht="50" hidden="1" customHeight="1" spans="1:28">
      <c r="A1041" s="76" t="s">
        <v>2152</v>
      </c>
      <c r="B1041" s="6"/>
      <c r="C1041" s="76" t="s">
        <v>30</v>
      </c>
      <c r="D1041" s="76" t="s">
        <v>2125</v>
      </c>
      <c r="E1041" s="76" t="s">
        <v>2153</v>
      </c>
      <c r="F1041" s="76" t="s">
        <v>60</v>
      </c>
      <c r="G1041" s="76" t="s">
        <v>1874</v>
      </c>
      <c r="H1041" s="76">
        <f>STOCK[[#This Row],[Precio Final]]</f>
        <v>25</v>
      </c>
      <c r="I1041" s="76">
        <f>STOCK[[#This Row],[Precio Venta Ideal (x1.5)]]</f>
        <v>15.705</v>
      </c>
      <c r="J1041" s="91">
        <v>1</v>
      </c>
      <c r="K1041" s="91">
        <f>SUMIFS(VENTAS[Cantidad],VENTAS[Código del producto Vendido],STOCK[[#This Row],[Code]])</f>
        <v>0</v>
      </c>
      <c r="L1041" s="91">
        <f>STOCK[[#This Row],[Entradas]]-STOCK[[#This Row],[Salidas]]</f>
        <v>1</v>
      </c>
      <c r="M1041" s="76">
        <f>STOCK[[#This Row],[Precio Final]]*10%</f>
        <v>2.5</v>
      </c>
      <c r="N1041" s="76">
        <v>0</v>
      </c>
      <c r="O1041" s="76">
        <v>0</v>
      </c>
      <c r="P1041" s="76">
        <v>7.37</v>
      </c>
      <c r="Q1041" s="91">
        <v>0</v>
      </c>
      <c r="R1041" s="76">
        <v>0</v>
      </c>
      <c r="S1041" s="76">
        <v>0.6</v>
      </c>
      <c r="T1041" s="76">
        <f>STOCK[[#This Row],[Costo Unitario (USD)]]+STOCK[[#This Row],[Costo Envío (USD)]]+STOCK[[#This Row],[Comisión 10%]]</f>
        <v>10.47</v>
      </c>
      <c r="U1041" s="76">
        <f>STOCK[[#This Row],[Costo total]]*1.5</f>
        <v>15.705</v>
      </c>
      <c r="V1041" s="76">
        <v>25</v>
      </c>
      <c r="W1041" s="76">
        <f>STOCK[[#This Row],[Precio Final]]-STOCK[[#This Row],[Costo total]]</f>
        <v>14.53</v>
      </c>
      <c r="X1041" s="76">
        <f>STOCK[[#This Row],[Ganancia Unitaria]]*STOCK[[#This Row],[Salidas]]</f>
        <v>0</v>
      </c>
      <c r="Y1041" s="76" t="s">
        <v>2154</v>
      </c>
      <c r="AA1041" s="76">
        <f>STOCK[[#This Row],[Costo total]]*STOCK[[#This Row],[Entradas]]</f>
        <v>10.47</v>
      </c>
      <c r="AB1041" s="76">
        <f>STOCK[[#This Row],[Stock Actual]]*STOCK[[#This Row],[Costo total]]</f>
        <v>10.47</v>
      </c>
    </row>
    <row r="1042" s="77" customFormat="1" ht="50" hidden="1" customHeight="1" spans="1:28">
      <c r="A1042" s="77" t="s">
        <v>2155</v>
      </c>
      <c r="B1042" s="6"/>
      <c r="C1042" s="77" t="s">
        <v>30</v>
      </c>
      <c r="D1042" s="77" t="s">
        <v>36</v>
      </c>
      <c r="E1042" s="77" t="s">
        <v>2156</v>
      </c>
      <c r="F1042" s="77" t="s">
        <v>44</v>
      </c>
      <c r="G1042" s="77" t="s">
        <v>1874</v>
      </c>
      <c r="H1042" s="77">
        <f>STOCK[[#This Row],[Precio Final]]</f>
        <v>25</v>
      </c>
      <c r="I1042" s="77">
        <f>STOCK[[#This Row],[Precio Venta Ideal (x1.5)]]</f>
        <v>19.395</v>
      </c>
      <c r="J1042" s="92">
        <v>1</v>
      </c>
      <c r="K1042" s="92">
        <f>SUMIFS(VENTAS[Cantidad],VENTAS[Código del producto Vendido],STOCK[[#This Row],[Code]])</f>
        <v>1</v>
      </c>
      <c r="L1042" s="92">
        <f>STOCK[[#This Row],[Entradas]]-STOCK[[#This Row],[Salidas]]</f>
        <v>0</v>
      </c>
      <c r="M1042" s="77">
        <f>STOCK[[#This Row],[Precio Final]]*10%</f>
        <v>2.5</v>
      </c>
      <c r="N1042" s="77">
        <v>0</v>
      </c>
      <c r="O1042" s="77">
        <v>0</v>
      </c>
      <c r="P1042" s="77">
        <v>9.83</v>
      </c>
      <c r="Q1042" s="92">
        <v>0</v>
      </c>
      <c r="R1042" s="77">
        <v>0</v>
      </c>
      <c r="S1042" s="77">
        <v>0.6</v>
      </c>
      <c r="T1042" s="76">
        <f>STOCK[[#This Row],[Costo Unitario (USD)]]+STOCK[[#This Row],[Costo Envío (USD)]]+STOCK[[#This Row],[Comisión 10%]]</f>
        <v>12.93</v>
      </c>
      <c r="U1042" s="77">
        <f>STOCK[[#This Row],[Costo total]]*1.5</f>
        <v>19.395</v>
      </c>
      <c r="V1042" s="77">
        <v>25</v>
      </c>
      <c r="W1042" s="77">
        <f>STOCK[[#This Row],[Precio Final]]-STOCK[[#This Row],[Costo total]]</f>
        <v>12.07</v>
      </c>
      <c r="X1042" s="77">
        <f>STOCK[[#This Row],[Ganancia Unitaria]]*STOCK[[#This Row],[Salidas]]</f>
        <v>12.07</v>
      </c>
      <c r="Y1042" s="77" t="s">
        <v>2157</v>
      </c>
      <c r="AA1042" s="77">
        <f>STOCK[[#This Row],[Costo total]]*STOCK[[#This Row],[Entradas]]</f>
        <v>12.93</v>
      </c>
      <c r="AB1042" s="77">
        <f>STOCK[[#This Row],[Stock Actual]]*STOCK[[#This Row],[Costo total]]</f>
        <v>0</v>
      </c>
    </row>
    <row r="1043" s="76" customFormat="1" ht="50" hidden="1" customHeight="1" spans="1:28">
      <c r="A1043" s="76" t="s">
        <v>2158</v>
      </c>
      <c r="B1043" s="6"/>
      <c r="C1043" s="76" t="s">
        <v>30</v>
      </c>
      <c r="D1043" s="77" t="s">
        <v>36</v>
      </c>
      <c r="E1043" s="76" t="s">
        <v>2156</v>
      </c>
      <c r="F1043" s="76" t="s">
        <v>47</v>
      </c>
      <c r="G1043" s="76" t="s">
        <v>1874</v>
      </c>
      <c r="H1043" s="76">
        <f>STOCK[[#This Row],[Precio Final]]</f>
        <v>25</v>
      </c>
      <c r="I1043" s="76">
        <f>STOCK[[#This Row],[Precio Venta Ideal (x1.5)]]</f>
        <v>19.395</v>
      </c>
      <c r="J1043" s="91">
        <v>1</v>
      </c>
      <c r="K1043" s="91">
        <f>SUMIFS(VENTAS[Cantidad],VENTAS[Código del producto Vendido],STOCK[[#This Row],[Code]])</f>
        <v>1</v>
      </c>
      <c r="L1043" s="91">
        <f>STOCK[[#This Row],[Entradas]]-STOCK[[#This Row],[Salidas]]</f>
        <v>0</v>
      </c>
      <c r="M1043" s="76">
        <f>STOCK[[#This Row],[Precio Final]]*10%</f>
        <v>2.5</v>
      </c>
      <c r="N1043" s="76">
        <v>0</v>
      </c>
      <c r="O1043" s="76">
        <v>0</v>
      </c>
      <c r="P1043" s="76">
        <v>9.83</v>
      </c>
      <c r="Q1043" s="91">
        <v>0</v>
      </c>
      <c r="R1043" s="76">
        <v>0</v>
      </c>
      <c r="S1043" s="76">
        <v>0.6</v>
      </c>
      <c r="T1043" s="76">
        <f>STOCK[[#This Row],[Costo Unitario (USD)]]+STOCK[[#This Row],[Costo Envío (USD)]]+STOCK[[#This Row],[Comisión 10%]]</f>
        <v>12.93</v>
      </c>
      <c r="U1043" s="76">
        <f>STOCK[[#This Row],[Costo total]]*1.5</f>
        <v>19.395</v>
      </c>
      <c r="V1043" s="76">
        <v>25</v>
      </c>
      <c r="W1043" s="76">
        <f>STOCK[[#This Row],[Precio Final]]-STOCK[[#This Row],[Costo total]]</f>
        <v>12.07</v>
      </c>
      <c r="X1043" s="76">
        <f>STOCK[[#This Row],[Ganancia Unitaria]]*STOCK[[#This Row],[Salidas]]</f>
        <v>12.07</v>
      </c>
      <c r="Y1043" s="76" t="s">
        <v>2159</v>
      </c>
      <c r="AA1043" s="76">
        <f>STOCK[[#This Row],[Costo total]]*STOCK[[#This Row],[Entradas]]</f>
        <v>12.93</v>
      </c>
      <c r="AB1043" s="76">
        <f>STOCK[[#This Row],[Stock Actual]]*STOCK[[#This Row],[Costo total]]</f>
        <v>0</v>
      </c>
    </row>
    <row r="1044" s="77" customFormat="1" ht="50" hidden="1" customHeight="1" spans="1:28">
      <c r="A1044" s="77" t="s">
        <v>2160</v>
      </c>
      <c r="B1044" s="6"/>
      <c r="C1044" s="77" t="s">
        <v>30</v>
      </c>
      <c r="D1044" s="77" t="s">
        <v>2125</v>
      </c>
      <c r="E1044" s="77" t="s">
        <v>2161</v>
      </c>
      <c r="F1044" s="77" t="s">
        <v>44</v>
      </c>
      <c r="G1044" s="77" t="s">
        <v>1874</v>
      </c>
      <c r="H1044" s="77">
        <f>STOCK[[#This Row],[Precio Final]]</f>
        <v>20</v>
      </c>
      <c r="I1044" s="77">
        <f>STOCK[[#This Row],[Precio Venta Ideal (x1.5)]]</f>
        <v>15.36</v>
      </c>
      <c r="J1044" s="92">
        <v>2</v>
      </c>
      <c r="K1044" s="92">
        <f>SUMIFS(VENTAS[Cantidad],VENTAS[Código del producto Vendido],STOCK[[#This Row],[Code]])</f>
        <v>2</v>
      </c>
      <c r="L1044" s="92">
        <f>STOCK[[#This Row],[Entradas]]-STOCK[[#This Row],[Salidas]]</f>
        <v>0</v>
      </c>
      <c r="M1044" s="77">
        <f>STOCK[[#This Row],[Precio Final]]*10%</f>
        <v>2</v>
      </c>
      <c r="N1044" s="77">
        <v>0</v>
      </c>
      <c r="O1044" s="77">
        <v>0</v>
      </c>
      <c r="P1044" s="77">
        <v>7.64</v>
      </c>
      <c r="Q1044" s="92">
        <v>0</v>
      </c>
      <c r="R1044" s="77">
        <v>0</v>
      </c>
      <c r="S1044" s="77">
        <v>0.6</v>
      </c>
      <c r="T1044" s="76">
        <f>STOCK[[#This Row],[Costo Unitario (USD)]]+STOCK[[#This Row],[Costo Envío (USD)]]+STOCK[[#This Row],[Comisión 10%]]</f>
        <v>10.24</v>
      </c>
      <c r="U1044" s="77">
        <f>STOCK[[#This Row],[Costo total]]*1.5</f>
        <v>15.36</v>
      </c>
      <c r="V1044" s="77">
        <v>20</v>
      </c>
      <c r="W1044" s="77">
        <f>STOCK[[#This Row],[Precio Final]]-STOCK[[#This Row],[Costo total]]</f>
        <v>9.76</v>
      </c>
      <c r="X1044" s="77">
        <f>STOCK[[#This Row],[Ganancia Unitaria]]*STOCK[[#This Row],[Salidas]]</f>
        <v>19.52</v>
      </c>
      <c r="Y1044" s="77" t="s">
        <v>2162</v>
      </c>
      <c r="AA1044" s="77">
        <f>STOCK[[#This Row],[Costo total]]*STOCK[[#This Row],[Entradas]]</f>
        <v>20.48</v>
      </c>
      <c r="AB1044" s="77">
        <f>STOCK[[#This Row],[Stock Actual]]*STOCK[[#This Row],[Costo total]]</f>
        <v>0</v>
      </c>
    </row>
    <row r="1045" s="76" customFormat="1" ht="50" hidden="1" customHeight="1" spans="1:28">
      <c r="A1045" s="76" t="s">
        <v>2163</v>
      </c>
      <c r="B1045" s="6"/>
      <c r="C1045" s="76" t="s">
        <v>30</v>
      </c>
      <c r="D1045" s="76" t="s">
        <v>2125</v>
      </c>
      <c r="E1045" s="76" t="s">
        <v>2161</v>
      </c>
      <c r="F1045" s="76" t="s">
        <v>47</v>
      </c>
      <c r="G1045" s="76" t="s">
        <v>1874</v>
      </c>
      <c r="H1045" s="76">
        <f>STOCK[[#This Row],[Precio Final]]</f>
        <v>20</v>
      </c>
      <c r="I1045" s="76">
        <f>STOCK[[#This Row],[Precio Venta Ideal (x1.5)]]</f>
        <v>15.36</v>
      </c>
      <c r="J1045" s="91">
        <v>2</v>
      </c>
      <c r="K1045" s="91">
        <f>SUMIFS(VENTAS[Cantidad],VENTAS[Código del producto Vendido],STOCK[[#This Row],[Code]])</f>
        <v>2</v>
      </c>
      <c r="L1045" s="91">
        <f>STOCK[[#This Row],[Entradas]]-STOCK[[#This Row],[Salidas]]</f>
        <v>0</v>
      </c>
      <c r="M1045" s="76">
        <f>STOCK[[#This Row],[Precio Final]]*10%</f>
        <v>2</v>
      </c>
      <c r="N1045" s="76">
        <v>0</v>
      </c>
      <c r="O1045" s="76">
        <v>0</v>
      </c>
      <c r="P1045" s="76">
        <v>7.64</v>
      </c>
      <c r="Q1045" s="91">
        <v>0</v>
      </c>
      <c r="R1045" s="76">
        <v>0</v>
      </c>
      <c r="S1045" s="76">
        <v>0.6</v>
      </c>
      <c r="T1045" s="76">
        <f>STOCK[[#This Row],[Costo Unitario (USD)]]+STOCK[[#This Row],[Costo Envío (USD)]]+STOCK[[#This Row],[Comisión 10%]]</f>
        <v>10.24</v>
      </c>
      <c r="U1045" s="76">
        <f>STOCK[[#This Row],[Costo total]]*1.5</f>
        <v>15.36</v>
      </c>
      <c r="V1045" s="76">
        <v>20</v>
      </c>
      <c r="W1045" s="76">
        <f>STOCK[[#This Row],[Precio Final]]-STOCK[[#This Row],[Costo total]]</f>
        <v>9.76</v>
      </c>
      <c r="X1045" s="76">
        <f>STOCK[[#This Row],[Ganancia Unitaria]]*STOCK[[#This Row],[Salidas]]</f>
        <v>19.52</v>
      </c>
      <c r="Y1045" s="76" t="s">
        <v>2164</v>
      </c>
      <c r="AA1045" s="76">
        <f>STOCK[[#This Row],[Costo total]]*STOCK[[#This Row],[Entradas]]</f>
        <v>20.48</v>
      </c>
      <c r="AB1045" s="76">
        <f>STOCK[[#This Row],[Stock Actual]]*STOCK[[#This Row],[Costo total]]</f>
        <v>0</v>
      </c>
    </row>
    <row r="1046" s="77" customFormat="1" ht="50" hidden="1" customHeight="1" spans="1:28">
      <c r="A1046" s="77" t="s">
        <v>2165</v>
      </c>
      <c r="B1046" s="6"/>
      <c r="C1046" s="77" t="s">
        <v>30</v>
      </c>
      <c r="D1046" s="77" t="s">
        <v>2125</v>
      </c>
      <c r="E1046" s="77" t="s">
        <v>2161</v>
      </c>
      <c r="F1046" s="77" t="s">
        <v>60</v>
      </c>
      <c r="G1046" s="77" t="s">
        <v>1874</v>
      </c>
      <c r="H1046" s="77">
        <f>STOCK[[#This Row],[Precio Final]]</f>
        <v>20</v>
      </c>
      <c r="I1046" s="77">
        <f>STOCK[[#This Row],[Precio Venta Ideal (x1.5)]]</f>
        <v>15.36</v>
      </c>
      <c r="J1046" s="92">
        <v>2</v>
      </c>
      <c r="K1046" s="92">
        <f>SUMIFS(VENTAS[Cantidad],VENTAS[Código del producto Vendido],STOCK[[#This Row],[Code]])</f>
        <v>2</v>
      </c>
      <c r="L1046" s="92">
        <f>STOCK[[#This Row],[Entradas]]-STOCK[[#This Row],[Salidas]]</f>
        <v>0</v>
      </c>
      <c r="M1046" s="77">
        <f>STOCK[[#This Row],[Precio Final]]*10%</f>
        <v>2</v>
      </c>
      <c r="N1046" s="77">
        <v>0</v>
      </c>
      <c r="O1046" s="77">
        <v>0</v>
      </c>
      <c r="P1046" s="77">
        <v>7.64</v>
      </c>
      <c r="Q1046" s="92">
        <v>0</v>
      </c>
      <c r="R1046" s="77">
        <v>0</v>
      </c>
      <c r="S1046" s="77">
        <v>0.6</v>
      </c>
      <c r="T1046" s="76">
        <f>STOCK[[#This Row],[Costo Unitario (USD)]]+STOCK[[#This Row],[Costo Envío (USD)]]+STOCK[[#This Row],[Comisión 10%]]</f>
        <v>10.24</v>
      </c>
      <c r="U1046" s="77">
        <f>STOCK[[#This Row],[Costo total]]*1.5</f>
        <v>15.36</v>
      </c>
      <c r="V1046" s="77">
        <v>20</v>
      </c>
      <c r="W1046" s="77">
        <f>STOCK[[#This Row],[Precio Final]]-STOCK[[#This Row],[Costo total]]</f>
        <v>9.76</v>
      </c>
      <c r="X1046" s="77">
        <f>STOCK[[#This Row],[Ganancia Unitaria]]*STOCK[[#This Row],[Salidas]]</f>
        <v>19.52</v>
      </c>
      <c r="Y1046" s="77" t="s">
        <v>2166</v>
      </c>
      <c r="AA1046" s="77">
        <f>STOCK[[#This Row],[Costo total]]*STOCK[[#This Row],[Entradas]]</f>
        <v>20.48</v>
      </c>
      <c r="AB1046" s="77">
        <f>STOCK[[#This Row],[Stock Actual]]*STOCK[[#This Row],[Costo total]]</f>
        <v>0</v>
      </c>
    </row>
    <row r="1047" s="76" customFormat="1" ht="50" hidden="1" customHeight="1" spans="1:28">
      <c r="A1047" s="76" t="s">
        <v>2167</v>
      </c>
      <c r="B1047" s="6"/>
      <c r="C1047" s="76" t="s">
        <v>30</v>
      </c>
      <c r="D1047" s="76" t="s">
        <v>2125</v>
      </c>
      <c r="E1047" s="76" t="s">
        <v>2168</v>
      </c>
      <c r="F1047" s="76" t="s">
        <v>44</v>
      </c>
      <c r="G1047" s="76" t="s">
        <v>1874</v>
      </c>
      <c r="H1047" s="76">
        <f>STOCK[[#This Row],[Precio Final]]</f>
        <v>18</v>
      </c>
      <c r="I1047" s="76">
        <f>STOCK[[#This Row],[Precio Venta Ideal (x1.5)]]</f>
        <v>11.865</v>
      </c>
      <c r="J1047" s="91">
        <v>2</v>
      </c>
      <c r="K1047" s="91">
        <f>SUMIFS(VENTAS[Cantidad],VENTAS[Código del producto Vendido],STOCK[[#This Row],[Code]])</f>
        <v>1</v>
      </c>
      <c r="L1047" s="91">
        <f>STOCK[[#This Row],[Entradas]]-STOCK[[#This Row],[Salidas]]</f>
        <v>1</v>
      </c>
      <c r="M1047" s="76">
        <f>STOCK[[#This Row],[Precio Final]]*10%</f>
        <v>1.8</v>
      </c>
      <c r="N1047" s="76">
        <v>0</v>
      </c>
      <c r="O1047" s="76">
        <v>0</v>
      </c>
      <c r="P1047" s="76">
        <v>5.51</v>
      </c>
      <c r="Q1047" s="91">
        <v>0</v>
      </c>
      <c r="R1047" s="76">
        <v>0</v>
      </c>
      <c r="S1047" s="76">
        <v>0.6</v>
      </c>
      <c r="T1047" s="76">
        <f>STOCK[[#This Row],[Costo Unitario (USD)]]+STOCK[[#This Row],[Costo Envío (USD)]]+STOCK[[#This Row],[Comisión 10%]]</f>
        <v>7.91</v>
      </c>
      <c r="U1047" s="76">
        <f>STOCK[[#This Row],[Costo total]]*1.5</f>
        <v>11.865</v>
      </c>
      <c r="V1047" s="76">
        <v>18</v>
      </c>
      <c r="W1047" s="76">
        <f>STOCK[[#This Row],[Precio Final]]-STOCK[[#This Row],[Costo total]]</f>
        <v>10.09</v>
      </c>
      <c r="X1047" s="76">
        <f>STOCK[[#This Row],[Ganancia Unitaria]]*STOCK[[#This Row],[Salidas]]</f>
        <v>10.09</v>
      </c>
      <c r="Y1047" s="76" t="s">
        <v>2169</v>
      </c>
      <c r="AA1047" s="76">
        <f>STOCK[[#This Row],[Costo total]]*STOCK[[#This Row],[Entradas]]</f>
        <v>15.82</v>
      </c>
      <c r="AB1047" s="76">
        <f>STOCK[[#This Row],[Stock Actual]]*STOCK[[#This Row],[Costo total]]</f>
        <v>7.91</v>
      </c>
    </row>
    <row r="1048" s="77" customFormat="1" ht="50" hidden="1" customHeight="1" spans="1:28">
      <c r="A1048" s="77" t="s">
        <v>2170</v>
      </c>
      <c r="B1048" s="6"/>
      <c r="C1048" s="77" t="s">
        <v>30</v>
      </c>
      <c r="D1048" s="77" t="s">
        <v>2125</v>
      </c>
      <c r="E1048" s="77" t="s">
        <v>2168</v>
      </c>
      <c r="F1048" s="77" t="s">
        <v>47</v>
      </c>
      <c r="G1048" s="77" t="s">
        <v>1874</v>
      </c>
      <c r="H1048" s="77">
        <f>STOCK[[#This Row],[Precio Final]]</f>
        <v>18</v>
      </c>
      <c r="I1048" s="77">
        <f>STOCK[[#This Row],[Precio Venta Ideal (x1.5)]]</f>
        <v>11.865</v>
      </c>
      <c r="J1048" s="92">
        <v>2</v>
      </c>
      <c r="K1048" s="92">
        <f>SUMIFS(VENTAS[Cantidad],VENTAS[Código del producto Vendido],STOCK[[#This Row],[Code]])</f>
        <v>2</v>
      </c>
      <c r="L1048" s="92">
        <f>STOCK[[#This Row],[Entradas]]-STOCK[[#This Row],[Salidas]]</f>
        <v>0</v>
      </c>
      <c r="M1048" s="77">
        <f>STOCK[[#This Row],[Precio Final]]*10%</f>
        <v>1.8</v>
      </c>
      <c r="N1048" s="77">
        <v>0</v>
      </c>
      <c r="O1048" s="77">
        <v>0</v>
      </c>
      <c r="P1048" s="77">
        <v>5.51</v>
      </c>
      <c r="Q1048" s="92">
        <v>0</v>
      </c>
      <c r="R1048" s="77">
        <v>0</v>
      </c>
      <c r="S1048" s="77">
        <v>0.6</v>
      </c>
      <c r="T1048" s="76">
        <f>STOCK[[#This Row],[Costo Unitario (USD)]]+STOCK[[#This Row],[Costo Envío (USD)]]+STOCK[[#This Row],[Comisión 10%]]</f>
        <v>7.91</v>
      </c>
      <c r="U1048" s="77">
        <f>STOCK[[#This Row],[Costo total]]*1.5</f>
        <v>11.865</v>
      </c>
      <c r="V1048" s="77">
        <v>18</v>
      </c>
      <c r="W1048" s="77">
        <f>STOCK[[#This Row],[Precio Final]]-STOCK[[#This Row],[Costo total]]</f>
        <v>10.09</v>
      </c>
      <c r="X1048" s="77">
        <f>STOCK[[#This Row],[Ganancia Unitaria]]*STOCK[[#This Row],[Salidas]]</f>
        <v>20.18</v>
      </c>
      <c r="Y1048" s="77" t="s">
        <v>2171</v>
      </c>
      <c r="AA1048" s="77">
        <f>STOCK[[#This Row],[Costo total]]*STOCK[[#This Row],[Entradas]]</f>
        <v>15.82</v>
      </c>
      <c r="AB1048" s="77">
        <f>STOCK[[#This Row],[Stock Actual]]*STOCK[[#This Row],[Costo total]]</f>
        <v>0</v>
      </c>
    </row>
    <row r="1049" s="76" customFormat="1" ht="50" hidden="1" customHeight="1" spans="1:28">
      <c r="A1049" s="76" t="s">
        <v>2172</v>
      </c>
      <c r="B1049" s="6"/>
      <c r="C1049" s="76" t="s">
        <v>30</v>
      </c>
      <c r="D1049" s="76" t="s">
        <v>2125</v>
      </c>
      <c r="E1049" s="76" t="s">
        <v>2168</v>
      </c>
      <c r="F1049" s="76" t="s">
        <v>60</v>
      </c>
      <c r="G1049" s="76" t="s">
        <v>1874</v>
      </c>
      <c r="H1049" s="76">
        <f>STOCK[[#This Row],[Precio Final]]</f>
        <v>18</v>
      </c>
      <c r="I1049" s="76">
        <f>STOCK[[#This Row],[Precio Venta Ideal (x1.5)]]</f>
        <v>11.865</v>
      </c>
      <c r="J1049" s="91">
        <v>2</v>
      </c>
      <c r="K1049" s="91">
        <f>SUMIFS(VENTAS[Cantidad],VENTAS[Código del producto Vendido],STOCK[[#This Row],[Code]])</f>
        <v>2</v>
      </c>
      <c r="L1049" s="91">
        <f>STOCK[[#This Row],[Entradas]]-STOCK[[#This Row],[Salidas]]</f>
        <v>0</v>
      </c>
      <c r="M1049" s="76">
        <f>STOCK[[#This Row],[Precio Final]]*10%</f>
        <v>1.8</v>
      </c>
      <c r="N1049" s="76">
        <v>0</v>
      </c>
      <c r="O1049" s="76">
        <v>0</v>
      </c>
      <c r="P1049" s="76">
        <v>5.51</v>
      </c>
      <c r="Q1049" s="91">
        <v>0</v>
      </c>
      <c r="R1049" s="76">
        <v>0</v>
      </c>
      <c r="S1049" s="76">
        <v>0.6</v>
      </c>
      <c r="T1049" s="76">
        <f>STOCK[[#This Row],[Costo Unitario (USD)]]+STOCK[[#This Row],[Costo Envío (USD)]]+STOCK[[#This Row],[Comisión 10%]]</f>
        <v>7.91</v>
      </c>
      <c r="U1049" s="76">
        <f>STOCK[[#This Row],[Costo total]]*1.5</f>
        <v>11.865</v>
      </c>
      <c r="V1049" s="76">
        <v>18</v>
      </c>
      <c r="W1049" s="76">
        <f>STOCK[[#This Row],[Precio Final]]-STOCK[[#This Row],[Costo total]]</f>
        <v>10.09</v>
      </c>
      <c r="X1049" s="76">
        <f>STOCK[[#This Row],[Ganancia Unitaria]]*STOCK[[#This Row],[Salidas]]</f>
        <v>20.18</v>
      </c>
      <c r="Y1049" s="76" t="s">
        <v>2173</v>
      </c>
      <c r="AA1049" s="76">
        <f>STOCK[[#This Row],[Costo total]]*STOCK[[#This Row],[Entradas]]</f>
        <v>15.82</v>
      </c>
      <c r="AB1049" s="76">
        <f>STOCK[[#This Row],[Stock Actual]]*STOCK[[#This Row],[Costo total]]</f>
        <v>0</v>
      </c>
    </row>
    <row r="1050" s="77" customFormat="1" ht="50" hidden="1" customHeight="1" spans="1:28">
      <c r="A1050" s="77" t="s">
        <v>2174</v>
      </c>
      <c r="B1050" s="6"/>
      <c r="C1050" s="77" t="s">
        <v>30</v>
      </c>
      <c r="D1050" s="77" t="s">
        <v>2125</v>
      </c>
      <c r="E1050" s="77" t="s">
        <v>2175</v>
      </c>
      <c r="F1050" s="77" t="s">
        <v>44</v>
      </c>
      <c r="G1050" s="77" t="s">
        <v>1874</v>
      </c>
      <c r="H1050" s="77">
        <f>STOCK[[#This Row],[Precio Final]]</f>
        <v>18</v>
      </c>
      <c r="I1050" s="77">
        <f>STOCK[[#This Row],[Precio Venta Ideal (x1.5)]]</f>
        <v>9.345</v>
      </c>
      <c r="J1050" s="92">
        <v>1</v>
      </c>
      <c r="K1050" s="92">
        <f>SUMIFS(VENTAS[Cantidad],VENTAS[Código del producto Vendido],STOCK[[#This Row],[Code]])</f>
        <v>1</v>
      </c>
      <c r="L1050" s="92">
        <f>STOCK[[#This Row],[Entradas]]-STOCK[[#This Row],[Salidas]]</f>
        <v>0</v>
      </c>
      <c r="M1050" s="77">
        <f>STOCK[[#This Row],[Precio Final]]*10%</f>
        <v>1.8</v>
      </c>
      <c r="N1050" s="77">
        <v>0</v>
      </c>
      <c r="O1050" s="77">
        <v>0</v>
      </c>
      <c r="P1050" s="77">
        <v>3.83</v>
      </c>
      <c r="Q1050" s="92">
        <v>0</v>
      </c>
      <c r="R1050" s="77">
        <v>0</v>
      </c>
      <c r="S1050" s="77">
        <v>0.6</v>
      </c>
      <c r="T1050" s="76">
        <f>STOCK[[#This Row],[Costo Unitario (USD)]]+STOCK[[#This Row],[Costo Envío (USD)]]+STOCK[[#This Row],[Comisión 10%]]</f>
        <v>6.23</v>
      </c>
      <c r="U1050" s="77">
        <f>STOCK[[#This Row],[Costo total]]*1.5</f>
        <v>9.345</v>
      </c>
      <c r="V1050" s="77">
        <v>18</v>
      </c>
      <c r="W1050" s="77">
        <f>STOCK[[#This Row],[Precio Final]]-STOCK[[#This Row],[Costo total]]</f>
        <v>11.77</v>
      </c>
      <c r="X1050" s="77">
        <f>STOCK[[#This Row],[Ganancia Unitaria]]*STOCK[[#This Row],[Salidas]]</f>
        <v>11.77</v>
      </c>
      <c r="Y1050" s="77" t="s">
        <v>2176</v>
      </c>
      <c r="AA1050" s="77">
        <f>STOCK[[#This Row],[Costo total]]*STOCK[[#This Row],[Entradas]]</f>
        <v>6.23</v>
      </c>
      <c r="AB1050" s="77">
        <f>STOCK[[#This Row],[Stock Actual]]*STOCK[[#This Row],[Costo total]]</f>
        <v>0</v>
      </c>
    </row>
    <row r="1051" s="76" customFormat="1" ht="50" hidden="1" customHeight="1" spans="1:28">
      <c r="A1051" s="76" t="s">
        <v>2177</v>
      </c>
      <c r="B1051" s="6"/>
      <c r="C1051" s="76" t="s">
        <v>30</v>
      </c>
      <c r="D1051" s="77" t="s">
        <v>36</v>
      </c>
      <c r="E1051" s="76" t="s">
        <v>2178</v>
      </c>
      <c r="F1051" s="76" t="s">
        <v>44</v>
      </c>
      <c r="G1051" s="76" t="s">
        <v>1874</v>
      </c>
      <c r="H1051" s="76">
        <f>STOCK[[#This Row],[Precio Final]]</f>
        <v>20</v>
      </c>
      <c r="I1051" s="76">
        <f>STOCK[[#This Row],[Precio Venta Ideal (x1.5)]]</f>
        <v>12.93</v>
      </c>
      <c r="J1051" s="91">
        <v>1</v>
      </c>
      <c r="K1051" s="91">
        <f>SUMIFS(VENTAS[Cantidad],VENTAS[Código del producto Vendido],STOCK[[#This Row],[Code]])</f>
        <v>1</v>
      </c>
      <c r="L1051" s="91">
        <f>STOCK[[#This Row],[Entradas]]-STOCK[[#This Row],[Salidas]]</f>
        <v>0</v>
      </c>
      <c r="M1051" s="76">
        <f>STOCK[[#This Row],[Precio Final]]*10%</f>
        <v>2</v>
      </c>
      <c r="N1051" s="76">
        <v>0</v>
      </c>
      <c r="O1051" s="76">
        <v>0</v>
      </c>
      <c r="P1051" s="76">
        <v>6.02</v>
      </c>
      <c r="Q1051" s="91">
        <v>0</v>
      </c>
      <c r="R1051" s="76">
        <v>0</v>
      </c>
      <c r="S1051" s="76">
        <v>0.6</v>
      </c>
      <c r="T1051" s="76">
        <f>STOCK[[#This Row],[Costo Unitario (USD)]]+STOCK[[#This Row],[Costo Envío (USD)]]+STOCK[[#This Row],[Comisión 10%]]</f>
        <v>8.62</v>
      </c>
      <c r="U1051" s="76">
        <f>STOCK[[#This Row],[Costo total]]*1.5</f>
        <v>12.93</v>
      </c>
      <c r="V1051" s="76">
        <v>20</v>
      </c>
      <c r="W1051" s="76">
        <f>STOCK[[#This Row],[Precio Final]]-STOCK[[#This Row],[Costo total]]</f>
        <v>11.38</v>
      </c>
      <c r="X1051" s="76">
        <f>STOCK[[#This Row],[Ganancia Unitaria]]*STOCK[[#This Row],[Salidas]]</f>
        <v>11.38</v>
      </c>
      <c r="Y1051" s="76" t="s">
        <v>2179</v>
      </c>
      <c r="AA1051" s="76">
        <f>STOCK[[#This Row],[Costo total]]*STOCK[[#This Row],[Entradas]]</f>
        <v>8.62</v>
      </c>
      <c r="AB1051" s="76">
        <f>STOCK[[#This Row],[Stock Actual]]*STOCK[[#This Row],[Costo total]]</f>
        <v>0</v>
      </c>
    </row>
    <row r="1052" s="77" customFormat="1" ht="50" hidden="1" customHeight="1" spans="1:28">
      <c r="A1052" s="77" t="s">
        <v>2180</v>
      </c>
      <c r="B1052" s="6"/>
      <c r="C1052" s="77" t="s">
        <v>30</v>
      </c>
      <c r="D1052" s="77" t="s">
        <v>36</v>
      </c>
      <c r="E1052" s="77" t="s">
        <v>2178</v>
      </c>
      <c r="F1052" s="77" t="s">
        <v>47</v>
      </c>
      <c r="G1052" s="77" t="s">
        <v>1874</v>
      </c>
      <c r="H1052" s="77">
        <f>STOCK[[#This Row],[Precio Final]]</f>
        <v>20</v>
      </c>
      <c r="I1052" s="77">
        <f>STOCK[[#This Row],[Precio Venta Ideal (x1.5)]]</f>
        <v>12.93</v>
      </c>
      <c r="J1052" s="92">
        <v>2</v>
      </c>
      <c r="K1052" s="92">
        <f>SUMIFS(VENTAS[Cantidad],VENTAS[Código del producto Vendido],STOCK[[#This Row],[Code]])</f>
        <v>2</v>
      </c>
      <c r="L1052" s="92">
        <f>STOCK[[#This Row],[Entradas]]-STOCK[[#This Row],[Salidas]]</f>
        <v>0</v>
      </c>
      <c r="M1052" s="77">
        <f>STOCK[[#This Row],[Precio Final]]*10%</f>
        <v>2</v>
      </c>
      <c r="N1052" s="77">
        <v>0</v>
      </c>
      <c r="O1052" s="77">
        <v>0</v>
      </c>
      <c r="P1052" s="77">
        <v>6.02</v>
      </c>
      <c r="Q1052" s="92">
        <v>0</v>
      </c>
      <c r="R1052" s="77">
        <v>0</v>
      </c>
      <c r="S1052" s="77">
        <v>0.6</v>
      </c>
      <c r="T1052" s="76">
        <f>STOCK[[#This Row],[Costo Unitario (USD)]]+STOCK[[#This Row],[Costo Envío (USD)]]+STOCK[[#This Row],[Comisión 10%]]</f>
        <v>8.62</v>
      </c>
      <c r="U1052" s="77">
        <f>STOCK[[#This Row],[Costo total]]*1.5</f>
        <v>12.93</v>
      </c>
      <c r="V1052" s="77">
        <v>20</v>
      </c>
      <c r="W1052" s="77">
        <f>STOCK[[#This Row],[Precio Final]]-STOCK[[#This Row],[Costo total]]</f>
        <v>11.38</v>
      </c>
      <c r="X1052" s="77">
        <f>STOCK[[#This Row],[Ganancia Unitaria]]*STOCK[[#This Row],[Salidas]]</f>
        <v>22.76</v>
      </c>
      <c r="Y1052" s="77" t="s">
        <v>2181</v>
      </c>
      <c r="AA1052" s="77">
        <f>STOCK[[#This Row],[Costo total]]*STOCK[[#This Row],[Entradas]]</f>
        <v>17.24</v>
      </c>
      <c r="AB1052" s="77">
        <f>STOCK[[#This Row],[Stock Actual]]*STOCK[[#This Row],[Costo total]]</f>
        <v>0</v>
      </c>
    </row>
    <row r="1053" s="76" customFormat="1" ht="50" hidden="1" customHeight="1" spans="1:28">
      <c r="A1053" s="76" t="s">
        <v>2182</v>
      </c>
      <c r="B1053" s="6"/>
      <c r="C1053" s="76" t="s">
        <v>30</v>
      </c>
      <c r="D1053" s="77" t="s">
        <v>36</v>
      </c>
      <c r="E1053" s="76" t="s">
        <v>2178</v>
      </c>
      <c r="F1053" s="76" t="s">
        <v>60</v>
      </c>
      <c r="G1053" s="76" t="s">
        <v>1874</v>
      </c>
      <c r="H1053" s="76">
        <f>STOCK[[#This Row],[Precio Final]]</f>
        <v>20</v>
      </c>
      <c r="I1053" s="76">
        <f>STOCK[[#This Row],[Precio Venta Ideal (x1.5)]]</f>
        <v>12.93</v>
      </c>
      <c r="J1053" s="91">
        <v>2</v>
      </c>
      <c r="K1053" s="91">
        <f>SUMIFS(VENTAS[Cantidad],VENTAS[Código del producto Vendido],STOCK[[#This Row],[Code]])</f>
        <v>2</v>
      </c>
      <c r="L1053" s="91">
        <f>STOCK[[#This Row],[Entradas]]-STOCK[[#This Row],[Salidas]]</f>
        <v>0</v>
      </c>
      <c r="M1053" s="76">
        <f>STOCK[[#This Row],[Precio Final]]*10%</f>
        <v>2</v>
      </c>
      <c r="N1053" s="76">
        <v>0</v>
      </c>
      <c r="O1053" s="76">
        <v>0</v>
      </c>
      <c r="P1053" s="76">
        <v>6.02</v>
      </c>
      <c r="Q1053" s="91">
        <v>0</v>
      </c>
      <c r="R1053" s="76">
        <v>0</v>
      </c>
      <c r="S1053" s="76">
        <v>0.6</v>
      </c>
      <c r="T1053" s="76">
        <f>STOCK[[#This Row],[Costo Unitario (USD)]]+STOCK[[#This Row],[Costo Envío (USD)]]+STOCK[[#This Row],[Comisión 10%]]</f>
        <v>8.62</v>
      </c>
      <c r="U1053" s="76">
        <f>STOCK[[#This Row],[Costo total]]*1.5</f>
        <v>12.93</v>
      </c>
      <c r="V1053" s="76">
        <v>20</v>
      </c>
      <c r="W1053" s="76">
        <f>STOCK[[#This Row],[Precio Final]]-STOCK[[#This Row],[Costo total]]</f>
        <v>11.38</v>
      </c>
      <c r="X1053" s="76">
        <f>STOCK[[#This Row],[Ganancia Unitaria]]*STOCK[[#This Row],[Salidas]]</f>
        <v>22.76</v>
      </c>
      <c r="Y1053" s="76" t="s">
        <v>2183</v>
      </c>
      <c r="AA1053" s="76">
        <f>STOCK[[#This Row],[Costo total]]*STOCK[[#This Row],[Entradas]]</f>
        <v>17.24</v>
      </c>
      <c r="AB1053" s="76">
        <f>STOCK[[#This Row],[Stock Actual]]*STOCK[[#This Row],[Costo total]]</f>
        <v>0</v>
      </c>
    </row>
    <row r="1054" s="77" customFormat="1" ht="50" hidden="1" customHeight="1" spans="1:28">
      <c r="A1054" s="77" t="s">
        <v>2184</v>
      </c>
      <c r="B1054" s="6"/>
      <c r="C1054" s="77" t="s">
        <v>30</v>
      </c>
      <c r="D1054" s="77" t="s">
        <v>36</v>
      </c>
      <c r="E1054" s="77" t="s">
        <v>2178</v>
      </c>
      <c r="F1054" s="77" t="s">
        <v>38</v>
      </c>
      <c r="G1054" s="77" t="s">
        <v>1874</v>
      </c>
      <c r="H1054" s="77">
        <f>STOCK[[#This Row],[Precio Final]]</f>
        <v>20</v>
      </c>
      <c r="I1054" s="77">
        <f>STOCK[[#This Row],[Precio Venta Ideal (x1.5)]]</f>
        <v>12.93</v>
      </c>
      <c r="J1054" s="92">
        <v>2</v>
      </c>
      <c r="K1054" s="92">
        <f>SUMIFS(VENTAS[Cantidad],VENTAS[Código del producto Vendido],STOCK[[#This Row],[Code]])</f>
        <v>2</v>
      </c>
      <c r="L1054" s="92">
        <f>STOCK[[#This Row],[Entradas]]-STOCK[[#This Row],[Salidas]]</f>
        <v>0</v>
      </c>
      <c r="M1054" s="77">
        <f>STOCK[[#This Row],[Precio Final]]*10%</f>
        <v>2</v>
      </c>
      <c r="N1054" s="77">
        <v>0</v>
      </c>
      <c r="O1054" s="77">
        <v>0</v>
      </c>
      <c r="P1054" s="77">
        <v>6.02</v>
      </c>
      <c r="Q1054" s="92">
        <v>0</v>
      </c>
      <c r="R1054" s="77">
        <v>0</v>
      </c>
      <c r="S1054" s="77">
        <v>0.6</v>
      </c>
      <c r="T1054" s="76">
        <f>STOCK[[#This Row],[Costo Unitario (USD)]]+STOCK[[#This Row],[Costo Envío (USD)]]+STOCK[[#This Row],[Comisión 10%]]</f>
        <v>8.62</v>
      </c>
      <c r="U1054" s="77">
        <f>STOCK[[#This Row],[Costo total]]*1.5</f>
        <v>12.93</v>
      </c>
      <c r="V1054" s="77">
        <v>20</v>
      </c>
      <c r="W1054" s="77">
        <f>STOCK[[#This Row],[Precio Final]]-STOCK[[#This Row],[Costo total]]</f>
        <v>11.38</v>
      </c>
      <c r="X1054" s="77">
        <f>STOCK[[#This Row],[Ganancia Unitaria]]*STOCK[[#This Row],[Salidas]]</f>
        <v>22.76</v>
      </c>
      <c r="Y1054" s="77" t="s">
        <v>2185</v>
      </c>
      <c r="AA1054" s="77">
        <f>STOCK[[#This Row],[Costo total]]*STOCK[[#This Row],[Entradas]]</f>
        <v>17.24</v>
      </c>
      <c r="AB1054" s="77">
        <f>STOCK[[#This Row],[Stock Actual]]*STOCK[[#This Row],[Costo total]]</f>
        <v>0</v>
      </c>
    </row>
    <row r="1055" s="76" customFormat="1" ht="50" hidden="1" customHeight="1" spans="1:28">
      <c r="A1055" s="76" t="s">
        <v>2186</v>
      </c>
      <c r="B1055" s="6"/>
      <c r="C1055" s="76" t="s">
        <v>30</v>
      </c>
      <c r="D1055" s="76" t="s">
        <v>2131</v>
      </c>
      <c r="E1055" s="76" t="s">
        <v>2187</v>
      </c>
      <c r="F1055" s="76" t="s">
        <v>44</v>
      </c>
      <c r="G1055" s="76" t="s">
        <v>1874</v>
      </c>
      <c r="H1055" s="76">
        <f>STOCK[[#This Row],[Precio Final]]</f>
        <v>25</v>
      </c>
      <c r="I1055" s="76">
        <f>STOCK[[#This Row],[Precio Venta Ideal (x1.5)]]</f>
        <v>22.47</v>
      </c>
      <c r="J1055" s="91">
        <v>2</v>
      </c>
      <c r="K1055" s="91">
        <f>SUMIFS(VENTAS[Cantidad],VENTAS[Código del producto Vendido],STOCK[[#This Row],[Code]])</f>
        <v>1</v>
      </c>
      <c r="L1055" s="91">
        <f>STOCK[[#This Row],[Entradas]]-STOCK[[#This Row],[Salidas]]</f>
        <v>1</v>
      </c>
      <c r="M1055" s="76">
        <f>STOCK[[#This Row],[Precio Final]]*10%</f>
        <v>2.5</v>
      </c>
      <c r="N1055" s="76">
        <v>0</v>
      </c>
      <c r="O1055" s="76">
        <v>0</v>
      </c>
      <c r="P1055" s="76">
        <v>11.88</v>
      </c>
      <c r="Q1055" s="91">
        <v>0</v>
      </c>
      <c r="R1055" s="76">
        <v>0</v>
      </c>
      <c r="S1055" s="76">
        <v>0.6</v>
      </c>
      <c r="T1055" s="76">
        <f>STOCK[[#This Row],[Costo Unitario (USD)]]+STOCK[[#This Row],[Costo Envío (USD)]]+STOCK[[#This Row],[Comisión 10%]]</f>
        <v>14.98</v>
      </c>
      <c r="U1055" s="76">
        <f>STOCK[[#This Row],[Costo total]]*1.5</f>
        <v>22.47</v>
      </c>
      <c r="V1055" s="76">
        <v>25</v>
      </c>
      <c r="W1055" s="76">
        <f>STOCK[[#This Row],[Precio Final]]-STOCK[[#This Row],[Costo total]]</f>
        <v>10.02</v>
      </c>
      <c r="X1055" s="76">
        <f>STOCK[[#This Row],[Ganancia Unitaria]]*STOCK[[#This Row],[Salidas]]</f>
        <v>10.02</v>
      </c>
      <c r="Y1055" s="76" t="s">
        <v>2188</v>
      </c>
      <c r="AA1055" s="76">
        <f>STOCK[[#This Row],[Costo total]]*STOCK[[#This Row],[Entradas]]</f>
        <v>29.96</v>
      </c>
      <c r="AB1055" s="76">
        <f>STOCK[[#This Row],[Stock Actual]]*STOCK[[#This Row],[Costo total]]</f>
        <v>14.98</v>
      </c>
    </row>
    <row r="1056" s="77" customFormat="1" ht="50" hidden="1" customHeight="1" spans="1:28">
      <c r="A1056" s="77" t="s">
        <v>2189</v>
      </c>
      <c r="B1056" s="6"/>
      <c r="C1056" s="77" t="s">
        <v>30</v>
      </c>
      <c r="D1056" s="77" t="s">
        <v>2131</v>
      </c>
      <c r="E1056" s="77" t="s">
        <v>2187</v>
      </c>
      <c r="F1056" s="77" t="s">
        <v>47</v>
      </c>
      <c r="G1056" s="77" t="s">
        <v>1874</v>
      </c>
      <c r="H1056" s="77">
        <f>STOCK[[#This Row],[Precio Final]]</f>
        <v>25</v>
      </c>
      <c r="I1056" s="77">
        <f>STOCK[[#This Row],[Precio Venta Ideal (x1.5)]]</f>
        <v>22.47</v>
      </c>
      <c r="J1056" s="92">
        <v>2</v>
      </c>
      <c r="K1056" s="92">
        <f>SUMIFS(VENTAS[Cantidad],VENTAS[Código del producto Vendido],STOCK[[#This Row],[Code]])</f>
        <v>1</v>
      </c>
      <c r="L1056" s="92">
        <f>STOCK[[#This Row],[Entradas]]-STOCK[[#This Row],[Salidas]]</f>
        <v>1</v>
      </c>
      <c r="M1056" s="77">
        <f>STOCK[[#This Row],[Precio Final]]*10%</f>
        <v>2.5</v>
      </c>
      <c r="N1056" s="77">
        <v>0</v>
      </c>
      <c r="O1056" s="77">
        <v>0</v>
      </c>
      <c r="P1056" s="77">
        <v>11.88</v>
      </c>
      <c r="Q1056" s="92">
        <v>0</v>
      </c>
      <c r="R1056" s="77">
        <v>0</v>
      </c>
      <c r="S1056" s="77">
        <v>0.6</v>
      </c>
      <c r="T1056" s="76">
        <f>STOCK[[#This Row],[Costo Unitario (USD)]]+STOCK[[#This Row],[Costo Envío (USD)]]+STOCK[[#This Row],[Comisión 10%]]</f>
        <v>14.98</v>
      </c>
      <c r="U1056" s="77">
        <f>STOCK[[#This Row],[Costo total]]*1.5</f>
        <v>22.47</v>
      </c>
      <c r="V1056" s="77">
        <v>25</v>
      </c>
      <c r="W1056" s="77">
        <f>STOCK[[#This Row],[Precio Final]]-STOCK[[#This Row],[Costo total]]</f>
        <v>10.02</v>
      </c>
      <c r="X1056" s="77">
        <f>STOCK[[#This Row],[Ganancia Unitaria]]*STOCK[[#This Row],[Salidas]]</f>
        <v>10.02</v>
      </c>
      <c r="Y1056" s="77" t="s">
        <v>2190</v>
      </c>
      <c r="AA1056" s="77">
        <f>STOCK[[#This Row],[Costo total]]*STOCK[[#This Row],[Entradas]]</f>
        <v>29.96</v>
      </c>
      <c r="AB1056" s="77">
        <f>STOCK[[#This Row],[Stock Actual]]*STOCK[[#This Row],[Costo total]]</f>
        <v>14.98</v>
      </c>
    </row>
    <row r="1057" s="76" customFormat="1" ht="50" hidden="1" customHeight="1" spans="1:28">
      <c r="A1057" s="76" t="s">
        <v>2191</v>
      </c>
      <c r="B1057" s="6"/>
      <c r="C1057" s="76" t="s">
        <v>30</v>
      </c>
      <c r="D1057" s="77" t="s">
        <v>36</v>
      </c>
      <c r="E1057" s="76" t="s">
        <v>2122</v>
      </c>
      <c r="F1057" s="76" t="s">
        <v>47</v>
      </c>
      <c r="G1057" s="76" t="s">
        <v>1874</v>
      </c>
      <c r="H1057" s="76">
        <f>STOCK[[#This Row],[Precio Final]]</f>
        <v>25</v>
      </c>
      <c r="I1057" s="76">
        <f>STOCK[[#This Row],[Precio Venta Ideal (x1.5)]]</f>
        <v>20.565</v>
      </c>
      <c r="J1057" s="91">
        <v>1</v>
      </c>
      <c r="K1057" s="91">
        <f>SUMIFS(VENTAS[Cantidad],VENTAS[Código del producto Vendido],STOCK[[#This Row],[Code]])</f>
        <v>1</v>
      </c>
      <c r="L1057" s="91">
        <f>STOCK[[#This Row],[Entradas]]-STOCK[[#This Row],[Salidas]]</f>
        <v>0</v>
      </c>
      <c r="M1057" s="76">
        <f>STOCK[[#This Row],[Precio Final]]*10%</f>
        <v>2.5</v>
      </c>
      <c r="N1057" s="76">
        <v>0</v>
      </c>
      <c r="O1057" s="76">
        <v>0</v>
      </c>
      <c r="P1057" s="76">
        <v>10.61</v>
      </c>
      <c r="Q1057" s="91">
        <v>0</v>
      </c>
      <c r="R1057" s="76">
        <v>0</v>
      </c>
      <c r="S1057" s="76">
        <v>0.6</v>
      </c>
      <c r="T1057" s="76">
        <f>STOCK[[#This Row],[Costo Unitario (USD)]]+STOCK[[#This Row],[Costo Envío (USD)]]+STOCK[[#This Row],[Comisión 10%]]</f>
        <v>13.71</v>
      </c>
      <c r="U1057" s="76">
        <f>STOCK[[#This Row],[Costo total]]*1.5</f>
        <v>20.565</v>
      </c>
      <c r="V1057" s="76">
        <v>25</v>
      </c>
      <c r="W1057" s="76">
        <f>STOCK[[#This Row],[Precio Final]]-STOCK[[#This Row],[Costo total]]</f>
        <v>11.29</v>
      </c>
      <c r="X1057" s="76">
        <f>STOCK[[#This Row],[Ganancia Unitaria]]*STOCK[[#This Row],[Salidas]]</f>
        <v>11.29</v>
      </c>
      <c r="Y1057" s="76" t="s">
        <v>2192</v>
      </c>
      <c r="AA1057" s="76">
        <f>STOCK[[#This Row],[Costo total]]*STOCK[[#This Row],[Entradas]]</f>
        <v>13.71</v>
      </c>
      <c r="AB1057" s="76">
        <f>STOCK[[#This Row],[Stock Actual]]*STOCK[[#This Row],[Costo total]]</f>
        <v>0</v>
      </c>
    </row>
    <row r="1058" s="77" customFormat="1" ht="50" hidden="1" customHeight="1" spans="1:28">
      <c r="A1058" s="77" t="s">
        <v>2193</v>
      </c>
      <c r="B1058" s="6"/>
      <c r="C1058" s="77" t="s">
        <v>30</v>
      </c>
      <c r="D1058" s="77" t="s">
        <v>36</v>
      </c>
      <c r="E1058" s="77" t="s">
        <v>2194</v>
      </c>
      <c r="F1058" s="77" t="s">
        <v>44</v>
      </c>
      <c r="G1058" s="77" t="s">
        <v>1874</v>
      </c>
      <c r="H1058" s="77">
        <f>STOCK[[#This Row],[Precio Final]]</f>
        <v>20</v>
      </c>
      <c r="I1058" s="77">
        <f>STOCK[[#This Row],[Precio Venta Ideal (x1.5)]]</f>
        <v>15.57</v>
      </c>
      <c r="J1058" s="92">
        <v>1</v>
      </c>
      <c r="K1058" s="92">
        <f>SUMIFS(VENTAS[Cantidad],VENTAS[Código del producto Vendido],STOCK[[#This Row],[Code]])</f>
        <v>0</v>
      </c>
      <c r="L1058" s="92">
        <f>STOCK[[#This Row],[Entradas]]-STOCK[[#This Row],[Salidas]]</f>
        <v>1</v>
      </c>
      <c r="M1058" s="77">
        <f>STOCK[[#This Row],[Precio Final]]*10%</f>
        <v>2</v>
      </c>
      <c r="N1058" s="77">
        <v>0</v>
      </c>
      <c r="O1058" s="77">
        <v>0</v>
      </c>
      <c r="P1058" s="77">
        <v>7.78</v>
      </c>
      <c r="Q1058" s="92">
        <v>0</v>
      </c>
      <c r="R1058" s="77">
        <v>0</v>
      </c>
      <c r="S1058" s="77">
        <v>0.6</v>
      </c>
      <c r="T1058" s="76">
        <f>STOCK[[#This Row],[Costo Unitario (USD)]]+STOCK[[#This Row],[Costo Envío (USD)]]+STOCK[[#This Row],[Comisión 10%]]</f>
        <v>10.38</v>
      </c>
      <c r="U1058" s="77">
        <f>STOCK[[#This Row],[Costo total]]*1.5</f>
        <v>15.57</v>
      </c>
      <c r="V1058" s="77">
        <v>20</v>
      </c>
      <c r="W1058" s="77">
        <f>STOCK[[#This Row],[Precio Final]]-STOCK[[#This Row],[Costo total]]</f>
        <v>9.62</v>
      </c>
      <c r="X1058" s="77">
        <f>STOCK[[#This Row],[Ganancia Unitaria]]*STOCK[[#This Row],[Salidas]]</f>
        <v>0</v>
      </c>
      <c r="Y1058" s="77" t="s">
        <v>2195</v>
      </c>
      <c r="AA1058" s="77">
        <f>STOCK[[#This Row],[Costo total]]*STOCK[[#This Row],[Entradas]]</f>
        <v>10.38</v>
      </c>
      <c r="AB1058" s="77">
        <f>STOCK[[#This Row],[Stock Actual]]*STOCK[[#This Row],[Costo total]]</f>
        <v>10.38</v>
      </c>
    </row>
    <row r="1059" s="76" customFormat="1" ht="50" hidden="1" customHeight="1" spans="1:28">
      <c r="A1059" s="76" t="s">
        <v>2196</v>
      </c>
      <c r="B1059" s="6"/>
      <c r="C1059" s="76" t="s">
        <v>30</v>
      </c>
      <c r="D1059" s="77" t="s">
        <v>36</v>
      </c>
      <c r="E1059" s="76" t="s">
        <v>2194</v>
      </c>
      <c r="F1059" s="76" t="s">
        <v>47</v>
      </c>
      <c r="G1059" s="76" t="s">
        <v>1874</v>
      </c>
      <c r="H1059" s="76">
        <f>STOCK[[#This Row],[Precio Final]]</f>
        <v>20</v>
      </c>
      <c r="I1059" s="76">
        <f>STOCK[[#This Row],[Precio Venta Ideal (x1.5)]]</f>
        <v>15.57</v>
      </c>
      <c r="J1059" s="91">
        <v>1</v>
      </c>
      <c r="K1059" s="91">
        <f>SUMIFS(VENTAS[Cantidad],VENTAS[Código del producto Vendido],STOCK[[#This Row],[Code]])</f>
        <v>0</v>
      </c>
      <c r="L1059" s="91">
        <f>STOCK[[#This Row],[Entradas]]-STOCK[[#This Row],[Salidas]]</f>
        <v>1</v>
      </c>
      <c r="M1059" s="76">
        <f>STOCK[[#This Row],[Precio Final]]*10%</f>
        <v>2</v>
      </c>
      <c r="N1059" s="76">
        <v>0</v>
      </c>
      <c r="O1059" s="76">
        <v>0</v>
      </c>
      <c r="P1059" s="76">
        <v>7.78</v>
      </c>
      <c r="Q1059" s="91">
        <v>0</v>
      </c>
      <c r="R1059" s="76">
        <v>0</v>
      </c>
      <c r="S1059" s="76">
        <v>0.6</v>
      </c>
      <c r="T1059" s="76">
        <f>STOCK[[#This Row],[Costo Unitario (USD)]]+STOCK[[#This Row],[Costo Envío (USD)]]+STOCK[[#This Row],[Comisión 10%]]</f>
        <v>10.38</v>
      </c>
      <c r="U1059" s="76">
        <f>STOCK[[#This Row],[Costo total]]*1.5</f>
        <v>15.57</v>
      </c>
      <c r="V1059" s="76">
        <v>20</v>
      </c>
      <c r="W1059" s="76">
        <f>STOCK[[#This Row],[Precio Final]]-STOCK[[#This Row],[Costo total]]</f>
        <v>9.62</v>
      </c>
      <c r="X1059" s="76">
        <f>STOCK[[#This Row],[Ganancia Unitaria]]*STOCK[[#This Row],[Salidas]]</f>
        <v>0</v>
      </c>
      <c r="Y1059" s="76" t="s">
        <v>2197</v>
      </c>
      <c r="AA1059" s="76">
        <f>STOCK[[#This Row],[Costo total]]*STOCK[[#This Row],[Entradas]]</f>
        <v>10.38</v>
      </c>
      <c r="AB1059" s="76">
        <f>STOCK[[#This Row],[Stock Actual]]*STOCK[[#This Row],[Costo total]]</f>
        <v>10.38</v>
      </c>
    </row>
    <row r="1060" s="77" customFormat="1" ht="50" hidden="1" customHeight="1" spans="1:28">
      <c r="A1060" s="77" t="s">
        <v>2198</v>
      </c>
      <c r="B1060" s="6"/>
      <c r="C1060" s="77" t="s">
        <v>30</v>
      </c>
      <c r="D1060" s="77" t="s">
        <v>36</v>
      </c>
      <c r="E1060" s="77" t="s">
        <v>2194</v>
      </c>
      <c r="F1060" s="77" t="s">
        <v>60</v>
      </c>
      <c r="G1060" s="77" t="s">
        <v>1874</v>
      </c>
      <c r="H1060" s="77">
        <f>STOCK[[#This Row],[Precio Final]]</f>
        <v>20</v>
      </c>
      <c r="I1060" s="77">
        <f>STOCK[[#This Row],[Precio Venta Ideal (x1.5)]]</f>
        <v>15.57</v>
      </c>
      <c r="J1060" s="92">
        <v>1</v>
      </c>
      <c r="K1060" s="92">
        <f>SUMIFS(VENTAS[Cantidad],VENTAS[Código del producto Vendido],STOCK[[#This Row],[Code]])</f>
        <v>1</v>
      </c>
      <c r="L1060" s="92">
        <f>STOCK[[#This Row],[Entradas]]-STOCK[[#This Row],[Salidas]]</f>
        <v>0</v>
      </c>
      <c r="M1060" s="77">
        <f>STOCK[[#This Row],[Precio Final]]*10%</f>
        <v>2</v>
      </c>
      <c r="N1060" s="77">
        <v>0</v>
      </c>
      <c r="O1060" s="77">
        <v>0</v>
      </c>
      <c r="P1060" s="77">
        <v>7.78</v>
      </c>
      <c r="Q1060" s="92">
        <v>0</v>
      </c>
      <c r="R1060" s="77">
        <v>0</v>
      </c>
      <c r="S1060" s="77">
        <v>0.6</v>
      </c>
      <c r="T1060" s="76">
        <f>STOCK[[#This Row],[Costo Unitario (USD)]]+STOCK[[#This Row],[Costo Envío (USD)]]+STOCK[[#This Row],[Comisión 10%]]</f>
        <v>10.38</v>
      </c>
      <c r="U1060" s="77">
        <f>STOCK[[#This Row],[Costo total]]*1.5</f>
        <v>15.57</v>
      </c>
      <c r="V1060" s="77">
        <v>20</v>
      </c>
      <c r="W1060" s="77">
        <f>STOCK[[#This Row],[Precio Final]]-STOCK[[#This Row],[Costo total]]</f>
        <v>9.62</v>
      </c>
      <c r="X1060" s="77">
        <f>STOCK[[#This Row],[Ganancia Unitaria]]*STOCK[[#This Row],[Salidas]]</f>
        <v>9.62</v>
      </c>
      <c r="Y1060" s="77" t="s">
        <v>2199</v>
      </c>
      <c r="AA1060" s="77">
        <f>STOCK[[#This Row],[Costo total]]*STOCK[[#This Row],[Entradas]]</f>
        <v>10.38</v>
      </c>
      <c r="AB1060" s="77">
        <f>STOCK[[#This Row],[Stock Actual]]*STOCK[[#This Row],[Costo total]]</f>
        <v>0</v>
      </c>
    </row>
    <row r="1061" s="76" customFormat="1" ht="50" hidden="1" customHeight="1" spans="1:28">
      <c r="A1061" s="76" t="s">
        <v>2200</v>
      </c>
      <c r="B1061" s="6"/>
      <c r="C1061" s="76" t="s">
        <v>30</v>
      </c>
      <c r="D1061" s="76" t="s">
        <v>42</v>
      </c>
      <c r="E1061" s="76" t="s">
        <v>2201</v>
      </c>
      <c r="F1061" s="76" t="s">
        <v>60</v>
      </c>
      <c r="G1061" s="76" t="s">
        <v>1874</v>
      </c>
      <c r="H1061" s="76">
        <f>STOCK[[#This Row],[Precio Final]]</f>
        <v>30</v>
      </c>
      <c r="I1061" s="76">
        <f>STOCK[[#This Row],[Precio Venta Ideal (x1.5)]]</f>
        <v>26.985</v>
      </c>
      <c r="J1061" s="91">
        <v>1</v>
      </c>
      <c r="K1061" s="91">
        <f>SUMIFS(VENTAS[Cantidad],VENTAS[Código del producto Vendido],STOCK[[#This Row],[Code]])</f>
        <v>1</v>
      </c>
      <c r="L1061" s="91">
        <f>STOCK[[#This Row],[Entradas]]-STOCK[[#This Row],[Salidas]]</f>
        <v>0</v>
      </c>
      <c r="M1061" s="76">
        <f>STOCK[[#This Row],[Precio Final]]*10%</f>
        <v>3</v>
      </c>
      <c r="N1061" s="76">
        <v>0</v>
      </c>
      <c r="O1061" s="76">
        <v>0</v>
      </c>
      <c r="P1061" s="76">
        <v>14.39</v>
      </c>
      <c r="Q1061" s="91">
        <v>0</v>
      </c>
      <c r="R1061" s="76">
        <v>0</v>
      </c>
      <c r="S1061" s="76">
        <v>0.6</v>
      </c>
      <c r="T1061" s="76">
        <f>STOCK[[#This Row],[Costo Unitario (USD)]]+STOCK[[#This Row],[Costo Envío (USD)]]+STOCK[[#This Row],[Comisión 10%]]</f>
        <v>17.99</v>
      </c>
      <c r="U1061" s="76">
        <f>STOCK[[#This Row],[Costo total]]*1.5</f>
        <v>26.985</v>
      </c>
      <c r="V1061" s="76">
        <v>30</v>
      </c>
      <c r="W1061" s="76">
        <f>STOCK[[#This Row],[Precio Final]]-STOCK[[#This Row],[Costo total]]</f>
        <v>12.01</v>
      </c>
      <c r="X1061" s="76">
        <f>STOCK[[#This Row],[Ganancia Unitaria]]*STOCK[[#This Row],[Salidas]]</f>
        <v>12.01</v>
      </c>
      <c r="Y1061" s="76" t="s">
        <v>2202</v>
      </c>
      <c r="AA1061" s="76">
        <f>STOCK[[#This Row],[Costo total]]*STOCK[[#This Row],[Entradas]]</f>
        <v>17.99</v>
      </c>
      <c r="AB1061" s="76">
        <f>STOCK[[#This Row],[Stock Actual]]*STOCK[[#This Row],[Costo total]]</f>
        <v>0</v>
      </c>
    </row>
    <row r="1062" s="77" customFormat="1" ht="50" hidden="1" customHeight="1" spans="1:28">
      <c r="A1062" s="77" t="s">
        <v>2203</v>
      </c>
      <c r="B1062" s="6"/>
      <c r="C1062" s="77" t="s">
        <v>30</v>
      </c>
      <c r="D1062" s="77" t="s">
        <v>2116</v>
      </c>
      <c r="E1062" s="77" t="s">
        <v>2204</v>
      </c>
      <c r="F1062" s="77" t="s">
        <v>47</v>
      </c>
      <c r="G1062" s="77" t="s">
        <v>1874</v>
      </c>
      <c r="H1062" s="77">
        <f>STOCK[[#This Row],[Precio Final]]</f>
        <v>25</v>
      </c>
      <c r="I1062" s="77">
        <f>STOCK[[#This Row],[Precio Venta Ideal (x1.5)]]</f>
        <v>25.635</v>
      </c>
      <c r="J1062" s="92">
        <v>1</v>
      </c>
      <c r="K1062" s="92">
        <f>SUMIFS(VENTAS[Cantidad],VENTAS[Código del producto Vendido],STOCK[[#This Row],[Code]])</f>
        <v>1</v>
      </c>
      <c r="L1062" s="92">
        <f>STOCK[[#This Row],[Entradas]]-STOCK[[#This Row],[Salidas]]</f>
        <v>0</v>
      </c>
      <c r="M1062" s="77">
        <f>STOCK[[#This Row],[Precio Final]]*10%</f>
        <v>2.5</v>
      </c>
      <c r="N1062" s="77">
        <v>0</v>
      </c>
      <c r="O1062" s="77">
        <v>0</v>
      </c>
      <c r="P1062" s="77">
        <v>13.99</v>
      </c>
      <c r="Q1062" s="92">
        <v>0</v>
      </c>
      <c r="R1062" s="77">
        <v>0</v>
      </c>
      <c r="S1062" s="77">
        <v>0.6</v>
      </c>
      <c r="T1062" s="76">
        <f>STOCK[[#This Row],[Costo Unitario (USD)]]+STOCK[[#This Row],[Costo Envío (USD)]]+STOCK[[#This Row],[Comisión 10%]]</f>
        <v>17.09</v>
      </c>
      <c r="U1062" s="77">
        <f>STOCK[[#This Row],[Costo total]]*1.5</f>
        <v>25.635</v>
      </c>
      <c r="V1062" s="77">
        <v>25</v>
      </c>
      <c r="W1062" s="77">
        <f>STOCK[[#This Row],[Precio Final]]-STOCK[[#This Row],[Costo total]]</f>
        <v>7.91</v>
      </c>
      <c r="X1062" s="77">
        <f>STOCK[[#This Row],[Ganancia Unitaria]]*STOCK[[#This Row],[Salidas]]</f>
        <v>7.91</v>
      </c>
      <c r="Y1062" s="77" t="s">
        <v>2205</v>
      </c>
      <c r="AA1062" s="77">
        <f>STOCK[[#This Row],[Costo total]]*STOCK[[#This Row],[Entradas]]</f>
        <v>17.09</v>
      </c>
      <c r="AB1062" s="77">
        <f>STOCK[[#This Row],[Stock Actual]]*STOCK[[#This Row],[Costo total]]</f>
        <v>0</v>
      </c>
    </row>
    <row r="1063" s="76" customFormat="1" ht="50" hidden="1" customHeight="1" spans="1:28">
      <c r="A1063" s="76" t="s">
        <v>2206</v>
      </c>
      <c r="B1063" s="6"/>
      <c r="C1063" s="76" t="s">
        <v>30</v>
      </c>
      <c r="D1063" s="76" t="s">
        <v>2109</v>
      </c>
      <c r="E1063" s="76" t="s">
        <v>2207</v>
      </c>
      <c r="F1063" s="76" t="s">
        <v>1532</v>
      </c>
      <c r="G1063" s="76" t="s">
        <v>1874</v>
      </c>
      <c r="H1063" s="76">
        <f>STOCK[[#This Row],[Precio Final]]</f>
        <v>12</v>
      </c>
      <c r="I1063" s="76">
        <f>STOCK[[#This Row],[Precio Venta Ideal (x1.5)]]</f>
        <v>10.56</v>
      </c>
      <c r="J1063" s="91">
        <v>4</v>
      </c>
      <c r="K1063" s="91">
        <f>SUMIFS(VENTAS[Cantidad],VENTAS[Código del producto Vendido],STOCK[[#This Row],[Code]])</f>
        <v>2</v>
      </c>
      <c r="L1063" s="91">
        <f>STOCK[[#This Row],[Entradas]]-STOCK[[#This Row],[Salidas]]</f>
        <v>2</v>
      </c>
      <c r="M1063" s="76">
        <f>STOCK[[#This Row],[Precio Final]]*10%</f>
        <v>1.2</v>
      </c>
      <c r="N1063" s="76">
        <v>0</v>
      </c>
      <c r="O1063" s="76">
        <v>0</v>
      </c>
      <c r="P1063" s="76">
        <v>5.24</v>
      </c>
      <c r="Q1063" s="91">
        <v>0</v>
      </c>
      <c r="R1063" s="76">
        <v>0</v>
      </c>
      <c r="S1063" s="76">
        <v>0.6</v>
      </c>
      <c r="T1063" s="76">
        <f>STOCK[[#This Row],[Costo Unitario (USD)]]+STOCK[[#This Row],[Costo Envío (USD)]]+STOCK[[#This Row],[Comisión 10%]]</f>
        <v>7.04</v>
      </c>
      <c r="U1063" s="76">
        <f>STOCK[[#This Row],[Costo total]]*1.5</f>
        <v>10.56</v>
      </c>
      <c r="V1063" s="76">
        <v>12</v>
      </c>
      <c r="W1063" s="76">
        <f>STOCK[[#This Row],[Precio Final]]-STOCK[[#This Row],[Costo total]]</f>
        <v>4.96</v>
      </c>
      <c r="X1063" s="76">
        <f>STOCK[[#This Row],[Ganancia Unitaria]]*STOCK[[#This Row],[Salidas]]</f>
        <v>9.92</v>
      </c>
      <c r="Y1063" s="76" t="s">
        <v>2208</v>
      </c>
      <c r="AA1063" s="76">
        <f>STOCK[[#This Row],[Costo total]]*STOCK[[#This Row],[Entradas]]</f>
        <v>28.16</v>
      </c>
      <c r="AB1063" s="76">
        <f>STOCK[[#This Row],[Stock Actual]]*STOCK[[#This Row],[Costo total]]</f>
        <v>14.08</v>
      </c>
    </row>
    <row r="1064" s="77" customFormat="1" ht="50" hidden="1" customHeight="1" spans="1:28">
      <c r="A1064" s="77" t="s">
        <v>2209</v>
      </c>
      <c r="B1064" s="6"/>
      <c r="C1064" s="77" t="s">
        <v>30</v>
      </c>
      <c r="D1064" s="77" t="s">
        <v>2116</v>
      </c>
      <c r="E1064" s="77" t="s">
        <v>2210</v>
      </c>
      <c r="F1064" s="77" t="s">
        <v>60</v>
      </c>
      <c r="G1064" s="77" t="s">
        <v>1874</v>
      </c>
      <c r="H1064" s="77">
        <f>STOCK[[#This Row],[Precio Final]]</f>
        <v>35</v>
      </c>
      <c r="I1064" s="77">
        <f>STOCK[[#This Row],[Precio Venta Ideal (x1.5)]]</f>
        <v>28.335</v>
      </c>
      <c r="J1064" s="92">
        <v>2</v>
      </c>
      <c r="K1064" s="92">
        <f>SUMIFS(VENTAS[Cantidad],VENTAS[Código del producto Vendido],STOCK[[#This Row],[Code]])</f>
        <v>2</v>
      </c>
      <c r="L1064" s="92">
        <f>STOCK[[#This Row],[Entradas]]-STOCK[[#This Row],[Salidas]]</f>
        <v>0</v>
      </c>
      <c r="M1064" s="77">
        <f>STOCK[[#This Row],[Precio Final]]*10%</f>
        <v>3.5</v>
      </c>
      <c r="N1064" s="77">
        <v>0</v>
      </c>
      <c r="O1064" s="77">
        <v>0</v>
      </c>
      <c r="P1064" s="77">
        <v>14.79</v>
      </c>
      <c r="Q1064" s="92">
        <v>0</v>
      </c>
      <c r="R1064" s="77">
        <v>0</v>
      </c>
      <c r="S1064" s="77">
        <v>0.6</v>
      </c>
      <c r="T1064" s="76">
        <f>STOCK[[#This Row],[Costo Unitario (USD)]]+STOCK[[#This Row],[Costo Envío (USD)]]+STOCK[[#This Row],[Comisión 10%]]</f>
        <v>18.89</v>
      </c>
      <c r="U1064" s="77">
        <f>STOCK[[#This Row],[Costo total]]*1.5</f>
        <v>28.335</v>
      </c>
      <c r="V1064" s="77">
        <v>35</v>
      </c>
      <c r="W1064" s="77">
        <f>STOCK[[#This Row],[Precio Final]]-STOCK[[#This Row],[Costo total]]</f>
        <v>16.11</v>
      </c>
      <c r="X1064" s="77">
        <f>STOCK[[#This Row],[Ganancia Unitaria]]*STOCK[[#This Row],[Salidas]]</f>
        <v>32.22</v>
      </c>
      <c r="Y1064" s="77" t="s">
        <v>2211</v>
      </c>
      <c r="AA1064" s="77">
        <f>STOCK[[#This Row],[Costo total]]*STOCK[[#This Row],[Entradas]]</f>
        <v>37.78</v>
      </c>
      <c r="AB1064" s="77">
        <f>STOCK[[#This Row],[Stock Actual]]*STOCK[[#This Row],[Costo total]]</f>
        <v>0</v>
      </c>
    </row>
    <row r="1065" s="76" customFormat="1" ht="50" hidden="1" customHeight="1" spans="1:28">
      <c r="A1065" s="76" t="s">
        <v>2212</v>
      </c>
      <c r="B1065" s="6"/>
      <c r="C1065" s="76" t="s">
        <v>30</v>
      </c>
      <c r="D1065" s="76" t="s">
        <v>1879</v>
      </c>
      <c r="E1065" s="76" t="s">
        <v>2213</v>
      </c>
      <c r="F1065" s="76" t="s">
        <v>2214</v>
      </c>
      <c r="G1065" s="76" t="s">
        <v>1874</v>
      </c>
      <c r="H1065" s="76">
        <f>STOCK[[#This Row],[Precio Final]]</f>
        <v>18</v>
      </c>
      <c r="I1065" s="76">
        <f>STOCK[[#This Row],[Precio Venta Ideal (x1.5)]]</f>
        <v>13.365</v>
      </c>
      <c r="J1065" s="91">
        <v>5</v>
      </c>
      <c r="K1065" s="91">
        <f>SUMIFS(VENTAS[Cantidad],VENTAS[Código del producto Vendido],STOCK[[#This Row],[Code]])</f>
        <v>5</v>
      </c>
      <c r="L1065" s="91">
        <f>STOCK[[#This Row],[Entradas]]-STOCK[[#This Row],[Salidas]]</f>
        <v>0</v>
      </c>
      <c r="M1065" s="76">
        <f>STOCK[[#This Row],[Precio Final]]*10%</f>
        <v>1.8</v>
      </c>
      <c r="N1065" s="76">
        <v>0</v>
      </c>
      <c r="O1065" s="76">
        <v>0</v>
      </c>
      <c r="P1065" s="76">
        <v>6.51</v>
      </c>
      <c r="Q1065" s="91">
        <v>0</v>
      </c>
      <c r="R1065" s="76">
        <v>0</v>
      </c>
      <c r="S1065" s="76">
        <v>0.6</v>
      </c>
      <c r="T1065" s="76">
        <f>STOCK[[#This Row],[Costo Unitario (USD)]]+STOCK[[#This Row],[Costo Envío (USD)]]+STOCK[[#This Row],[Comisión 10%]]</f>
        <v>8.91</v>
      </c>
      <c r="U1065" s="76">
        <f>STOCK[[#This Row],[Costo total]]*1.5</f>
        <v>13.365</v>
      </c>
      <c r="V1065" s="76">
        <v>18</v>
      </c>
      <c r="W1065" s="76">
        <f>STOCK[[#This Row],[Precio Final]]-STOCK[[#This Row],[Costo total]]</f>
        <v>9.09</v>
      </c>
      <c r="X1065" s="76">
        <f>STOCK[[#This Row],[Ganancia Unitaria]]*STOCK[[#This Row],[Salidas]]</f>
        <v>45.45</v>
      </c>
      <c r="Y1065" s="76" t="s">
        <v>2215</v>
      </c>
      <c r="AA1065" s="76">
        <f>STOCK[[#This Row],[Costo total]]*STOCK[[#This Row],[Entradas]]</f>
        <v>44.55</v>
      </c>
      <c r="AB1065" s="76">
        <f>STOCK[[#This Row],[Stock Actual]]*STOCK[[#This Row],[Costo total]]</f>
        <v>0</v>
      </c>
    </row>
    <row r="1066" s="77" customFormat="1" ht="50" hidden="1" customHeight="1" spans="1:28">
      <c r="A1066" s="77" t="s">
        <v>2216</v>
      </c>
      <c r="B1066" s="6"/>
      <c r="C1066" s="77" t="s">
        <v>30</v>
      </c>
      <c r="D1066" s="77" t="s">
        <v>2116</v>
      </c>
      <c r="E1066" s="77" t="s">
        <v>2217</v>
      </c>
      <c r="F1066" s="77" t="s">
        <v>44</v>
      </c>
      <c r="G1066" s="77" t="s">
        <v>1874</v>
      </c>
      <c r="H1066" s="77">
        <f>STOCK[[#This Row],[Precio Final]]</f>
        <v>30</v>
      </c>
      <c r="I1066" s="77">
        <f>STOCK[[#This Row],[Precio Venta Ideal (x1.5)]]</f>
        <v>28.635</v>
      </c>
      <c r="J1066" s="92">
        <v>1</v>
      </c>
      <c r="K1066" s="92">
        <f>SUMIFS(VENTAS[Cantidad],VENTAS[Código del producto Vendido],STOCK[[#This Row],[Code]])</f>
        <v>1</v>
      </c>
      <c r="L1066" s="92">
        <f>STOCK[[#This Row],[Entradas]]-STOCK[[#This Row],[Salidas]]</f>
        <v>0</v>
      </c>
      <c r="M1066" s="77">
        <f>STOCK[[#This Row],[Precio Final]]*10%</f>
        <v>3</v>
      </c>
      <c r="N1066" s="77">
        <v>0</v>
      </c>
      <c r="O1066" s="77">
        <v>0</v>
      </c>
      <c r="P1066" s="77">
        <v>15.49</v>
      </c>
      <c r="Q1066" s="92">
        <v>0</v>
      </c>
      <c r="R1066" s="77">
        <v>0</v>
      </c>
      <c r="S1066" s="77">
        <v>0.6</v>
      </c>
      <c r="T1066" s="76">
        <f>STOCK[[#This Row],[Costo Unitario (USD)]]+STOCK[[#This Row],[Costo Envío (USD)]]+STOCK[[#This Row],[Comisión 10%]]</f>
        <v>19.09</v>
      </c>
      <c r="U1066" s="77">
        <f>STOCK[[#This Row],[Costo total]]*1.5</f>
        <v>28.635</v>
      </c>
      <c r="V1066" s="77">
        <v>30</v>
      </c>
      <c r="W1066" s="77">
        <f>STOCK[[#This Row],[Precio Final]]-STOCK[[#This Row],[Costo total]]</f>
        <v>10.91</v>
      </c>
      <c r="X1066" s="77">
        <f>STOCK[[#This Row],[Ganancia Unitaria]]*STOCK[[#This Row],[Salidas]]</f>
        <v>10.91</v>
      </c>
      <c r="Y1066" s="77" t="s">
        <v>2218</v>
      </c>
      <c r="AA1066" s="77">
        <f>STOCK[[#This Row],[Costo total]]*STOCK[[#This Row],[Entradas]]</f>
        <v>19.09</v>
      </c>
      <c r="AB1066" s="77">
        <f>STOCK[[#This Row],[Stock Actual]]*STOCK[[#This Row],[Costo total]]</f>
        <v>0</v>
      </c>
    </row>
    <row r="1067" s="76" customFormat="1" ht="50" hidden="1" customHeight="1" spans="1:28">
      <c r="A1067" s="76" t="s">
        <v>2219</v>
      </c>
      <c r="B1067" s="6"/>
      <c r="C1067" s="76" t="s">
        <v>30</v>
      </c>
      <c r="D1067" s="77" t="s">
        <v>36</v>
      </c>
      <c r="E1067" s="76" t="s">
        <v>2220</v>
      </c>
      <c r="F1067" s="76" t="s">
        <v>44</v>
      </c>
      <c r="G1067" s="76" t="s">
        <v>1874</v>
      </c>
      <c r="H1067" s="76">
        <f>STOCK[[#This Row],[Precio Final]]</f>
        <v>25</v>
      </c>
      <c r="I1067" s="76">
        <f>STOCK[[#This Row],[Precio Venta Ideal (x1.5)]]</f>
        <v>21.225</v>
      </c>
      <c r="J1067" s="91">
        <v>2</v>
      </c>
      <c r="K1067" s="91">
        <f>SUMIFS(VENTAS[Cantidad],VENTAS[Código del producto Vendido],STOCK[[#This Row],[Code]])</f>
        <v>2</v>
      </c>
      <c r="L1067" s="91">
        <f>STOCK[[#This Row],[Entradas]]-STOCK[[#This Row],[Salidas]]</f>
        <v>0</v>
      </c>
      <c r="M1067" s="76">
        <f>STOCK[[#This Row],[Precio Final]]*10%</f>
        <v>2.5</v>
      </c>
      <c r="N1067" s="76">
        <v>0</v>
      </c>
      <c r="O1067" s="76">
        <v>0</v>
      </c>
      <c r="P1067" s="76">
        <v>11.05</v>
      </c>
      <c r="Q1067" s="91">
        <v>0</v>
      </c>
      <c r="R1067" s="76">
        <v>0</v>
      </c>
      <c r="S1067" s="76">
        <v>0.6</v>
      </c>
      <c r="T1067" s="76">
        <f>STOCK[[#This Row],[Costo Unitario (USD)]]+STOCK[[#This Row],[Costo Envío (USD)]]+STOCK[[#This Row],[Comisión 10%]]</f>
        <v>14.15</v>
      </c>
      <c r="U1067" s="76">
        <f>STOCK[[#This Row],[Costo total]]*1.5</f>
        <v>21.225</v>
      </c>
      <c r="V1067" s="76">
        <v>25</v>
      </c>
      <c r="W1067" s="76">
        <f>STOCK[[#This Row],[Precio Final]]-STOCK[[#This Row],[Costo total]]</f>
        <v>10.85</v>
      </c>
      <c r="X1067" s="76">
        <f>STOCK[[#This Row],[Ganancia Unitaria]]*STOCK[[#This Row],[Salidas]]</f>
        <v>21.7</v>
      </c>
      <c r="Y1067" s="76" t="s">
        <v>2221</v>
      </c>
      <c r="AA1067" s="76">
        <f>STOCK[[#This Row],[Costo total]]*STOCK[[#This Row],[Entradas]]</f>
        <v>28.3</v>
      </c>
      <c r="AB1067" s="76">
        <f>STOCK[[#This Row],[Stock Actual]]*STOCK[[#This Row],[Costo total]]</f>
        <v>0</v>
      </c>
    </row>
    <row r="1068" s="77" customFormat="1" ht="50" hidden="1" customHeight="1" spans="1:28">
      <c r="A1068" s="77" t="s">
        <v>2222</v>
      </c>
      <c r="B1068" s="6"/>
      <c r="C1068" s="77" t="s">
        <v>30</v>
      </c>
      <c r="D1068" s="77" t="s">
        <v>2116</v>
      </c>
      <c r="E1068" s="77" t="s">
        <v>2223</v>
      </c>
      <c r="F1068" s="77" t="s">
        <v>60</v>
      </c>
      <c r="G1068" s="77" t="s">
        <v>1874</v>
      </c>
      <c r="H1068" s="77">
        <f>STOCK[[#This Row],[Precio Final]]</f>
        <v>20</v>
      </c>
      <c r="I1068" s="77">
        <f>STOCK[[#This Row],[Precio Venta Ideal (x1.5)]]</f>
        <v>15.885</v>
      </c>
      <c r="J1068" s="92">
        <v>1</v>
      </c>
      <c r="K1068" s="92">
        <f>SUMIFS(VENTAS[Cantidad],VENTAS[Código del producto Vendido],STOCK[[#This Row],[Code]])</f>
        <v>1</v>
      </c>
      <c r="L1068" s="92">
        <f>STOCK[[#This Row],[Entradas]]-STOCK[[#This Row],[Salidas]]</f>
        <v>0</v>
      </c>
      <c r="M1068" s="77">
        <f>STOCK[[#This Row],[Precio Final]]*10%</f>
        <v>2</v>
      </c>
      <c r="N1068" s="77">
        <v>0</v>
      </c>
      <c r="O1068" s="77">
        <v>0</v>
      </c>
      <c r="P1068" s="77">
        <v>7.99</v>
      </c>
      <c r="Q1068" s="92">
        <v>0</v>
      </c>
      <c r="R1068" s="77">
        <v>0</v>
      </c>
      <c r="S1068" s="77">
        <v>0.6</v>
      </c>
      <c r="T1068" s="76">
        <f>STOCK[[#This Row],[Costo Unitario (USD)]]+STOCK[[#This Row],[Costo Envío (USD)]]+STOCK[[#This Row],[Comisión 10%]]</f>
        <v>10.59</v>
      </c>
      <c r="U1068" s="77">
        <f>STOCK[[#This Row],[Costo total]]*1.5</f>
        <v>15.885</v>
      </c>
      <c r="V1068" s="77">
        <v>20</v>
      </c>
      <c r="W1068" s="77">
        <f>STOCK[[#This Row],[Precio Final]]-STOCK[[#This Row],[Costo total]]</f>
        <v>9.41</v>
      </c>
      <c r="X1068" s="77">
        <f>STOCK[[#This Row],[Ganancia Unitaria]]*STOCK[[#This Row],[Salidas]]</f>
        <v>9.41</v>
      </c>
      <c r="Y1068" s="77" t="s">
        <v>2224</v>
      </c>
      <c r="AA1068" s="77">
        <f>STOCK[[#This Row],[Costo total]]*STOCK[[#This Row],[Entradas]]</f>
        <v>10.59</v>
      </c>
      <c r="AB1068" s="77">
        <f>STOCK[[#This Row],[Stock Actual]]*STOCK[[#This Row],[Costo total]]</f>
        <v>0</v>
      </c>
    </row>
    <row r="1069" s="76" customFormat="1" ht="50" hidden="1" customHeight="1" spans="1:28">
      <c r="A1069" s="76" t="s">
        <v>2225</v>
      </c>
      <c r="B1069" s="6"/>
      <c r="C1069" s="76" t="s">
        <v>30</v>
      </c>
      <c r="D1069" s="76" t="s">
        <v>1806</v>
      </c>
      <c r="E1069" s="76" t="s">
        <v>2226</v>
      </c>
      <c r="F1069" s="76" t="s">
        <v>524</v>
      </c>
      <c r="G1069" s="76" t="s">
        <v>1874</v>
      </c>
      <c r="H1069" s="76">
        <f>STOCK[[#This Row],[Precio Final]]</f>
        <v>10</v>
      </c>
      <c r="I1069" s="76">
        <f>STOCK[[#This Row],[Precio Venta Ideal (x1.5)]]</f>
        <v>6.42</v>
      </c>
      <c r="J1069" s="91">
        <v>5</v>
      </c>
      <c r="K1069" s="91">
        <f>SUMIFS(VENTAS[Cantidad],VENTAS[Código del producto Vendido],STOCK[[#This Row],[Code]])</f>
        <v>5</v>
      </c>
      <c r="L1069" s="91">
        <f>STOCK[[#This Row],[Entradas]]-STOCK[[#This Row],[Salidas]]</f>
        <v>0</v>
      </c>
      <c r="M1069" s="76">
        <f>STOCK[[#This Row],[Precio Final]]*10%</f>
        <v>1</v>
      </c>
      <c r="N1069" s="76">
        <v>0</v>
      </c>
      <c r="O1069" s="76">
        <v>0</v>
      </c>
      <c r="P1069" s="76">
        <v>2.68</v>
      </c>
      <c r="Q1069" s="91">
        <v>0</v>
      </c>
      <c r="R1069" s="76">
        <v>0</v>
      </c>
      <c r="S1069" s="76">
        <v>0.6</v>
      </c>
      <c r="T1069" s="76">
        <f>STOCK[[#This Row],[Costo Unitario (USD)]]+STOCK[[#This Row],[Costo Envío (USD)]]+STOCK[[#This Row],[Comisión 10%]]</f>
        <v>4.28</v>
      </c>
      <c r="U1069" s="76">
        <f>STOCK[[#This Row],[Costo total]]*1.5</f>
        <v>6.42</v>
      </c>
      <c r="V1069" s="76">
        <v>10</v>
      </c>
      <c r="W1069" s="76">
        <f>STOCK[[#This Row],[Precio Final]]-STOCK[[#This Row],[Costo total]]</f>
        <v>5.72</v>
      </c>
      <c r="X1069" s="76">
        <f>STOCK[[#This Row],[Ganancia Unitaria]]*STOCK[[#This Row],[Salidas]]</f>
        <v>28.6</v>
      </c>
      <c r="Y1069" s="76" t="s">
        <v>2227</v>
      </c>
      <c r="AA1069" s="76">
        <f>STOCK[[#This Row],[Costo total]]*STOCK[[#This Row],[Entradas]]</f>
        <v>21.4</v>
      </c>
      <c r="AB1069" s="76">
        <f>STOCK[[#This Row],[Stock Actual]]*STOCK[[#This Row],[Costo total]]</f>
        <v>0</v>
      </c>
    </row>
    <row r="1070" s="77" customFormat="1" ht="50" hidden="1" customHeight="1" spans="1:28">
      <c r="A1070" s="77" t="s">
        <v>2228</v>
      </c>
      <c r="B1070" s="6"/>
      <c r="C1070" s="77" t="s">
        <v>30</v>
      </c>
      <c r="D1070" s="77" t="s">
        <v>2116</v>
      </c>
      <c r="E1070" s="77" t="s">
        <v>2229</v>
      </c>
      <c r="F1070" s="77" t="s">
        <v>44</v>
      </c>
      <c r="G1070" s="77" t="s">
        <v>1874</v>
      </c>
      <c r="H1070" s="77">
        <f>STOCK[[#This Row],[Precio Final]]</f>
        <v>25</v>
      </c>
      <c r="I1070" s="77">
        <f>STOCK[[#This Row],[Precio Venta Ideal (x1.5)]]</f>
        <v>22.035</v>
      </c>
      <c r="J1070" s="92">
        <v>1</v>
      </c>
      <c r="K1070" s="92">
        <f>SUMIFS(VENTAS[Cantidad],VENTAS[Código del producto Vendido],STOCK[[#This Row],[Code]])</f>
        <v>1</v>
      </c>
      <c r="L1070" s="92">
        <f>STOCK[[#This Row],[Entradas]]-STOCK[[#This Row],[Salidas]]</f>
        <v>0</v>
      </c>
      <c r="M1070" s="77">
        <f>STOCK[[#This Row],[Precio Final]]*10%</f>
        <v>2.5</v>
      </c>
      <c r="N1070" s="77">
        <v>0</v>
      </c>
      <c r="O1070" s="77">
        <v>0</v>
      </c>
      <c r="P1070" s="77">
        <v>11.59</v>
      </c>
      <c r="Q1070" s="92">
        <v>0</v>
      </c>
      <c r="R1070" s="77">
        <v>0</v>
      </c>
      <c r="S1070" s="77">
        <v>0.6</v>
      </c>
      <c r="T1070" s="76">
        <f>STOCK[[#This Row],[Costo Unitario (USD)]]+STOCK[[#This Row],[Costo Envío (USD)]]+STOCK[[#This Row],[Comisión 10%]]</f>
        <v>14.69</v>
      </c>
      <c r="U1070" s="77">
        <f>STOCK[[#This Row],[Costo total]]*1.5</f>
        <v>22.035</v>
      </c>
      <c r="V1070" s="77">
        <v>25</v>
      </c>
      <c r="W1070" s="77">
        <f>STOCK[[#This Row],[Precio Final]]-STOCK[[#This Row],[Costo total]]</f>
        <v>10.31</v>
      </c>
      <c r="X1070" s="77">
        <f>STOCK[[#This Row],[Ganancia Unitaria]]*STOCK[[#This Row],[Salidas]]</f>
        <v>10.31</v>
      </c>
      <c r="Y1070" s="77" t="s">
        <v>2230</v>
      </c>
      <c r="AA1070" s="77">
        <f>STOCK[[#This Row],[Costo total]]*STOCK[[#This Row],[Entradas]]</f>
        <v>14.69</v>
      </c>
      <c r="AB1070" s="77">
        <f>STOCK[[#This Row],[Stock Actual]]*STOCK[[#This Row],[Costo total]]</f>
        <v>0</v>
      </c>
    </row>
    <row r="1071" s="76" customFormat="1" ht="50" hidden="1" customHeight="1" spans="1:28">
      <c r="A1071" s="76" t="s">
        <v>2231</v>
      </c>
      <c r="B1071" s="6"/>
      <c r="C1071" s="76" t="s">
        <v>30</v>
      </c>
      <c r="D1071" s="76" t="s">
        <v>2116</v>
      </c>
      <c r="E1071" s="76" t="s">
        <v>2232</v>
      </c>
      <c r="F1071" s="76" t="s">
        <v>47</v>
      </c>
      <c r="G1071" s="76" t="s">
        <v>1874</v>
      </c>
      <c r="H1071" s="76">
        <f>STOCK[[#This Row],[Precio Final]]</f>
        <v>25</v>
      </c>
      <c r="I1071" s="76">
        <f>STOCK[[#This Row],[Precio Venta Ideal (x1.5)]]</f>
        <v>22.035</v>
      </c>
      <c r="J1071" s="91">
        <v>3</v>
      </c>
      <c r="K1071" s="91">
        <f>SUMIFS(VENTAS[Cantidad],VENTAS[Código del producto Vendido],STOCK[[#This Row],[Code]])</f>
        <v>3</v>
      </c>
      <c r="L1071" s="91">
        <f>STOCK[[#This Row],[Entradas]]-STOCK[[#This Row],[Salidas]]</f>
        <v>0</v>
      </c>
      <c r="M1071" s="76">
        <f>STOCK[[#This Row],[Precio Final]]*10%</f>
        <v>2.5</v>
      </c>
      <c r="N1071" s="76">
        <v>0</v>
      </c>
      <c r="O1071" s="76">
        <v>0</v>
      </c>
      <c r="P1071" s="76">
        <v>11.59</v>
      </c>
      <c r="Q1071" s="91">
        <v>0</v>
      </c>
      <c r="R1071" s="76">
        <v>0</v>
      </c>
      <c r="S1071" s="76">
        <v>0.6</v>
      </c>
      <c r="T1071" s="76">
        <f>STOCK[[#This Row],[Costo Unitario (USD)]]+STOCK[[#This Row],[Costo Envío (USD)]]+STOCK[[#This Row],[Comisión 10%]]</f>
        <v>14.69</v>
      </c>
      <c r="U1071" s="76">
        <f>STOCK[[#This Row],[Costo total]]*1.5</f>
        <v>22.035</v>
      </c>
      <c r="V1071" s="76">
        <v>25</v>
      </c>
      <c r="W1071" s="76">
        <f>STOCK[[#This Row],[Precio Final]]-STOCK[[#This Row],[Costo total]]</f>
        <v>10.31</v>
      </c>
      <c r="X1071" s="76">
        <f>STOCK[[#This Row],[Ganancia Unitaria]]*STOCK[[#This Row],[Salidas]]</f>
        <v>30.93</v>
      </c>
      <c r="Y1071" s="76" t="s">
        <v>2233</v>
      </c>
      <c r="AA1071" s="76">
        <f>STOCK[[#This Row],[Costo total]]*STOCK[[#This Row],[Entradas]]</f>
        <v>44.07</v>
      </c>
      <c r="AB1071" s="76">
        <f>STOCK[[#This Row],[Stock Actual]]*STOCK[[#This Row],[Costo total]]</f>
        <v>0</v>
      </c>
    </row>
    <row r="1072" s="77" customFormat="1" ht="50" hidden="1" customHeight="1" spans="1:28">
      <c r="A1072" s="77" t="s">
        <v>2234</v>
      </c>
      <c r="B1072" s="6"/>
      <c r="C1072" s="77" t="s">
        <v>30</v>
      </c>
      <c r="D1072" s="77" t="s">
        <v>36</v>
      </c>
      <c r="E1072" s="77" t="s">
        <v>2220</v>
      </c>
      <c r="F1072" s="77" t="s">
        <v>2235</v>
      </c>
      <c r="G1072" s="77" t="s">
        <v>1874</v>
      </c>
      <c r="H1072" s="77">
        <f>STOCK[[#This Row],[Precio Final]]</f>
        <v>25</v>
      </c>
      <c r="I1072" s="77">
        <f>STOCK[[#This Row],[Precio Venta Ideal (x1.5)]]</f>
        <v>21.225</v>
      </c>
      <c r="J1072" s="92">
        <v>2</v>
      </c>
      <c r="K1072" s="92">
        <f>SUMIFS(VENTAS[Cantidad],VENTAS[Código del producto Vendido],STOCK[[#This Row],[Code]])</f>
        <v>0</v>
      </c>
      <c r="L1072" s="92">
        <f>STOCK[[#This Row],[Entradas]]-STOCK[[#This Row],[Salidas]]</f>
        <v>2</v>
      </c>
      <c r="M1072" s="77">
        <f>STOCK[[#This Row],[Precio Final]]*10%</f>
        <v>2.5</v>
      </c>
      <c r="N1072" s="77">
        <v>0</v>
      </c>
      <c r="O1072" s="77">
        <v>0</v>
      </c>
      <c r="P1072" s="77">
        <v>11.05</v>
      </c>
      <c r="Q1072" s="92">
        <v>0</v>
      </c>
      <c r="R1072" s="77">
        <v>0</v>
      </c>
      <c r="S1072" s="77">
        <v>0.6</v>
      </c>
      <c r="T1072" s="76">
        <f>STOCK[[#This Row],[Costo Unitario (USD)]]+STOCK[[#This Row],[Costo Envío (USD)]]+STOCK[[#This Row],[Comisión 10%]]</f>
        <v>14.15</v>
      </c>
      <c r="U1072" s="77">
        <f>STOCK[[#This Row],[Costo total]]*1.5</f>
        <v>21.225</v>
      </c>
      <c r="V1072" s="77">
        <v>25</v>
      </c>
      <c r="W1072" s="77">
        <f>STOCK[[#This Row],[Precio Final]]-STOCK[[#This Row],[Costo total]]</f>
        <v>10.85</v>
      </c>
      <c r="X1072" s="77">
        <f>STOCK[[#This Row],[Ganancia Unitaria]]*STOCK[[#This Row],[Salidas]]</f>
        <v>0</v>
      </c>
      <c r="Y1072" s="77" t="s">
        <v>2236</v>
      </c>
      <c r="AA1072" s="77">
        <f>STOCK[[#This Row],[Costo total]]*STOCK[[#This Row],[Entradas]]</f>
        <v>28.3</v>
      </c>
      <c r="AB1072" s="77">
        <f>STOCK[[#This Row],[Stock Actual]]*STOCK[[#This Row],[Costo total]]</f>
        <v>28.3</v>
      </c>
    </row>
    <row r="1073" s="76" customFormat="1" ht="50" hidden="1" customHeight="1" spans="1:28">
      <c r="A1073" s="76" t="s">
        <v>2237</v>
      </c>
      <c r="B1073" s="6"/>
      <c r="C1073" s="76" t="s">
        <v>30</v>
      </c>
      <c r="D1073" s="76" t="s">
        <v>1879</v>
      </c>
      <c r="E1073" s="76" t="s">
        <v>2238</v>
      </c>
      <c r="F1073" s="76" t="s">
        <v>2106</v>
      </c>
      <c r="G1073" s="76" t="s">
        <v>1874</v>
      </c>
      <c r="H1073" s="76">
        <f>STOCK[[#This Row],[Precio Final]]</f>
        <v>25</v>
      </c>
      <c r="I1073" s="76">
        <f>STOCK[[#This Row],[Precio Venta Ideal (x1.5)]]</f>
        <v>20.385</v>
      </c>
      <c r="J1073" s="91">
        <v>5</v>
      </c>
      <c r="K1073" s="91">
        <f>SUMIFS(VENTAS[Cantidad],VENTAS[Código del producto Vendido],STOCK[[#This Row],[Code]])</f>
        <v>5</v>
      </c>
      <c r="L1073" s="91">
        <f>STOCK[[#This Row],[Entradas]]-STOCK[[#This Row],[Salidas]]</f>
        <v>0</v>
      </c>
      <c r="M1073" s="76">
        <f>STOCK[[#This Row],[Precio Final]]*10%</f>
        <v>2.5</v>
      </c>
      <c r="N1073" s="76">
        <v>0</v>
      </c>
      <c r="O1073" s="76">
        <v>0</v>
      </c>
      <c r="P1073" s="76">
        <v>10.49</v>
      </c>
      <c r="Q1073" s="91">
        <v>0</v>
      </c>
      <c r="R1073" s="76">
        <v>0</v>
      </c>
      <c r="S1073" s="76">
        <v>0.6</v>
      </c>
      <c r="T1073" s="76">
        <f>STOCK[[#This Row],[Costo Unitario (USD)]]+STOCK[[#This Row],[Costo Envío (USD)]]+STOCK[[#This Row],[Comisión 10%]]</f>
        <v>13.59</v>
      </c>
      <c r="U1073" s="76">
        <f>STOCK[[#This Row],[Costo total]]*1.5</f>
        <v>20.385</v>
      </c>
      <c r="V1073" s="76">
        <v>25</v>
      </c>
      <c r="W1073" s="76">
        <f>STOCK[[#This Row],[Precio Final]]-STOCK[[#This Row],[Costo total]]</f>
        <v>11.41</v>
      </c>
      <c r="X1073" s="76">
        <f>STOCK[[#This Row],[Ganancia Unitaria]]*STOCK[[#This Row],[Salidas]]</f>
        <v>57.05</v>
      </c>
      <c r="Y1073" s="76" t="s">
        <v>2239</v>
      </c>
      <c r="AA1073" s="76">
        <f>STOCK[[#This Row],[Costo total]]*STOCK[[#This Row],[Entradas]]</f>
        <v>67.95</v>
      </c>
      <c r="AB1073" s="76">
        <f>STOCK[[#This Row],[Stock Actual]]*STOCK[[#This Row],[Costo total]]</f>
        <v>0</v>
      </c>
    </row>
    <row r="1074" s="77" customFormat="1" ht="50" hidden="1" customHeight="1" spans="1:28">
      <c r="A1074" s="77" t="s">
        <v>2240</v>
      </c>
      <c r="B1074" s="6"/>
      <c r="C1074" s="77" t="s">
        <v>30</v>
      </c>
      <c r="D1074" s="77" t="s">
        <v>36</v>
      </c>
      <c r="E1074" s="77" t="s">
        <v>2122</v>
      </c>
      <c r="F1074" s="77" t="s">
        <v>47</v>
      </c>
      <c r="G1074" s="77" t="s">
        <v>1874</v>
      </c>
      <c r="H1074" s="77">
        <f>STOCK[[#This Row],[Precio Final]]</f>
        <v>25</v>
      </c>
      <c r="I1074" s="77">
        <f>STOCK[[#This Row],[Precio Venta Ideal (x1.5)]]</f>
        <v>19.935</v>
      </c>
      <c r="J1074" s="92">
        <v>2</v>
      </c>
      <c r="K1074" s="92">
        <f>SUMIFS(VENTAS[Cantidad],VENTAS[Código del producto Vendido],STOCK[[#This Row],[Code]])</f>
        <v>2</v>
      </c>
      <c r="L1074" s="92">
        <f>STOCK[[#This Row],[Entradas]]-STOCK[[#This Row],[Salidas]]</f>
        <v>0</v>
      </c>
      <c r="M1074" s="77">
        <f>STOCK[[#This Row],[Precio Final]]*10%</f>
        <v>2.5</v>
      </c>
      <c r="N1074" s="77">
        <v>0</v>
      </c>
      <c r="O1074" s="77">
        <v>0</v>
      </c>
      <c r="P1074" s="77">
        <v>10.19</v>
      </c>
      <c r="Q1074" s="92">
        <v>0</v>
      </c>
      <c r="R1074" s="77">
        <v>0</v>
      </c>
      <c r="S1074" s="77">
        <v>0.6</v>
      </c>
      <c r="T1074" s="76">
        <f>STOCK[[#This Row],[Costo Unitario (USD)]]+STOCK[[#This Row],[Costo Envío (USD)]]+STOCK[[#This Row],[Comisión 10%]]</f>
        <v>13.29</v>
      </c>
      <c r="U1074" s="77">
        <f>STOCK[[#This Row],[Costo total]]*1.5</f>
        <v>19.935</v>
      </c>
      <c r="V1074" s="77">
        <v>25</v>
      </c>
      <c r="W1074" s="77">
        <f>STOCK[[#This Row],[Precio Final]]-STOCK[[#This Row],[Costo total]]</f>
        <v>11.71</v>
      </c>
      <c r="X1074" s="77">
        <f>STOCK[[#This Row],[Ganancia Unitaria]]*STOCK[[#This Row],[Salidas]]</f>
        <v>23.42</v>
      </c>
      <c r="Y1074" s="77" t="s">
        <v>2241</v>
      </c>
      <c r="AA1074" s="77">
        <f>STOCK[[#This Row],[Costo total]]*STOCK[[#This Row],[Entradas]]</f>
        <v>26.58</v>
      </c>
      <c r="AB1074" s="77">
        <f>STOCK[[#This Row],[Stock Actual]]*STOCK[[#This Row],[Costo total]]</f>
        <v>0</v>
      </c>
    </row>
    <row r="1075" s="76" customFormat="1" ht="50" hidden="1" customHeight="1" spans="1:28">
      <c r="A1075" s="76" t="s">
        <v>2242</v>
      </c>
      <c r="B1075" s="6"/>
      <c r="C1075" s="76" t="s">
        <v>30</v>
      </c>
      <c r="D1075" s="77" t="s">
        <v>36</v>
      </c>
      <c r="E1075" s="76" t="s">
        <v>2243</v>
      </c>
      <c r="F1075" s="76" t="s">
        <v>60</v>
      </c>
      <c r="G1075" s="76" t="s">
        <v>1874</v>
      </c>
      <c r="H1075" s="76">
        <f>STOCK[[#This Row],[Precio Final]]</f>
        <v>15</v>
      </c>
      <c r="I1075" s="76">
        <f>STOCK[[#This Row],[Precio Venta Ideal (x1.5)]]</f>
        <v>9.285</v>
      </c>
      <c r="J1075" s="91">
        <v>2</v>
      </c>
      <c r="K1075" s="91">
        <f>SUMIFS(VENTAS[Cantidad],VENTAS[Código del producto Vendido],STOCK[[#This Row],[Code]])</f>
        <v>0</v>
      </c>
      <c r="L1075" s="91">
        <f>STOCK[[#This Row],[Entradas]]-STOCK[[#This Row],[Salidas]]</f>
        <v>2</v>
      </c>
      <c r="M1075" s="76">
        <f>STOCK[[#This Row],[Precio Final]]*10%</f>
        <v>1.5</v>
      </c>
      <c r="N1075" s="76">
        <v>0</v>
      </c>
      <c r="O1075" s="76">
        <v>0</v>
      </c>
      <c r="P1075" s="76">
        <v>4.09</v>
      </c>
      <c r="Q1075" s="91">
        <v>0</v>
      </c>
      <c r="R1075" s="76">
        <v>0</v>
      </c>
      <c r="S1075" s="76">
        <v>0.6</v>
      </c>
      <c r="T1075" s="76">
        <f>STOCK[[#This Row],[Costo Unitario (USD)]]+STOCK[[#This Row],[Costo Envío (USD)]]+STOCK[[#This Row],[Comisión 10%]]</f>
        <v>6.19</v>
      </c>
      <c r="U1075" s="76">
        <f>STOCK[[#This Row],[Costo total]]*1.5</f>
        <v>9.285</v>
      </c>
      <c r="V1075" s="76">
        <v>15</v>
      </c>
      <c r="W1075" s="76">
        <f>STOCK[[#This Row],[Precio Final]]-STOCK[[#This Row],[Costo total]]</f>
        <v>8.81</v>
      </c>
      <c r="X1075" s="76">
        <f>STOCK[[#This Row],[Ganancia Unitaria]]*STOCK[[#This Row],[Salidas]]</f>
        <v>0</v>
      </c>
      <c r="Y1075" s="76" t="s">
        <v>2244</v>
      </c>
      <c r="AA1075" s="76">
        <f>STOCK[[#This Row],[Costo total]]*STOCK[[#This Row],[Entradas]]</f>
        <v>12.38</v>
      </c>
      <c r="AB1075" s="76">
        <f>STOCK[[#This Row],[Stock Actual]]*STOCK[[#This Row],[Costo total]]</f>
        <v>12.38</v>
      </c>
    </row>
    <row r="1076" s="77" customFormat="1" ht="50" hidden="1" customHeight="1" spans="1:28">
      <c r="A1076" s="77" t="s">
        <v>2245</v>
      </c>
      <c r="B1076" s="6"/>
      <c r="C1076" s="77" t="s">
        <v>30</v>
      </c>
      <c r="D1076" s="77" t="s">
        <v>36</v>
      </c>
      <c r="E1076" s="77" t="s">
        <v>2246</v>
      </c>
      <c r="F1076" s="77" t="s">
        <v>995</v>
      </c>
      <c r="G1076" s="77" t="s">
        <v>1874</v>
      </c>
      <c r="H1076" s="77">
        <f>STOCK[[#This Row],[Precio Final]]</f>
        <v>20</v>
      </c>
      <c r="I1076" s="77">
        <f>STOCK[[#This Row],[Precio Venta Ideal (x1.5)]]</f>
        <v>11.985</v>
      </c>
      <c r="J1076" s="92">
        <v>1</v>
      </c>
      <c r="K1076" s="92">
        <f>SUMIFS(VENTAS[Cantidad],VENTAS[Código del producto Vendido],STOCK[[#This Row],[Code]])</f>
        <v>1</v>
      </c>
      <c r="L1076" s="92">
        <f>STOCK[[#This Row],[Entradas]]-STOCK[[#This Row],[Salidas]]</f>
        <v>0</v>
      </c>
      <c r="M1076" s="77">
        <f>STOCK[[#This Row],[Precio Final]]*10%</f>
        <v>2</v>
      </c>
      <c r="N1076" s="77">
        <v>0</v>
      </c>
      <c r="O1076" s="77">
        <v>0</v>
      </c>
      <c r="P1076" s="77">
        <v>5.39</v>
      </c>
      <c r="Q1076" s="92">
        <v>0</v>
      </c>
      <c r="R1076" s="77">
        <v>0</v>
      </c>
      <c r="S1076" s="77">
        <v>0.6</v>
      </c>
      <c r="T1076" s="76">
        <f>STOCK[[#This Row],[Costo Unitario (USD)]]+STOCK[[#This Row],[Costo Envío (USD)]]+STOCK[[#This Row],[Comisión 10%]]</f>
        <v>7.99</v>
      </c>
      <c r="U1076" s="77">
        <f>STOCK[[#This Row],[Costo total]]*1.5</f>
        <v>11.985</v>
      </c>
      <c r="V1076" s="77">
        <v>20</v>
      </c>
      <c r="W1076" s="77">
        <f>STOCK[[#This Row],[Precio Final]]-STOCK[[#This Row],[Costo total]]</f>
        <v>12.01</v>
      </c>
      <c r="X1076" s="77">
        <f>STOCK[[#This Row],[Ganancia Unitaria]]*STOCK[[#This Row],[Salidas]]</f>
        <v>12.01</v>
      </c>
      <c r="Y1076" s="77" t="s">
        <v>2247</v>
      </c>
      <c r="AA1076" s="77">
        <f>STOCK[[#This Row],[Costo total]]*STOCK[[#This Row],[Entradas]]</f>
        <v>7.99</v>
      </c>
      <c r="AB1076" s="77">
        <f>STOCK[[#This Row],[Stock Actual]]*STOCK[[#This Row],[Costo total]]</f>
        <v>0</v>
      </c>
    </row>
    <row r="1077" s="76" customFormat="1" ht="50" hidden="1" customHeight="1" spans="1:28">
      <c r="A1077" s="76" t="s">
        <v>2248</v>
      </c>
      <c r="B1077" s="6"/>
      <c r="C1077" s="76" t="s">
        <v>30</v>
      </c>
      <c r="D1077" s="77" t="s">
        <v>36</v>
      </c>
      <c r="E1077" s="76" t="s">
        <v>2249</v>
      </c>
      <c r="F1077" s="76" t="s">
        <v>47</v>
      </c>
      <c r="G1077" s="76" t="s">
        <v>1874</v>
      </c>
      <c r="H1077" s="76">
        <f>STOCK[[#This Row],[Precio Final]]</f>
        <v>20</v>
      </c>
      <c r="I1077" s="76">
        <f>STOCK[[#This Row],[Precio Venta Ideal (x1.5)]]</f>
        <v>15.99</v>
      </c>
      <c r="J1077" s="91">
        <v>1</v>
      </c>
      <c r="K1077" s="91">
        <f>SUMIFS(VENTAS[Cantidad],VENTAS[Código del producto Vendido],STOCK[[#This Row],[Code]])</f>
        <v>1</v>
      </c>
      <c r="L1077" s="91">
        <f>STOCK[[#This Row],[Entradas]]-STOCK[[#This Row],[Salidas]]</f>
        <v>0</v>
      </c>
      <c r="M1077" s="76">
        <f>STOCK[[#This Row],[Precio Final]]*10%</f>
        <v>2</v>
      </c>
      <c r="N1077" s="76">
        <v>0</v>
      </c>
      <c r="O1077" s="76">
        <v>0</v>
      </c>
      <c r="P1077" s="76">
        <v>8.06</v>
      </c>
      <c r="Q1077" s="91">
        <v>0</v>
      </c>
      <c r="R1077" s="76">
        <v>0</v>
      </c>
      <c r="S1077" s="76">
        <v>0.6</v>
      </c>
      <c r="T1077" s="76">
        <f>STOCK[[#This Row],[Costo Unitario (USD)]]+STOCK[[#This Row],[Costo Envío (USD)]]+STOCK[[#This Row],[Comisión 10%]]</f>
        <v>10.66</v>
      </c>
      <c r="U1077" s="76">
        <f>STOCK[[#This Row],[Costo total]]*1.5</f>
        <v>15.99</v>
      </c>
      <c r="V1077" s="76">
        <v>20</v>
      </c>
      <c r="W1077" s="76">
        <f>STOCK[[#This Row],[Precio Final]]-STOCK[[#This Row],[Costo total]]</f>
        <v>9.34</v>
      </c>
      <c r="X1077" s="76">
        <f>STOCK[[#This Row],[Ganancia Unitaria]]*STOCK[[#This Row],[Salidas]]</f>
        <v>9.34</v>
      </c>
      <c r="Y1077" s="76" t="s">
        <v>2250</v>
      </c>
      <c r="AA1077" s="76">
        <f>STOCK[[#This Row],[Costo total]]*STOCK[[#This Row],[Entradas]]</f>
        <v>10.66</v>
      </c>
      <c r="AB1077" s="76">
        <f>STOCK[[#This Row],[Stock Actual]]*STOCK[[#This Row],[Costo total]]</f>
        <v>0</v>
      </c>
    </row>
    <row r="1078" s="77" customFormat="1" ht="50" hidden="1" customHeight="1" spans="1:28">
      <c r="A1078" s="77" t="s">
        <v>2251</v>
      </c>
      <c r="B1078" s="6"/>
      <c r="C1078" s="77" t="s">
        <v>30</v>
      </c>
      <c r="D1078" s="77" t="s">
        <v>2125</v>
      </c>
      <c r="E1078" s="77" t="s">
        <v>2249</v>
      </c>
      <c r="F1078" s="77" t="s">
        <v>60</v>
      </c>
      <c r="G1078" s="77" t="s">
        <v>1874</v>
      </c>
      <c r="H1078" s="77">
        <f>STOCK[[#This Row],[Precio Final]]</f>
        <v>20</v>
      </c>
      <c r="I1078" s="77">
        <f>STOCK[[#This Row],[Precio Venta Ideal (x1.5)]]</f>
        <v>15.99</v>
      </c>
      <c r="J1078" s="92">
        <v>1</v>
      </c>
      <c r="K1078" s="92">
        <f>SUMIFS(VENTAS[Cantidad],VENTAS[Código del producto Vendido],STOCK[[#This Row],[Code]])</f>
        <v>1</v>
      </c>
      <c r="L1078" s="92">
        <f>STOCK[[#This Row],[Entradas]]-STOCK[[#This Row],[Salidas]]</f>
        <v>0</v>
      </c>
      <c r="M1078" s="77">
        <f>STOCK[[#This Row],[Precio Final]]*10%</f>
        <v>2</v>
      </c>
      <c r="N1078" s="77">
        <v>0</v>
      </c>
      <c r="O1078" s="77">
        <v>0</v>
      </c>
      <c r="P1078" s="77">
        <v>8.06</v>
      </c>
      <c r="Q1078" s="92">
        <v>0</v>
      </c>
      <c r="R1078" s="77">
        <v>0</v>
      </c>
      <c r="S1078" s="77">
        <v>0.6</v>
      </c>
      <c r="T1078" s="76">
        <f>STOCK[[#This Row],[Costo Unitario (USD)]]+STOCK[[#This Row],[Costo Envío (USD)]]+STOCK[[#This Row],[Comisión 10%]]</f>
        <v>10.66</v>
      </c>
      <c r="U1078" s="77">
        <f>STOCK[[#This Row],[Costo total]]*1.5</f>
        <v>15.99</v>
      </c>
      <c r="V1078" s="77">
        <v>20</v>
      </c>
      <c r="W1078" s="77">
        <f>STOCK[[#This Row],[Precio Final]]-STOCK[[#This Row],[Costo total]]</f>
        <v>9.34</v>
      </c>
      <c r="X1078" s="77">
        <f>STOCK[[#This Row],[Ganancia Unitaria]]*STOCK[[#This Row],[Salidas]]</f>
        <v>9.34</v>
      </c>
      <c r="Y1078" s="77" t="s">
        <v>2252</v>
      </c>
      <c r="AA1078" s="77">
        <f>STOCK[[#This Row],[Costo total]]*STOCK[[#This Row],[Entradas]]</f>
        <v>10.66</v>
      </c>
      <c r="AB1078" s="77">
        <f>STOCK[[#This Row],[Stock Actual]]*STOCK[[#This Row],[Costo total]]</f>
        <v>0</v>
      </c>
    </row>
    <row r="1079" s="76" customFormat="1" ht="50" hidden="1" customHeight="1" spans="1:28">
      <c r="A1079" s="76" t="s">
        <v>2253</v>
      </c>
      <c r="B1079" s="6"/>
      <c r="C1079" s="76" t="s">
        <v>30</v>
      </c>
      <c r="D1079" s="76" t="s">
        <v>42</v>
      </c>
      <c r="E1079" s="76" t="s">
        <v>2210</v>
      </c>
      <c r="F1079" s="76" t="s">
        <v>38</v>
      </c>
      <c r="G1079" s="76" t="s">
        <v>1874</v>
      </c>
      <c r="H1079" s="76">
        <f>STOCK[[#This Row],[Precio Final]]</f>
        <v>35</v>
      </c>
      <c r="I1079" s="76">
        <f>STOCK[[#This Row],[Precio Venta Ideal (x1.5)]]</f>
        <v>28.335</v>
      </c>
      <c r="J1079" s="91">
        <v>2</v>
      </c>
      <c r="K1079" s="91">
        <f>SUMIFS(VENTAS[Cantidad],VENTAS[Código del producto Vendido],STOCK[[#This Row],[Code]])</f>
        <v>1</v>
      </c>
      <c r="L1079" s="91">
        <f>STOCK[[#This Row],[Entradas]]-STOCK[[#This Row],[Salidas]]</f>
        <v>1</v>
      </c>
      <c r="M1079" s="76">
        <f>STOCK[[#This Row],[Precio Final]]*10%</f>
        <v>3.5</v>
      </c>
      <c r="N1079" s="76">
        <v>0</v>
      </c>
      <c r="O1079" s="76">
        <v>0</v>
      </c>
      <c r="P1079" s="76">
        <v>14.79</v>
      </c>
      <c r="Q1079" s="91">
        <v>0</v>
      </c>
      <c r="R1079" s="76">
        <v>0</v>
      </c>
      <c r="S1079" s="76">
        <v>0.6</v>
      </c>
      <c r="T1079" s="76">
        <f>STOCK[[#This Row],[Costo Unitario (USD)]]+STOCK[[#This Row],[Costo Envío (USD)]]+STOCK[[#This Row],[Comisión 10%]]</f>
        <v>18.89</v>
      </c>
      <c r="U1079" s="76">
        <f>STOCK[[#This Row],[Costo total]]*1.5</f>
        <v>28.335</v>
      </c>
      <c r="V1079" s="76">
        <v>35</v>
      </c>
      <c r="W1079" s="76">
        <f>STOCK[[#This Row],[Precio Final]]-STOCK[[#This Row],[Costo total]]</f>
        <v>16.11</v>
      </c>
      <c r="X1079" s="76">
        <f>STOCK[[#This Row],[Ganancia Unitaria]]*STOCK[[#This Row],[Salidas]]</f>
        <v>16.11</v>
      </c>
      <c r="Y1079" s="76" t="s">
        <v>2254</v>
      </c>
      <c r="AA1079" s="76">
        <f>STOCK[[#This Row],[Costo total]]*STOCK[[#This Row],[Entradas]]</f>
        <v>37.78</v>
      </c>
      <c r="AB1079" s="76">
        <f>STOCK[[#This Row],[Stock Actual]]*STOCK[[#This Row],[Costo total]]</f>
        <v>18.89</v>
      </c>
    </row>
    <row r="1080" s="77" customFormat="1" ht="50" hidden="1" customHeight="1" spans="1:28">
      <c r="A1080" s="77" t="s">
        <v>2255</v>
      </c>
      <c r="B1080" s="6"/>
      <c r="C1080" s="77" t="s">
        <v>30</v>
      </c>
      <c r="D1080" s="77" t="s">
        <v>42</v>
      </c>
      <c r="E1080" s="77" t="s">
        <v>2256</v>
      </c>
      <c r="F1080" s="77" t="s">
        <v>47</v>
      </c>
      <c r="G1080" s="77" t="s">
        <v>1874</v>
      </c>
      <c r="H1080" s="77">
        <f>STOCK[[#This Row],[Precio Final]]</f>
        <v>30</v>
      </c>
      <c r="I1080" s="77">
        <f>STOCK[[#This Row],[Precio Venta Ideal (x1.5)]]</f>
        <v>22.665</v>
      </c>
      <c r="J1080" s="92">
        <v>0</v>
      </c>
      <c r="K1080" s="92">
        <f>SUMIFS(VENTAS[Cantidad],VENTAS[Código del producto Vendido],STOCK[[#This Row],[Code]])</f>
        <v>0</v>
      </c>
      <c r="L1080" s="92">
        <f>STOCK[[#This Row],[Entradas]]-STOCK[[#This Row],[Salidas]]</f>
        <v>0</v>
      </c>
      <c r="M1080" s="77">
        <f>STOCK[[#This Row],[Precio Final]]*10%</f>
        <v>3</v>
      </c>
      <c r="N1080" s="77">
        <v>0</v>
      </c>
      <c r="O1080" s="77">
        <v>0</v>
      </c>
      <c r="P1080" s="77">
        <v>11.51</v>
      </c>
      <c r="Q1080" s="92">
        <v>0</v>
      </c>
      <c r="R1080" s="77">
        <v>0</v>
      </c>
      <c r="S1080" s="77">
        <v>0.6</v>
      </c>
      <c r="T1080" s="76">
        <f>STOCK[[#This Row],[Costo Unitario (USD)]]+STOCK[[#This Row],[Costo Envío (USD)]]+STOCK[[#This Row],[Comisión 10%]]</f>
        <v>15.11</v>
      </c>
      <c r="U1080" s="77">
        <f>STOCK[[#This Row],[Costo total]]*1.5</f>
        <v>22.665</v>
      </c>
      <c r="V1080" s="77">
        <v>30</v>
      </c>
      <c r="W1080" s="77">
        <f>STOCK[[#This Row],[Precio Final]]-STOCK[[#This Row],[Costo total]]</f>
        <v>14.89</v>
      </c>
      <c r="X1080" s="77">
        <f>STOCK[[#This Row],[Ganancia Unitaria]]*STOCK[[#This Row],[Salidas]]</f>
        <v>0</v>
      </c>
      <c r="Y1080" s="77" t="s">
        <v>2257</v>
      </c>
      <c r="AA1080" s="77">
        <f>STOCK[[#This Row],[Costo total]]*STOCK[[#This Row],[Entradas]]</f>
        <v>0</v>
      </c>
      <c r="AB1080" s="77">
        <f>STOCK[[#This Row],[Stock Actual]]*STOCK[[#This Row],[Costo total]]</f>
        <v>0</v>
      </c>
    </row>
    <row r="1081" s="76" customFormat="1" ht="50" hidden="1" customHeight="1" spans="1:28">
      <c r="A1081" s="76" t="s">
        <v>2258</v>
      </c>
      <c r="B1081" s="6"/>
      <c r="C1081" s="76" t="s">
        <v>30</v>
      </c>
      <c r="D1081" s="76" t="s">
        <v>42</v>
      </c>
      <c r="E1081" s="76" t="s">
        <v>2256</v>
      </c>
      <c r="F1081" s="76" t="s">
        <v>44</v>
      </c>
      <c r="G1081" s="76" t="s">
        <v>1874</v>
      </c>
      <c r="H1081" s="76">
        <f>STOCK[[#This Row],[Precio Final]]</f>
        <v>30</v>
      </c>
      <c r="I1081" s="76">
        <f>STOCK[[#This Row],[Precio Venta Ideal (x1.5)]]</f>
        <v>22.665</v>
      </c>
      <c r="J1081" s="91">
        <v>0</v>
      </c>
      <c r="K1081" s="91">
        <f>SUMIFS(VENTAS[Cantidad],VENTAS[Código del producto Vendido],STOCK[[#This Row],[Code]])</f>
        <v>0</v>
      </c>
      <c r="L1081" s="91">
        <f>STOCK[[#This Row],[Entradas]]-STOCK[[#This Row],[Salidas]]</f>
        <v>0</v>
      </c>
      <c r="M1081" s="76">
        <f>STOCK[[#This Row],[Precio Final]]*10%</f>
        <v>3</v>
      </c>
      <c r="N1081" s="76">
        <v>0</v>
      </c>
      <c r="O1081" s="76">
        <v>0</v>
      </c>
      <c r="P1081" s="76">
        <v>11.51</v>
      </c>
      <c r="Q1081" s="91">
        <v>0</v>
      </c>
      <c r="R1081" s="76">
        <v>0</v>
      </c>
      <c r="S1081" s="76">
        <v>0.6</v>
      </c>
      <c r="T1081" s="76">
        <f>STOCK[[#This Row],[Costo Unitario (USD)]]+STOCK[[#This Row],[Costo Envío (USD)]]+STOCK[[#This Row],[Comisión 10%]]</f>
        <v>15.11</v>
      </c>
      <c r="U1081" s="76">
        <f>STOCK[[#This Row],[Costo total]]*1.5</f>
        <v>22.665</v>
      </c>
      <c r="V1081" s="76">
        <v>30</v>
      </c>
      <c r="W1081" s="76">
        <f>STOCK[[#This Row],[Precio Final]]-STOCK[[#This Row],[Costo total]]</f>
        <v>14.89</v>
      </c>
      <c r="X1081" s="76">
        <f>STOCK[[#This Row],[Ganancia Unitaria]]*STOCK[[#This Row],[Salidas]]</f>
        <v>0</v>
      </c>
      <c r="Y1081" s="76" t="s">
        <v>2259</v>
      </c>
      <c r="AA1081" s="76">
        <f>STOCK[[#This Row],[Costo total]]*STOCK[[#This Row],[Entradas]]</f>
        <v>0</v>
      </c>
      <c r="AB1081" s="76">
        <f>STOCK[[#This Row],[Stock Actual]]*STOCK[[#This Row],[Costo total]]</f>
        <v>0</v>
      </c>
    </row>
    <row r="1082" s="77" customFormat="1" ht="50" hidden="1" customHeight="1" spans="1:28">
      <c r="A1082" s="77" t="s">
        <v>2260</v>
      </c>
      <c r="B1082" s="6"/>
      <c r="C1082" s="77" t="s">
        <v>30</v>
      </c>
      <c r="D1082" s="77" t="s">
        <v>2261</v>
      </c>
      <c r="E1082" s="77" t="s">
        <v>2262</v>
      </c>
      <c r="F1082" s="77" t="s">
        <v>40</v>
      </c>
      <c r="G1082" s="77" t="s">
        <v>1874</v>
      </c>
      <c r="H1082" s="77">
        <f>STOCK[[#This Row],[Precio Final]]</f>
        <v>20</v>
      </c>
      <c r="I1082" s="77">
        <f>STOCK[[#This Row],[Precio Venta Ideal (x1.5)]]</f>
        <v>15.285</v>
      </c>
      <c r="J1082" s="92">
        <v>2</v>
      </c>
      <c r="K1082" s="92">
        <f>SUMIFS(VENTAS[Cantidad],VENTAS[Código del producto Vendido],STOCK[[#This Row],[Code]])</f>
        <v>0</v>
      </c>
      <c r="L1082" s="92">
        <f>STOCK[[#This Row],[Entradas]]-STOCK[[#This Row],[Salidas]]</f>
        <v>2</v>
      </c>
      <c r="M1082" s="77">
        <f>STOCK[[#This Row],[Precio Final]]*10%</f>
        <v>2</v>
      </c>
      <c r="N1082" s="77">
        <v>0</v>
      </c>
      <c r="O1082" s="77">
        <v>0</v>
      </c>
      <c r="P1082" s="77">
        <v>7.59</v>
      </c>
      <c r="Q1082" s="92">
        <v>0</v>
      </c>
      <c r="R1082" s="77">
        <v>0</v>
      </c>
      <c r="S1082" s="77">
        <v>0.6</v>
      </c>
      <c r="T1082" s="76">
        <f>STOCK[[#This Row],[Costo Unitario (USD)]]+STOCK[[#This Row],[Costo Envío (USD)]]+STOCK[[#This Row],[Comisión 10%]]</f>
        <v>10.19</v>
      </c>
      <c r="U1082" s="77">
        <f>STOCK[[#This Row],[Costo total]]*1.5</f>
        <v>15.285</v>
      </c>
      <c r="V1082" s="77">
        <v>20</v>
      </c>
      <c r="W1082" s="77">
        <f>STOCK[[#This Row],[Precio Final]]-STOCK[[#This Row],[Costo total]]</f>
        <v>9.81</v>
      </c>
      <c r="X1082" s="77">
        <f>STOCK[[#This Row],[Ganancia Unitaria]]*STOCK[[#This Row],[Salidas]]</f>
        <v>0</v>
      </c>
      <c r="Y1082" s="77" t="s">
        <v>2263</v>
      </c>
      <c r="AA1082" s="77">
        <f>STOCK[[#This Row],[Costo total]]*STOCK[[#This Row],[Entradas]]</f>
        <v>20.38</v>
      </c>
      <c r="AB1082" s="77">
        <f>STOCK[[#This Row],[Stock Actual]]*STOCK[[#This Row],[Costo total]]</f>
        <v>20.38</v>
      </c>
    </row>
    <row r="1083" s="76" customFormat="1" ht="50" hidden="1" customHeight="1" spans="1:28">
      <c r="A1083" s="76" t="s">
        <v>2264</v>
      </c>
      <c r="B1083" s="6"/>
      <c r="C1083" s="76" t="s">
        <v>30</v>
      </c>
      <c r="D1083" s="76" t="s">
        <v>2261</v>
      </c>
      <c r="E1083" s="76" t="s">
        <v>2262</v>
      </c>
      <c r="F1083" s="76" t="s">
        <v>44</v>
      </c>
      <c r="G1083" s="76" t="s">
        <v>1874</v>
      </c>
      <c r="H1083" s="76">
        <f>STOCK[[#This Row],[Precio Final]]</f>
        <v>20</v>
      </c>
      <c r="I1083" s="76">
        <f>STOCK[[#This Row],[Precio Venta Ideal (x1.5)]]</f>
        <v>15.285</v>
      </c>
      <c r="J1083" s="91">
        <v>2</v>
      </c>
      <c r="K1083" s="91">
        <f>SUMIFS(VENTAS[Cantidad],VENTAS[Código del producto Vendido],STOCK[[#This Row],[Code]])</f>
        <v>0</v>
      </c>
      <c r="L1083" s="91">
        <f>STOCK[[#This Row],[Entradas]]-STOCK[[#This Row],[Salidas]]</f>
        <v>2</v>
      </c>
      <c r="M1083" s="76">
        <f>STOCK[[#This Row],[Precio Final]]*10%</f>
        <v>2</v>
      </c>
      <c r="N1083" s="76">
        <v>0</v>
      </c>
      <c r="O1083" s="76">
        <v>0</v>
      </c>
      <c r="P1083" s="76">
        <v>7.59</v>
      </c>
      <c r="Q1083" s="91">
        <v>0</v>
      </c>
      <c r="R1083" s="76">
        <v>0</v>
      </c>
      <c r="S1083" s="76">
        <v>0.6</v>
      </c>
      <c r="T1083" s="76">
        <f>STOCK[[#This Row],[Costo Unitario (USD)]]+STOCK[[#This Row],[Costo Envío (USD)]]+STOCK[[#This Row],[Comisión 10%]]</f>
        <v>10.19</v>
      </c>
      <c r="U1083" s="76">
        <f>STOCK[[#This Row],[Costo total]]*1.5</f>
        <v>15.285</v>
      </c>
      <c r="V1083" s="76">
        <v>20</v>
      </c>
      <c r="W1083" s="76">
        <f>STOCK[[#This Row],[Precio Final]]-STOCK[[#This Row],[Costo total]]</f>
        <v>9.81</v>
      </c>
      <c r="X1083" s="76">
        <f>STOCK[[#This Row],[Ganancia Unitaria]]*STOCK[[#This Row],[Salidas]]</f>
        <v>0</v>
      </c>
      <c r="Y1083" s="76" t="s">
        <v>2265</v>
      </c>
      <c r="AA1083" s="76">
        <f>STOCK[[#This Row],[Costo total]]*STOCK[[#This Row],[Entradas]]</f>
        <v>20.38</v>
      </c>
      <c r="AB1083" s="76">
        <f>STOCK[[#This Row],[Stock Actual]]*STOCK[[#This Row],[Costo total]]</f>
        <v>20.38</v>
      </c>
    </row>
    <row r="1084" s="77" customFormat="1" ht="50" hidden="1" customHeight="1" spans="1:28">
      <c r="A1084" s="77" t="s">
        <v>2266</v>
      </c>
      <c r="B1084" s="6"/>
      <c r="C1084" s="77" t="s">
        <v>30</v>
      </c>
      <c r="D1084" s="77" t="s">
        <v>1210</v>
      </c>
      <c r="E1084" s="77" t="s">
        <v>2262</v>
      </c>
      <c r="F1084" s="77" t="s">
        <v>47</v>
      </c>
      <c r="G1084" s="77" t="s">
        <v>1874</v>
      </c>
      <c r="H1084" s="77">
        <f>STOCK[[#This Row],[Precio Final]]</f>
        <v>20</v>
      </c>
      <c r="I1084" s="77">
        <f>STOCK[[#This Row],[Precio Venta Ideal (x1.5)]]</f>
        <v>15.285</v>
      </c>
      <c r="J1084" s="92">
        <v>2</v>
      </c>
      <c r="K1084" s="92">
        <f>SUMIFS(VENTAS[Cantidad],VENTAS[Código del producto Vendido],STOCK[[#This Row],[Code]])</f>
        <v>0</v>
      </c>
      <c r="L1084" s="92">
        <f>STOCK[[#This Row],[Entradas]]-STOCK[[#This Row],[Salidas]]</f>
        <v>2</v>
      </c>
      <c r="M1084" s="77">
        <f>STOCK[[#This Row],[Precio Final]]*10%</f>
        <v>2</v>
      </c>
      <c r="N1084" s="77">
        <v>0</v>
      </c>
      <c r="O1084" s="77">
        <v>0</v>
      </c>
      <c r="P1084" s="77">
        <v>7.59</v>
      </c>
      <c r="Q1084" s="92">
        <v>0</v>
      </c>
      <c r="R1084" s="77">
        <v>0</v>
      </c>
      <c r="S1084" s="77">
        <v>0.6</v>
      </c>
      <c r="T1084" s="76">
        <f>STOCK[[#This Row],[Costo Unitario (USD)]]+STOCK[[#This Row],[Costo Envío (USD)]]+STOCK[[#This Row],[Comisión 10%]]</f>
        <v>10.19</v>
      </c>
      <c r="U1084" s="77">
        <f>STOCK[[#This Row],[Costo total]]*1.5</f>
        <v>15.285</v>
      </c>
      <c r="V1084" s="77">
        <v>20</v>
      </c>
      <c r="W1084" s="77">
        <f>STOCK[[#This Row],[Precio Final]]-STOCK[[#This Row],[Costo total]]</f>
        <v>9.81</v>
      </c>
      <c r="X1084" s="77">
        <f>STOCK[[#This Row],[Ganancia Unitaria]]*STOCK[[#This Row],[Salidas]]</f>
        <v>0</v>
      </c>
      <c r="Y1084" s="77" t="s">
        <v>2267</v>
      </c>
      <c r="AA1084" s="77">
        <f>STOCK[[#This Row],[Costo total]]*STOCK[[#This Row],[Entradas]]</f>
        <v>20.38</v>
      </c>
      <c r="AB1084" s="77">
        <f>STOCK[[#This Row],[Stock Actual]]*STOCK[[#This Row],[Costo total]]</f>
        <v>20.38</v>
      </c>
    </row>
    <row r="1085" s="76" customFormat="1" ht="50" hidden="1" customHeight="1" spans="1:28">
      <c r="A1085" s="76" t="s">
        <v>2268</v>
      </c>
      <c r="B1085" s="6"/>
      <c r="C1085" s="76" t="s">
        <v>30</v>
      </c>
      <c r="D1085" s="76" t="s">
        <v>1210</v>
      </c>
      <c r="E1085" s="76" t="s">
        <v>2262</v>
      </c>
      <c r="F1085" s="76" t="s">
        <v>60</v>
      </c>
      <c r="G1085" s="76" t="s">
        <v>1874</v>
      </c>
      <c r="H1085" s="76">
        <f>STOCK[[#This Row],[Precio Final]]</f>
        <v>20</v>
      </c>
      <c r="I1085" s="76">
        <f>STOCK[[#This Row],[Precio Venta Ideal (x1.5)]]</f>
        <v>15.285</v>
      </c>
      <c r="J1085" s="91">
        <v>2</v>
      </c>
      <c r="K1085" s="91">
        <f>SUMIFS(VENTAS[Cantidad],VENTAS[Código del producto Vendido],STOCK[[#This Row],[Code]])</f>
        <v>0</v>
      </c>
      <c r="L1085" s="91">
        <f>STOCK[[#This Row],[Entradas]]-STOCK[[#This Row],[Salidas]]</f>
        <v>2</v>
      </c>
      <c r="M1085" s="76">
        <f>STOCK[[#This Row],[Precio Final]]*10%</f>
        <v>2</v>
      </c>
      <c r="N1085" s="76">
        <v>0</v>
      </c>
      <c r="O1085" s="76">
        <v>0</v>
      </c>
      <c r="P1085" s="76">
        <v>7.59</v>
      </c>
      <c r="Q1085" s="91">
        <v>0</v>
      </c>
      <c r="R1085" s="76">
        <v>0</v>
      </c>
      <c r="S1085" s="76">
        <v>0.6</v>
      </c>
      <c r="T1085" s="76">
        <f>STOCK[[#This Row],[Costo Unitario (USD)]]+STOCK[[#This Row],[Costo Envío (USD)]]+STOCK[[#This Row],[Comisión 10%]]</f>
        <v>10.19</v>
      </c>
      <c r="U1085" s="76">
        <f>STOCK[[#This Row],[Costo total]]*1.5</f>
        <v>15.285</v>
      </c>
      <c r="V1085" s="76">
        <v>20</v>
      </c>
      <c r="W1085" s="76">
        <f>STOCK[[#This Row],[Precio Final]]-STOCK[[#This Row],[Costo total]]</f>
        <v>9.81</v>
      </c>
      <c r="X1085" s="76">
        <f>STOCK[[#This Row],[Ganancia Unitaria]]*STOCK[[#This Row],[Salidas]]</f>
        <v>0</v>
      </c>
      <c r="Y1085" s="76" t="s">
        <v>2269</v>
      </c>
      <c r="AA1085" s="76">
        <f>STOCK[[#This Row],[Costo total]]*STOCK[[#This Row],[Entradas]]</f>
        <v>20.38</v>
      </c>
      <c r="AB1085" s="76">
        <f>STOCK[[#This Row],[Stock Actual]]*STOCK[[#This Row],[Costo total]]</f>
        <v>20.38</v>
      </c>
    </row>
    <row r="1086" s="77" customFormat="1" ht="50" hidden="1" customHeight="1" spans="1:28">
      <c r="A1086" s="77" t="s">
        <v>2270</v>
      </c>
      <c r="B1086" s="6"/>
      <c r="C1086" s="77" t="s">
        <v>30</v>
      </c>
      <c r="D1086" s="77" t="s">
        <v>2109</v>
      </c>
      <c r="E1086" s="77" t="s">
        <v>2271</v>
      </c>
      <c r="F1086" s="77" t="s">
        <v>2106</v>
      </c>
      <c r="G1086" s="77" t="s">
        <v>1874</v>
      </c>
      <c r="H1086" s="77">
        <f>STOCK[[#This Row],[Precio Final]]</f>
        <v>15</v>
      </c>
      <c r="I1086" s="77">
        <f>STOCK[[#This Row],[Precio Venta Ideal (x1.5)]]</f>
        <v>12.585</v>
      </c>
      <c r="J1086" s="92">
        <v>3</v>
      </c>
      <c r="K1086" s="92">
        <f>SUMIFS(VENTAS[Cantidad],VENTAS[Código del producto Vendido],STOCK[[#This Row],[Code]])</f>
        <v>0</v>
      </c>
      <c r="L1086" s="92">
        <f>STOCK[[#This Row],[Entradas]]-STOCK[[#This Row],[Salidas]]</f>
        <v>3</v>
      </c>
      <c r="M1086" s="77">
        <f>STOCK[[#This Row],[Precio Final]]*10%</f>
        <v>1.5</v>
      </c>
      <c r="N1086" s="77">
        <v>0</v>
      </c>
      <c r="O1086" s="77">
        <v>0</v>
      </c>
      <c r="P1086" s="77">
        <v>6.29</v>
      </c>
      <c r="Q1086" s="92">
        <v>0</v>
      </c>
      <c r="R1086" s="77">
        <v>0</v>
      </c>
      <c r="S1086" s="77">
        <v>0.6</v>
      </c>
      <c r="T1086" s="76">
        <f>STOCK[[#This Row],[Costo Unitario (USD)]]+STOCK[[#This Row],[Costo Envío (USD)]]+STOCK[[#This Row],[Comisión 10%]]</f>
        <v>8.39</v>
      </c>
      <c r="U1086" s="77">
        <f>STOCK[[#This Row],[Costo total]]*1.5</f>
        <v>12.585</v>
      </c>
      <c r="V1086" s="77">
        <v>15</v>
      </c>
      <c r="W1086" s="77">
        <f>STOCK[[#This Row],[Precio Final]]-STOCK[[#This Row],[Costo total]]</f>
        <v>6.61</v>
      </c>
      <c r="X1086" s="77">
        <f>STOCK[[#This Row],[Ganancia Unitaria]]*STOCK[[#This Row],[Salidas]]</f>
        <v>0</v>
      </c>
      <c r="Y1086" s="77" t="s">
        <v>2272</v>
      </c>
      <c r="AA1086" s="77">
        <f>STOCK[[#This Row],[Costo total]]*STOCK[[#This Row],[Entradas]]</f>
        <v>25.17</v>
      </c>
      <c r="AB1086" s="77">
        <f>STOCK[[#This Row],[Stock Actual]]*STOCK[[#This Row],[Costo total]]</f>
        <v>25.17</v>
      </c>
    </row>
    <row r="1087" s="76" customFormat="1" ht="50" hidden="1" customHeight="1" spans="1:28">
      <c r="A1087" s="76" t="s">
        <v>2273</v>
      </c>
      <c r="B1087" s="6"/>
      <c r="C1087" s="76" t="s">
        <v>30</v>
      </c>
      <c r="D1087" s="76" t="s">
        <v>2109</v>
      </c>
      <c r="E1087" s="76" t="s">
        <v>2274</v>
      </c>
      <c r="F1087" s="76" t="s">
        <v>2106</v>
      </c>
      <c r="G1087" s="76" t="s">
        <v>1874</v>
      </c>
      <c r="H1087" s="76">
        <f>STOCK[[#This Row],[Precio Final]]</f>
        <v>15</v>
      </c>
      <c r="I1087" s="76">
        <f>STOCK[[#This Row],[Precio Venta Ideal (x1.5)]]</f>
        <v>12.585</v>
      </c>
      <c r="J1087" s="91">
        <v>3</v>
      </c>
      <c r="K1087" s="91">
        <f>SUMIFS(VENTAS[Cantidad],VENTAS[Código del producto Vendido],STOCK[[#This Row],[Code]])</f>
        <v>0</v>
      </c>
      <c r="L1087" s="91">
        <f>STOCK[[#This Row],[Entradas]]-STOCK[[#This Row],[Salidas]]</f>
        <v>3</v>
      </c>
      <c r="M1087" s="76">
        <f>STOCK[[#This Row],[Precio Final]]*10%</f>
        <v>1.5</v>
      </c>
      <c r="N1087" s="76">
        <v>0</v>
      </c>
      <c r="O1087" s="76">
        <v>0</v>
      </c>
      <c r="P1087" s="76">
        <v>6.29</v>
      </c>
      <c r="Q1087" s="91">
        <v>0</v>
      </c>
      <c r="R1087" s="76">
        <v>0</v>
      </c>
      <c r="S1087" s="76">
        <v>0.6</v>
      </c>
      <c r="T1087" s="76">
        <f>STOCK[[#This Row],[Costo Unitario (USD)]]+STOCK[[#This Row],[Costo Envío (USD)]]+STOCK[[#This Row],[Comisión 10%]]</f>
        <v>8.39</v>
      </c>
      <c r="U1087" s="76">
        <f>STOCK[[#This Row],[Costo total]]*1.5</f>
        <v>12.585</v>
      </c>
      <c r="V1087" s="76">
        <v>15</v>
      </c>
      <c r="W1087" s="76">
        <f>STOCK[[#This Row],[Precio Final]]-STOCK[[#This Row],[Costo total]]</f>
        <v>6.61</v>
      </c>
      <c r="X1087" s="76">
        <f>STOCK[[#This Row],[Ganancia Unitaria]]*STOCK[[#This Row],[Salidas]]</f>
        <v>0</v>
      </c>
      <c r="Y1087" s="76" t="s">
        <v>2275</v>
      </c>
      <c r="AA1087" s="76">
        <f>STOCK[[#This Row],[Costo total]]*STOCK[[#This Row],[Entradas]]</f>
        <v>25.17</v>
      </c>
      <c r="AB1087" s="76">
        <f>STOCK[[#This Row],[Stock Actual]]*STOCK[[#This Row],[Costo total]]</f>
        <v>25.17</v>
      </c>
    </row>
    <row r="1088" s="77" customFormat="1" ht="50" hidden="1" customHeight="1" spans="1:28">
      <c r="A1088" s="77" t="s">
        <v>2276</v>
      </c>
      <c r="B1088" s="6"/>
      <c r="C1088" s="77" t="s">
        <v>30</v>
      </c>
      <c r="D1088" s="77" t="s">
        <v>2109</v>
      </c>
      <c r="E1088" s="77" t="s">
        <v>2277</v>
      </c>
      <c r="F1088" s="77" t="s">
        <v>2106</v>
      </c>
      <c r="G1088" s="77" t="s">
        <v>1874</v>
      </c>
      <c r="H1088" s="77">
        <f>STOCK[[#This Row],[Precio Final]]</f>
        <v>15</v>
      </c>
      <c r="I1088" s="77">
        <f>STOCK[[#This Row],[Precio Venta Ideal (x1.5)]]</f>
        <v>8.595</v>
      </c>
      <c r="J1088" s="92">
        <v>0</v>
      </c>
      <c r="K1088" s="92">
        <f>SUMIFS(VENTAS[Cantidad],VENTAS[Código del producto Vendido],STOCK[[#This Row],[Code]])</f>
        <v>0</v>
      </c>
      <c r="L1088" s="92">
        <f>STOCK[[#This Row],[Entradas]]-STOCK[[#This Row],[Salidas]]</f>
        <v>0</v>
      </c>
      <c r="M1088" s="77">
        <f>STOCK[[#This Row],[Precio Final]]*10%</f>
        <v>1.5</v>
      </c>
      <c r="N1088" s="77">
        <v>0</v>
      </c>
      <c r="O1088" s="77">
        <v>0</v>
      </c>
      <c r="P1088" s="77">
        <v>3.63</v>
      </c>
      <c r="Q1088" s="92">
        <v>0</v>
      </c>
      <c r="R1088" s="77">
        <v>0</v>
      </c>
      <c r="S1088" s="77">
        <v>0.6</v>
      </c>
      <c r="T1088" s="76">
        <f>STOCK[[#This Row],[Costo Unitario (USD)]]+STOCK[[#This Row],[Costo Envío (USD)]]+STOCK[[#This Row],[Comisión 10%]]</f>
        <v>5.73</v>
      </c>
      <c r="U1088" s="77">
        <f>STOCK[[#This Row],[Costo total]]*1.5</f>
        <v>8.595</v>
      </c>
      <c r="V1088" s="77">
        <v>15</v>
      </c>
      <c r="W1088" s="77">
        <f>STOCK[[#This Row],[Precio Final]]-STOCK[[#This Row],[Costo total]]</f>
        <v>9.27</v>
      </c>
      <c r="X1088" s="77">
        <f>STOCK[[#This Row],[Ganancia Unitaria]]*STOCK[[#This Row],[Salidas]]</f>
        <v>0</v>
      </c>
      <c r="Y1088" s="77" t="s">
        <v>2278</v>
      </c>
      <c r="AA1088" s="77">
        <f>STOCK[[#This Row],[Costo total]]*STOCK[[#This Row],[Entradas]]</f>
        <v>0</v>
      </c>
      <c r="AB1088" s="77">
        <f>STOCK[[#This Row],[Stock Actual]]*STOCK[[#This Row],[Costo total]]</f>
        <v>0</v>
      </c>
    </row>
    <row r="1089" s="76" customFormat="1" ht="50" hidden="1" customHeight="1" spans="1:28">
      <c r="A1089" s="76" t="s">
        <v>2279</v>
      </c>
      <c r="B1089" s="6"/>
      <c r="C1089" s="76" t="s">
        <v>30</v>
      </c>
      <c r="D1089" s="76" t="s">
        <v>2109</v>
      </c>
      <c r="E1089" s="76" t="s">
        <v>2280</v>
      </c>
      <c r="F1089" s="76" t="s">
        <v>2106</v>
      </c>
      <c r="G1089" s="76" t="s">
        <v>1874</v>
      </c>
      <c r="H1089" s="76">
        <f>STOCK[[#This Row],[Precio Final]]</f>
        <v>10</v>
      </c>
      <c r="I1089" s="76">
        <f>STOCK[[#This Row],[Precio Venta Ideal (x1.5)]]</f>
        <v>6.57</v>
      </c>
      <c r="J1089" s="91">
        <v>0</v>
      </c>
      <c r="K1089" s="91">
        <f>SUMIFS(VENTAS[Cantidad],VENTAS[Código del producto Vendido],STOCK[[#This Row],[Code]])</f>
        <v>0</v>
      </c>
      <c r="L1089" s="91">
        <f>STOCK[[#This Row],[Entradas]]-STOCK[[#This Row],[Salidas]]</f>
        <v>0</v>
      </c>
      <c r="M1089" s="76">
        <f>STOCK[[#This Row],[Precio Final]]*10%</f>
        <v>1</v>
      </c>
      <c r="N1089" s="76">
        <v>0</v>
      </c>
      <c r="O1089" s="76">
        <v>0</v>
      </c>
      <c r="P1089" s="76">
        <v>2.78</v>
      </c>
      <c r="Q1089" s="91">
        <v>0</v>
      </c>
      <c r="R1089" s="76">
        <v>0</v>
      </c>
      <c r="S1089" s="76">
        <v>0.6</v>
      </c>
      <c r="T1089" s="76">
        <f>STOCK[[#This Row],[Costo Unitario (USD)]]+STOCK[[#This Row],[Costo Envío (USD)]]+STOCK[[#This Row],[Comisión 10%]]</f>
        <v>4.38</v>
      </c>
      <c r="U1089" s="76">
        <f>STOCK[[#This Row],[Costo total]]*1.5</f>
        <v>6.57</v>
      </c>
      <c r="V1089" s="76">
        <v>10</v>
      </c>
      <c r="W1089" s="76">
        <f>STOCK[[#This Row],[Precio Final]]-STOCK[[#This Row],[Costo total]]</f>
        <v>5.62</v>
      </c>
      <c r="X1089" s="76">
        <f>STOCK[[#This Row],[Ganancia Unitaria]]*STOCK[[#This Row],[Salidas]]</f>
        <v>0</v>
      </c>
      <c r="Y1089" s="76" t="s">
        <v>2281</v>
      </c>
      <c r="AA1089" s="76">
        <f>STOCK[[#This Row],[Costo total]]*STOCK[[#This Row],[Entradas]]</f>
        <v>0</v>
      </c>
      <c r="AB1089" s="76">
        <f>STOCK[[#This Row],[Stock Actual]]*STOCK[[#This Row],[Costo total]]</f>
        <v>0</v>
      </c>
    </row>
    <row r="1090" s="77" customFormat="1" ht="50" hidden="1" customHeight="1" spans="1:28">
      <c r="A1090" s="77" t="s">
        <v>2282</v>
      </c>
      <c r="B1090" s="6"/>
      <c r="C1090" s="77" t="s">
        <v>30</v>
      </c>
      <c r="D1090" s="77" t="s">
        <v>2109</v>
      </c>
      <c r="E1090" s="77" t="s">
        <v>2283</v>
      </c>
      <c r="F1090" s="77" t="s">
        <v>1532</v>
      </c>
      <c r="G1090" s="77" t="s">
        <v>1874</v>
      </c>
      <c r="H1090" s="77">
        <f>STOCK[[#This Row],[Precio Final]]</f>
        <v>12</v>
      </c>
      <c r="I1090" s="77">
        <f>STOCK[[#This Row],[Precio Venta Ideal (x1.5)]]</f>
        <v>8.145</v>
      </c>
      <c r="J1090" s="92">
        <v>3</v>
      </c>
      <c r="K1090" s="92">
        <f>SUMIFS(VENTAS[Cantidad],VENTAS[Código del producto Vendido],STOCK[[#This Row],[Code]])</f>
        <v>3</v>
      </c>
      <c r="L1090" s="92">
        <f>STOCK[[#This Row],[Entradas]]-STOCK[[#This Row],[Salidas]]</f>
        <v>0</v>
      </c>
      <c r="M1090" s="77">
        <f>STOCK[[#This Row],[Precio Final]]*10%</f>
        <v>1.2</v>
      </c>
      <c r="N1090" s="77">
        <v>0</v>
      </c>
      <c r="O1090" s="77">
        <v>0</v>
      </c>
      <c r="P1090" s="77">
        <v>3.63</v>
      </c>
      <c r="Q1090" s="92">
        <v>0</v>
      </c>
      <c r="R1090" s="77">
        <v>0</v>
      </c>
      <c r="S1090" s="77">
        <v>0.6</v>
      </c>
      <c r="T1090" s="76">
        <f>STOCK[[#This Row],[Costo Unitario (USD)]]+STOCK[[#This Row],[Costo Envío (USD)]]+STOCK[[#This Row],[Comisión 10%]]</f>
        <v>5.43</v>
      </c>
      <c r="U1090" s="77">
        <f>STOCK[[#This Row],[Costo total]]*1.5</f>
        <v>8.145</v>
      </c>
      <c r="V1090" s="77">
        <v>12</v>
      </c>
      <c r="W1090" s="77">
        <f>STOCK[[#This Row],[Precio Final]]-STOCK[[#This Row],[Costo total]]</f>
        <v>6.57</v>
      </c>
      <c r="X1090" s="77">
        <f>STOCK[[#This Row],[Ganancia Unitaria]]*STOCK[[#This Row],[Salidas]]</f>
        <v>19.71</v>
      </c>
      <c r="Y1090" s="77" t="s">
        <v>2284</v>
      </c>
      <c r="AA1090" s="77">
        <f>STOCK[[#This Row],[Costo total]]*STOCK[[#This Row],[Entradas]]</f>
        <v>16.29</v>
      </c>
      <c r="AB1090" s="77">
        <f>STOCK[[#This Row],[Stock Actual]]*STOCK[[#This Row],[Costo total]]</f>
        <v>0</v>
      </c>
    </row>
    <row r="1091" s="76" customFormat="1" ht="50" hidden="1" customHeight="1" spans="1:28">
      <c r="A1091" s="76" t="s">
        <v>2285</v>
      </c>
      <c r="B1091" s="6"/>
      <c r="C1091" s="76" t="s">
        <v>30</v>
      </c>
      <c r="D1091" s="76" t="s">
        <v>2109</v>
      </c>
      <c r="E1091" s="76" t="s">
        <v>2286</v>
      </c>
      <c r="F1091" s="76" t="s">
        <v>1532</v>
      </c>
      <c r="G1091" s="76" t="s">
        <v>1874</v>
      </c>
      <c r="H1091" s="76">
        <f>STOCK[[#This Row],[Precio Final]]</f>
        <v>12</v>
      </c>
      <c r="I1091" s="76">
        <f>STOCK[[#This Row],[Precio Venta Ideal (x1.5)]]</f>
        <v>10.11</v>
      </c>
      <c r="J1091" s="91">
        <v>3</v>
      </c>
      <c r="K1091" s="91">
        <f>SUMIFS(VENTAS[Cantidad],VENTAS[Código del producto Vendido],STOCK[[#This Row],[Code]])</f>
        <v>3</v>
      </c>
      <c r="L1091" s="91">
        <f>STOCK[[#This Row],[Entradas]]-STOCK[[#This Row],[Salidas]]</f>
        <v>0</v>
      </c>
      <c r="M1091" s="76">
        <f>STOCK[[#This Row],[Precio Final]]*10%</f>
        <v>1.2</v>
      </c>
      <c r="N1091" s="76">
        <v>0</v>
      </c>
      <c r="O1091" s="76">
        <v>0</v>
      </c>
      <c r="P1091" s="76">
        <v>4.94</v>
      </c>
      <c r="Q1091" s="91">
        <v>0</v>
      </c>
      <c r="R1091" s="76">
        <v>0</v>
      </c>
      <c r="S1091" s="76">
        <v>0.6</v>
      </c>
      <c r="T1091" s="76">
        <f>STOCK[[#This Row],[Costo Unitario (USD)]]+STOCK[[#This Row],[Costo Envío (USD)]]+STOCK[[#This Row],[Comisión 10%]]</f>
        <v>6.74</v>
      </c>
      <c r="U1091" s="76">
        <f>STOCK[[#This Row],[Costo total]]*1.5</f>
        <v>10.11</v>
      </c>
      <c r="V1091" s="76">
        <v>12</v>
      </c>
      <c r="W1091" s="76">
        <f>STOCK[[#This Row],[Precio Final]]-STOCK[[#This Row],[Costo total]]</f>
        <v>5.26</v>
      </c>
      <c r="X1091" s="76">
        <f>STOCK[[#This Row],[Ganancia Unitaria]]*STOCK[[#This Row],[Salidas]]</f>
        <v>15.78</v>
      </c>
      <c r="Y1091" s="76" t="s">
        <v>2287</v>
      </c>
      <c r="AA1091" s="76">
        <f>STOCK[[#This Row],[Costo total]]*STOCK[[#This Row],[Entradas]]</f>
        <v>20.22</v>
      </c>
      <c r="AB1091" s="76">
        <f>STOCK[[#This Row],[Stock Actual]]*STOCK[[#This Row],[Costo total]]</f>
        <v>0</v>
      </c>
    </row>
    <row r="1092" s="77" customFormat="1" ht="50" hidden="1" customHeight="1" spans="1:28">
      <c r="A1092" s="77" t="s">
        <v>2288</v>
      </c>
      <c r="B1092" s="6"/>
      <c r="C1092" s="77" t="s">
        <v>30</v>
      </c>
      <c r="D1092" s="77" t="s">
        <v>2116</v>
      </c>
      <c r="E1092" s="77" t="s">
        <v>2289</v>
      </c>
      <c r="F1092" s="77" t="s">
        <v>60</v>
      </c>
      <c r="G1092" s="77" t="s">
        <v>1874</v>
      </c>
      <c r="H1092" s="77">
        <f>STOCK[[#This Row],[Precio Final]]</f>
        <v>35</v>
      </c>
      <c r="I1092" s="77">
        <f>STOCK[[#This Row],[Precio Venta Ideal (x1.5)]]</f>
        <v>24.285</v>
      </c>
      <c r="J1092" s="92">
        <v>1</v>
      </c>
      <c r="K1092" s="92">
        <f>SUMIFS(VENTAS[Cantidad],VENTAS[Código del producto Vendido],STOCK[[#This Row],[Code]])</f>
        <v>1</v>
      </c>
      <c r="L1092" s="92">
        <f>STOCK[[#This Row],[Entradas]]-STOCK[[#This Row],[Salidas]]</f>
        <v>0</v>
      </c>
      <c r="M1092" s="77">
        <f>STOCK[[#This Row],[Precio Final]]*10%</f>
        <v>3.5</v>
      </c>
      <c r="N1092" s="77">
        <v>0</v>
      </c>
      <c r="O1092" s="77">
        <v>0</v>
      </c>
      <c r="P1092" s="77">
        <v>12.09</v>
      </c>
      <c r="Q1092" s="92">
        <v>0</v>
      </c>
      <c r="R1092" s="77">
        <v>0</v>
      </c>
      <c r="S1092" s="77">
        <v>0.6</v>
      </c>
      <c r="T1092" s="76">
        <f>STOCK[[#This Row],[Costo Unitario (USD)]]+STOCK[[#This Row],[Costo Envío (USD)]]+STOCK[[#This Row],[Comisión 10%]]</f>
        <v>16.19</v>
      </c>
      <c r="U1092" s="77">
        <f>STOCK[[#This Row],[Costo total]]*1.5</f>
        <v>24.285</v>
      </c>
      <c r="V1092" s="77">
        <v>35</v>
      </c>
      <c r="W1092" s="77">
        <f>STOCK[[#This Row],[Precio Final]]-STOCK[[#This Row],[Costo total]]</f>
        <v>18.81</v>
      </c>
      <c r="X1092" s="77">
        <f>STOCK[[#This Row],[Ganancia Unitaria]]*STOCK[[#This Row],[Salidas]]</f>
        <v>18.81</v>
      </c>
      <c r="Y1092" s="77" t="s">
        <v>2290</v>
      </c>
      <c r="AA1092" s="77">
        <f>STOCK[[#This Row],[Costo total]]*STOCK[[#This Row],[Entradas]]</f>
        <v>16.19</v>
      </c>
      <c r="AB1092" s="77">
        <f>STOCK[[#This Row],[Stock Actual]]*STOCK[[#This Row],[Costo total]]</f>
        <v>0</v>
      </c>
    </row>
    <row r="1093" s="76" customFormat="1" ht="50" hidden="1" customHeight="1" spans="1:28">
      <c r="A1093" s="76" t="s">
        <v>2291</v>
      </c>
      <c r="B1093" s="6"/>
      <c r="C1093" s="76" t="s">
        <v>30</v>
      </c>
      <c r="D1093" s="77" t="s">
        <v>36</v>
      </c>
      <c r="E1093" s="76" t="s">
        <v>2292</v>
      </c>
      <c r="F1093" s="76" t="s">
        <v>40</v>
      </c>
      <c r="G1093" s="76" t="s">
        <v>1874</v>
      </c>
      <c r="H1093" s="76">
        <f>STOCK[[#This Row],[Precio Final]]</f>
        <v>25</v>
      </c>
      <c r="I1093" s="76">
        <f>STOCK[[#This Row],[Precio Venta Ideal (x1.5)]]</f>
        <v>20.82</v>
      </c>
      <c r="J1093" s="91">
        <v>1</v>
      </c>
      <c r="K1093" s="91">
        <f>SUMIFS(VENTAS[Cantidad],VENTAS[Código del producto Vendido],STOCK[[#This Row],[Code]])</f>
        <v>1</v>
      </c>
      <c r="L1093" s="91">
        <f>STOCK[[#This Row],[Entradas]]-STOCK[[#This Row],[Salidas]]</f>
        <v>0</v>
      </c>
      <c r="M1093" s="76">
        <f>STOCK[[#This Row],[Precio Final]]*10%</f>
        <v>2.5</v>
      </c>
      <c r="N1093" s="76">
        <v>0</v>
      </c>
      <c r="O1093" s="76">
        <v>0</v>
      </c>
      <c r="P1093" s="76">
        <v>10.78</v>
      </c>
      <c r="Q1093" s="91">
        <v>0</v>
      </c>
      <c r="R1093" s="76">
        <v>0</v>
      </c>
      <c r="S1093" s="76">
        <v>0.6</v>
      </c>
      <c r="T1093" s="76">
        <f>STOCK[[#This Row],[Costo Unitario (USD)]]+STOCK[[#This Row],[Costo Envío (USD)]]+STOCK[[#This Row],[Comisión 10%]]</f>
        <v>13.88</v>
      </c>
      <c r="U1093" s="76">
        <f>STOCK[[#This Row],[Costo total]]*1.5</f>
        <v>20.82</v>
      </c>
      <c r="V1093" s="76">
        <v>25</v>
      </c>
      <c r="W1093" s="76">
        <f>STOCK[[#This Row],[Precio Final]]-STOCK[[#This Row],[Costo total]]</f>
        <v>11.12</v>
      </c>
      <c r="X1093" s="76">
        <f>STOCK[[#This Row],[Ganancia Unitaria]]*STOCK[[#This Row],[Salidas]]</f>
        <v>11.12</v>
      </c>
      <c r="Y1093" s="76" t="s">
        <v>2293</v>
      </c>
      <c r="AA1093" s="76">
        <f>STOCK[[#This Row],[Costo total]]*STOCK[[#This Row],[Entradas]]</f>
        <v>13.88</v>
      </c>
      <c r="AB1093" s="76">
        <f>STOCK[[#This Row],[Stock Actual]]*STOCK[[#This Row],[Costo total]]</f>
        <v>0</v>
      </c>
    </row>
    <row r="1094" s="77" customFormat="1" ht="50" hidden="1" customHeight="1" spans="1:28">
      <c r="A1094" s="77" t="s">
        <v>2294</v>
      </c>
      <c r="B1094" s="6"/>
      <c r="C1094" s="77" t="s">
        <v>30</v>
      </c>
      <c r="D1094" s="77" t="s">
        <v>1210</v>
      </c>
      <c r="E1094" s="77" t="s">
        <v>2295</v>
      </c>
      <c r="F1094" s="77" t="s">
        <v>60</v>
      </c>
      <c r="G1094" s="77" t="s">
        <v>1874</v>
      </c>
      <c r="H1094" s="77">
        <f>STOCK[[#This Row],[Precio Final]]</f>
        <v>20</v>
      </c>
      <c r="I1094" s="77">
        <f>STOCK[[#This Row],[Precio Venta Ideal (x1.5)]]</f>
        <v>21.12</v>
      </c>
      <c r="J1094" s="92">
        <v>1</v>
      </c>
      <c r="K1094" s="92">
        <f>SUMIFS(VENTAS[Cantidad],VENTAS[Código del producto Vendido],STOCK[[#This Row],[Code]])</f>
        <v>0</v>
      </c>
      <c r="L1094" s="92">
        <f>STOCK[[#This Row],[Entradas]]-STOCK[[#This Row],[Salidas]]</f>
        <v>1</v>
      </c>
      <c r="M1094" s="77">
        <f>STOCK[[#This Row],[Precio Final]]*10%</f>
        <v>2</v>
      </c>
      <c r="N1094" s="77">
        <v>0</v>
      </c>
      <c r="O1094" s="77">
        <v>0</v>
      </c>
      <c r="P1094" s="77">
        <v>11.48</v>
      </c>
      <c r="Q1094" s="92">
        <v>0</v>
      </c>
      <c r="R1094" s="77">
        <v>0</v>
      </c>
      <c r="S1094" s="77">
        <v>0.6</v>
      </c>
      <c r="T1094" s="76">
        <f>STOCK[[#This Row],[Costo Unitario (USD)]]+STOCK[[#This Row],[Costo Envío (USD)]]+STOCK[[#This Row],[Comisión 10%]]</f>
        <v>14.08</v>
      </c>
      <c r="U1094" s="77">
        <f>STOCK[[#This Row],[Costo total]]*1.5</f>
        <v>21.12</v>
      </c>
      <c r="V1094" s="77">
        <v>20</v>
      </c>
      <c r="W1094" s="77">
        <f>STOCK[[#This Row],[Precio Final]]-STOCK[[#This Row],[Costo total]]</f>
        <v>5.92</v>
      </c>
      <c r="X1094" s="77">
        <f>STOCK[[#This Row],[Ganancia Unitaria]]*STOCK[[#This Row],[Salidas]]</f>
        <v>0</v>
      </c>
      <c r="Y1094" s="77" t="s">
        <v>2296</v>
      </c>
      <c r="AA1094" s="77">
        <f>STOCK[[#This Row],[Costo total]]*STOCK[[#This Row],[Entradas]]</f>
        <v>14.08</v>
      </c>
      <c r="AB1094" s="77">
        <f>STOCK[[#This Row],[Stock Actual]]*STOCK[[#This Row],[Costo total]]</f>
        <v>14.08</v>
      </c>
    </row>
    <row r="1095" s="76" customFormat="1" ht="50" hidden="1" customHeight="1" spans="1:28">
      <c r="A1095" s="76" t="s">
        <v>2297</v>
      </c>
      <c r="B1095" s="6"/>
      <c r="C1095" s="76" t="s">
        <v>30</v>
      </c>
      <c r="D1095" s="76" t="s">
        <v>2116</v>
      </c>
      <c r="E1095" s="76" t="s">
        <v>2298</v>
      </c>
      <c r="F1095" s="76" t="s">
        <v>60</v>
      </c>
      <c r="G1095" s="76" t="s">
        <v>1874</v>
      </c>
      <c r="H1095" s="76">
        <f>STOCK[[#This Row],[Precio Final]]</f>
        <v>30</v>
      </c>
      <c r="I1095" s="76">
        <f>STOCK[[#This Row],[Precio Venta Ideal (x1.5)]]</f>
        <v>30.885</v>
      </c>
      <c r="J1095" s="91">
        <v>1</v>
      </c>
      <c r="K1095" s="91">
        <f>SUMIFS(VENTAS[Cantidad],VENTAS[Código del producto Vendido],STOCK[[#This Row],[Code]])</f>
        <v>1</v>
      </c>
      <c r="L1095" s="91">
        <f>STOCK[[#This Row],[Entradas]]-STOCK[[#This Row],[Salidas]]</f>
        <v>0</v>
      </c>
      <c r="M1095" s="76">
        <f>STOCK[[#This Row],[Precio Final]]*10%</f>
        <v>3</v>
      </c>
      <c r="N1095" s="76">
        <v>0</v>
      </c>
      <c r="O1095" s="76">
        <v>0</v>
      </c>
      <c r="P1095" s="76">
        <v>16.99</v>
      </c>
      <c r="Q1095" s="91">
        <v>0</v>
      </c>
      <c r="R1095" s="76">
        <v>0</v>
      </c>
      <c r="S1095" s="76">
        <v>0.6</v>
      </c>
      <c r="T1095" s="76">
        <f>STOCK[[#This Row],[Costo Unitario (USD)]]+STOCK[[#This Row],[Costo Envío (USD)]]+STOCK[[#This Row],[Comisión 10%]]</f>
        <v>20.59</v>
      </c>
      <c r="U1095" s="76">
        <f>STOCK[[#This Row],[Costo total]]*1.5</f>
        <v>30.885</v>
      </c>
      <c r="V1095" s="76">
        <v>30</v>
      </c>
      <c r="W1095" s="76">
        <f>STOCK[[#This Row],[Precio Final]]-STOCK[[#This Row],[Costo total]]</f>
        <v>9.41</v>
      </c>
      <c r="X1095" s="76">
        <f>STOCK[[#This Row],[Ganancia Unitaria]]*STOCK[[#This Row],[Salidas]]</f>
        <v>9.41</v>
      </c>
      <c r="Y1095" s="76" t="s">
        <v>2299</v>
      </c>
      <c r="AA1095" s="76">
        <f>STOCK[[#This Row],[Costo total]]*STOCK[[#This Row],[Entradas]]</f>
        <v>20.59</v>
      </c>
      <c r="AB1095" s="76">
        <f>STOCK[[#This Row],[Stock Actual]]*STOCK[[#This Row],[Costo total]]</f>
        <v>0</v>
      </c>
    </row>
    <row r="1096" s="77" customFormat="1" ht="50" hidden="1" customHeight="1" spans="1:28">
      <c r="A1096" s="77" t="s">
        <v>2300</v>
      </c>
      <c r="B1096" s="6"/>
      <c r="C1096" s="77" t="s">
        <v>30</v>
      </c>
      <c r="D1096" s="77" t="s">
        <v>36</v>
      </c>
      <c r="E1096" s="77" t="s">
        <v>2301</v>
      </c>
      <c r="F1096" s="77" t="s">
        <v>44</v>
      </c>
      <c r="G1096" s="77" t="s">
        <v>1874</v>
      </c>
      <c r="H1096" s="77">
        <f>STOCK[[#This Row],[Precio Final]]</f>
        <v>18</v>
      </c>
      <c r="I1096" s="77">
        <f>STOCK[[#This Row],[Precio Venta Ideal (x1.5)]]</f>
        <v>19.2140625</v>
      </c>
      <c r="J1096" s="92">
        <v>1</v>
      </c>
      <c r="K1096" s="92">
        <f>SUMIFS(VENTAS[Cantidad],VENTAS[Código del producto Vendido],STOCK[[#This Row],[Code]])</f>
        <v>0</v>
      </c>
      <c r="L1096" s="92">
        <f>STOCK[[#This Row],[Entradas]]-STOCK[[#This Row],[Salidas]]</f>
        <v>1</v>
      </c>
      <c r="M1096" s="77">
        <f>STOCK[[#This Row],[Precio Final]]*10%</f>
        <v>1.8</v>
      </c>
      <c r="N1096" s="77">
        <v>153.59</v>
      </c>
      <c r="O1096" s="77">
        <v>16</v>
      </c>
      <c r="P1096" s="77">
        <v>9.599375</v>
      </c>
      <c r="Q1096" s="92">
        <v>0</v>
      </c>
      <c r="R1096" s="77">
        <v>0</v>
      </c>
      <c r="S1096" s="77">
        <v>1.41</v>
      </c>
      <c r="T1096" s="76">
        <f>STOCK[[#This Row],[Costo Unitario (USD)]]+STOCK[[#This Row],[Costo Envío (USD)]]+STOCK[[#This Row],[Comisión 10%]]</f>
        <v>12.809375</v>
      </c>
      <c r="U1096" s="77">
        <f>STOCK[[#This Row],[Costo total]]*1.5</f>
        <v>19.2140625</v>
      </c>
      <c r="V1096" s="77">
        <v>18</v>
      </c>
      <c r="W1096" s="77">
        <f>STOCK[[#This Row],[Precio Final]]-STOCK[[#This Row],[Costo total]]</f>
        <v>5.190625</v>
      </c>
      <c r="X1096" s="77">
        <f>STOCK[[#This Row],[Ganancia Unitaria]]*STOCK[[#This Row],[Salidas]]</f>
        <v>0</v>
      </c>
      <c r="Y1096" s="77" t="s">
        <v>2302</v>
      </c>
      <c r="AA1096" s="77">
        <f>STOCK[[#This Row],[Costo total]]*STOCK[[#This Row],[Entradas]]</f>
        <v>12.809375</v>
      </c>
      <c r="AB1096" s="77">
        <f>STOCK[[#This Row],[Stock Actual]]*STOCK[[#This Row],[Costo total]]</f>
        <v>12.809375</v>
      </c>
    </row>
    <row r="1097" s="76" customFormat="1" ht="50" hidden="1" customHeight="1" spans="1:28">
      <c r="A1097" s="76" t="s">
        <v>2303</v>
      </c>
      <c r="B1097" s="6"/>
      <c r="C1097" s="76" t="s">
        <v>30</v>
      </c>
      <c r="D1097" s="77" t="s">
        <v>36</v>
      </c>
      <c r="E1097" s="76" t="s">
        <v>2301</v>
      </c>
      <c r="F1097" s="76" t="s">
        <v>60</v>
      </c>
      <c r="G1097" s="76" t="s">
        <v>1874</v>
      </c>
      <c r="H1097" s="76">
        <f>STOCK[[#This Row],[Precio Final]]</f>
        <v>18</v>
      </c>
      <c r="I1097" s="76">
        <f>STOCK[[#This Row],[Precio Venta Ideal (x1.5)]]</f>
        <v>19.2140625</v>
      </c>
      <c r="J1097" s="91">
        <v>1</v>
      </c>
      <c r="K1097" s="91">
        <f>SUMIFS(VENTAS[Cantidad],VENTAS[Código del producto Vendido],STOCK[[#This Row],[Code]])</f>
        <v>1</v>
      </c>
      <c r="L1097" s="91">
        <f>STOCK[[#This Row],[Entradas]]-STOCK[[#This Row],[Salidas]]</f>
        <v>0</v>
      </c>
      <c r="M1097" s="76">
        <f>STOCK[[#This Row],[Precio Final]]*10%</f>
        <v>1.8</v>
      </c>
      <c r="N1097" s="76">
        <v>153.59</v>
      </c>
      <c r="O1097" s="76">
        <v>16</v>
      </c>
      <c r="P1097" s="76">
        <v>9.599375</v>
      </c>
      <c r="Q1097" s="91">
        <v>0</v>
      </c>
      <c r="R1097" s="76">
        <v>0</v>
      </c>
      <c r="S1097" s="76">
        <v>1.41</v>
      </c>
      <c r="T1097" s="76">
        <f>STOCK[[#This Row],[Costo Unitario (USD)]]+STOCK[[#This Row],[Costo Envío (USD)]]+STOCK[[#This Row],[Comisión 10%]]</f>
        <v>12.809375</v>
      </c>
      <c r="U1097" s="76">
        <f>STOCK[[#This Row],[Costo total]]*1.5</f>
        <v>19.2140625</v>
      </c>
      <c r="V1097" s="76">
        <v>18</v>
      </c>
      <c r="W1097" s="76">
        <f>STOCK[[#This Row],[Precio Final]]-STOCK[[#This Row],[Costo total]]</f>
        <v>5.190625</v>
      </c>
      <c r="X1097" s="76">
        <f>STOCK[[#This Row],[Ganancia Unitaria]]*STOCK[[#This Row],[Salidas]]</f>
        <v>5.190625</v>
      </c>
      <c r="Y1097" s="76" t="s">
        <v>2304</v>
      </c>
      <c r="AA1097" s="76">
        <f>STOCK[[#This Row],[Costo total]]*STOCK[[#This Row],[Entradas]]</f>
        <v>12.809375</v>
      </c>
      <c r="AB1097" s="76">
        <f>STOCK[[#This Row],[Stock Actual]]*STOCK[[#This Row],[Costo total]]</f>
        <v>0</v>
      </c>
    </row>
    <row r="1098" s="77" customFormat="1" ht="50" hidden="1" customHeight="1" spans="1:28">
      <c r="A1098" s="77" t="s">
        <v>2305</v>
      </c>
      <c r="B1098" s="6"/>
      <c r="C1098" s="77" t="s">
        <v>30</v>
      </c>
      <c r="D1098" s="77" t="s">
        <v>36</v>
      </c>
      <c r="E1098" s="77" t="s">
        <v>2301</v>
      </c>
      <c r="F1098" s="77" t="s">
        <v>47</v>
      </c>
      <c r="G1098" s="77" t="s">
        <v>1874</v>
      </c>
      <c r="H1098" s="77">
        <f>STOCK[[#This Row],[Precio Final]]</f>
        <v>18</v>
      </c>
      <c r="I1098" s="77">
        <f>STOCK[[#This Row],[Precio Venta Ideal (x1.5)]]</f>
        <v>19.2140625</v>
      </c>
      <c r="J1098" s="92">
        <v>1</v>
      </c>
      <c r="K1098" s="92">
        <f>SUMIFS(VENTAS[Cantidad],VENTAS[Código del producto Vendido],STOCK[[#This Row],[Code]])</f>
        <v>0</v>
      </c>
      <c r="L1098" s="92">
        <f>STOCK[[#This Row],[Entradas]]-STOCK[[#This Row],[Salidas]]</f>
        <v>1</v>
      </c>
      <c r="M1098" s="77">
        <f>STOCK[[#This Row],[Precio Final]]*10%</f>
        <v>1.8</v>
      </c>
      <c r="N1098" s="77">
        <v>153.59</v>
      </c>
      <c r="O1098" s="77">
        <v>16</v>
      </c>
      <c r="P1098" s="77">
        <v>9.599375</v>
      </c>
      <c r="Q1098" s="92">
        <v>0</v>
      </c>
      <c r="R1098" s="77">
        <v>0</v>
      </c>
      <c r="S1098" s="77">
        <v>1.41</v>
      </c>
      <c r="T1098" s="76">
        <f>STOCK[[#This Row],[Costo Unitario (USD)]]+STOCK[[#This Row],[Costo Envío (USD)]]+STOCK[[#This Row],[Comisión 10%]]</f>
        <v>12.809375</v>
      </c>
      <c r="U1098" s="77">
        <f>STOCK[[#This Row],[Costo total]]*1.5</f>
        <v>19.2140625</v>
      </c>
      <c r="V1098" s="77">
        <v>18</v>
      </c>
      <c r="W1098" s="77">
        <f>STOCK[[#This Row],[Precio Final]]-STOCK[[#This Row],[Costo total]]</f>
        <v>5.190625</v>
      </c>
      <c r="X1098" s="77">
        <f>STOCK[[#This Row],[Ganancia Unitaria]]*STOCK[[#This Row],[Salidas]]</f>
        <v>0</v>
      </c>
      <c r="Y1098" s="77" t="s">
        <v>2306</v>
      </c>
      <c r="AA1098" s="77">
        <f>STOCK[[#This Row],[Costo total]]*STOCK[[#This Row],[Entradas]]</f>
        <v>12.809375</v>
      </c>
      <c r="AB1098" s="77">
        <f>STOCK[[#This Row],[Stock Actual]]*STOCK[[#This Row],[Costo total]]</f>
        <v>12.809375</v>
      </c>
    </row>
    <row r="1099" s="76" customFormat="1" ht="50" hidden="1" customHeight="1" spans="1:28">
      <c r="A1099" s="76" t="s">
        <v>2307</v>
      </c>
      <c r="B1099" s="6"/>
      <c r="C1099" s="76" t="s">
        <v>30</v>
      </c>
      <c r="D1099" s="76" t="s">
        <v>1188</v>
      </c>
      <c r="E1099" s="76" t="s">
        <v>2308</v>
      </c>
      <c r="F1099" s="76" t="s">
        <v>47</v>
      </c>
      <c r="G1099" s="76" t="s">
        <v>1874</v>
      </c>
      <c r="H1099" s="76">
        <f>STOCK[[#This Row],[Precio Final]]</f>
        <v>15</v>
      </c>
      <c r="I1099" s="76">
        <f>STOCK[[#This Row],[Precio Venta Ideal (x1.5)]]</f>
        <v>15.3496875</v>
      </c>
      <c r="J1099" s="91">
        <v>1</v>
      </c>
      <c r="K1099" s="91">
        <f>SUMIFS(VENTAS[Cantidad],VENTAS[Código del producto Vendido],STOCK[[#This Row],[Code]])</f>
        <v>0</v>
      </c>
      <c r="L1099" s="91">
        <f>STOCK[[#This Row],[Entradas]]-STOCK[[#This Row],[Salidas]]</f>
        <v>1</v>
      </c>
      <c r="M1099" s="76">
        <f>STOCK[[#This Row],[Precio Final]]*10%</f>
        <v>1.5</v>
      </c>
      <c r="N1099" s="76">
        <v>117.17</v>
      </c>
      <c r="O1099" s="76">
        <v>16</v>
      </c>
      <c r="P1099" s="76">
        <v>7.323125</v>
      </c>
      <c r="Q1099" s="91">
        <v>0</v>
      </c>
      <c r="R1099" s="76">
        <v>0</v>
      </c>
      <c r="S1099" s="76">
        <v>1.41</v>
      </c>
      <c r="T1099" s="76">
        <f>STOCK[[#This Row],[Costo Unitario (USD)]]+STOCK[[#This Row],[Costo Envío (USD)]]+STOCK[[#This Row],[Comisión 10%]]</f>
        <v>10.233125</v>
      </c>
      <c r="U1099" s="76">
        <f>STOCK[[#This Row],[Costo total]]*1.5</f>
        <v>15.3496875</v>
      </c>
      <c r="V1099" s="76">
        <v>15</v>
      </c>
      <c r="W1099" s="76">
        <f>STOCK[[#This Row],[Precio Final]]-STOCK[[#This Row],[Costo total]]</f>
        <v>4.766875</v>
      </c>
      <c r="X1099" s="76">
        <f>STOCK[[#This Row],[Ganancia Unitaria]]*STOCK[[#This Row],[Salidas]]</f>
        <v>0</v>
      </c>
      <c r="Y1099" s="76" t="s">
        <v>2309</v>
      </c>
      <c r="AA1099" s="76">
        <f>STOCK[[#This Row],[Costo total]]*STOCK[[#This Row],[Entradas]]</f>
        <v>10.233125</v>
      </c>
      <c r="AB1099" s="76">
        <f>STOCK[[#This Row],[Stock Actual]]*STOCK[[#This Row],[Costo total]]</f>
        <v>10.233125</v>
      </c>
    </row>
    <row r="1100" s="77" customFormat="1" ht="50" hidden="1" customHeight="1" spans="1:28">
      <c r="A1100" s="77" t="s">
        <v>2310</v>
      </c>
      <c r="B1100" s="6"/>
      <c r="C1100" s="77" t="s">
        <v>30</v>
      </c>
      <c r="D1100" s="77" t="s">
        <v>1188</v>
      </c>
      <c r="E1100" s="77" t="s">
        <v>2308</v>
      </c>
      <c r="F1100" s="77" t="s">
        <v>44</v>
      </c>
      <c r="G1100" s="77" t="s">
        <v>1874</v>
      </c>
      <c r="H1100" s="77">
        <f>STOCK[[#This Row],[Precio Final]]</f>
        <v>15</v>
      </c>
      <c r="I1100" s="77">
        <f>STOCK[[#This Row],[Precio Venta Ideal (x1.5)]]</f>
        <v>15.3496875</v>
      </c>
      <c r="J1100" s="92">
        <v>1</v>
      </c>
      <c r="K1100" s="92">
        <f>SUMIFS(VENTAS[Cantidad],VENTAS[Código del producto Vendido],STOCK[[#This Row],[Code]])</f>
        <v>1</v>
      </c>
      <c r="L1100" s="92">
        <f>STOCK[[#This Row],[Entradas]]-STOCK[[#This Row],[Salidas]]</f>
        <v>0</v>
      </c>
      <c r="M1100" s="77">
        <f>STOCK[[#This Row],[Precio Final]]*10%</f>
        <v>1.5</v>
      </c>
      <c r="N1100" s="77">
        <v>117.17</v>
      </c>
      <c r="O1100" s="77">
        <v>16</v>
      </c>
      <c r="P1100" s="77">
        <v>7.323125</v>
      </c>
      <c r="Q1100" s="92">
        <v>0</v>
      </c>
      <c r="R1100" s="77">
        <v>0</v>
      </c>
      <c r="S1100" s="77">
        <v>1.41</v>
      </c>
      <c r="T1100" s="76">
        <f>STOCK[[#This Row],[Costo Unitario (USD)]]+STOCK[[#This Row],[Costo Envío (USD)]]+STOCK[[#This Row],[Comisión 10%]]</f>
        <v>10.233125</v>
      </c>
      <c r="U1100" s="77">
        <f>STOCK[[#This Row],[Costo total]]*1.5</f>
        <v>15.3496875</v>
      </c>
      <c r="V1100" s="77">
        <v>15</v>
      </c>
      <c r="W1100" s="77">
        <f>STOCK[[#This Row],[Precio Final]]-STOCK[[#This Row],[Costo total]]</f>
        <v>4.766875</v>
      </c>
      <c r="X1100" s="77">
        <f>STOCK[[#This Row],[Ganancia Unitaria]]*STOCK[[#This Row],[Salidas]]</f>
        <v>4.766875</v>
      </c>
      <c r="Y1100" s="77" t="s">
        <v>2311</v>
      </c>
      <c r="AA1100" s="77">
        <f>STOCK[[#This Row],[Costo total]]*STOCK[[#This Row],[Entradas]]</f>
        <v>10.233125</v>
      </c>
      <c r="AB1100" s="77">
        <f>STOCK[[#This Row],[Stock Actual]]*STOCK[[#This Row],[Costo total]]</f>
        <v>0</v>
      </c>
    </row>
    <row r="1101" s="76" customFormat="1" ht="50" hidden="1" customHeight="1" spans="1:28">
      <c r="A1101" s="76" t="s">
        <v>2312</v>
      </c>
      <c r="B1101" s="6"/>
      <c r="C1101" s="76" t="s">
        <v>30</v>
      </c>
      <c r="D1101" s="76" t="s">
        <v>1188</v>
      </c>
      <c r="E1101" s="76" t="s">
        <v>2308</v>
      </c>
      <c r="F1101" s="76" t="s">
        <v>60</v>
      </c>
      <c r="G1101" s="76" t="s">
        <v>1874</v>
      </c>
      <c r="H1101" s="76">
        <f>STOCK[[#This Row],[Precio Final]]</f>
        <v>15</v>
      </c>
      <c r="I1101" s="76">
        <f>STOCK[[#This Row],[Precio Venta Ideal (x1.5)]]</f>
        <v>15.3496875</v>
      </c>
      <c r="J1101" s="91">
        <v>1</v>
      </c>
      <c r="K1101" s="91">
        <f>SUMIFS(VENTAS[Cantidad],VENTAS[Código del producto Vendido],STOCK[[#This Row],[Code]])</f>
        <v>1</v>
      </c>
      <c r="L1101" s="91">
        <f>STOCK[[#This Row],[Entradas]]-STOCK[[#This Row],[Salidas]]</f>
        <v>0</v>
      </c>
      <c r="M1101" s="76">
        <f>STOCK[[#This Row],[Precio Final]]*10%</f>
        <v>1.5</v>
      </c>
      <c r="N1101" s="76">
        <v>117.17</v>
      </c>
      <c r="O1101" s="76">
        <v>16</v>
      </c>
      <c r="P1101" s="76">
        <v>7.323125</v>
      </c>
      <c r="Q1101" s="91">
        <v>0</v>
      </c>
      <c r="R1101" s="76">
        <v>0</v>
      </c>
      <c r="S1101" s="76">
        <v>1.41</v>
      </c>
      <c r="T1101" s="76">
        <f>STOCK[[#This Row],[Costo Unitario (USD)]]+STOCK[[#This Row],[Costo Envío (USD)]]+STOCK[[#This Row],[Comisión 10%]]</f>
        <v>10.233125</v>
      </c>
      <c r="U1101" s="76">
        <f>STOCK[[#This Row],[Costo total]]*1.5</f>
        <v>15.3496875</v>
      </c>
      <c r="V1101" s="76">
        <v>15</v>
      </c>
      <c r="W1101" s="76">
        <f>STOCK[[#This Row],[Precio Final]]-STOCK[[#This Row],[Costo total]]</f>
        <v>4.766875</v>
      </c>
      <c r="X1101" s="76">
        <f>STOCK[[#This Row],[Ganancia Unitaria]]*STOCK[[#This Row],[Salidas]]</f>
        <v>4.766875</v>
      </c>
      <c r="Y1101" s="76" t="s">
        <v>2313</v>
      </c>
      <c r="AA1101" s="76">
        <f>STOCK[[#This Row],[Costo total]]*STOCK[[#This Row],[Entradas]]</f>
        <v>10.233125</v>
      </c>
      <c r="AB1101" s="76">
        <f>STOCK[[#This Row],[Stock Actual]]*STOCK[[#This Row],[Costo total]]</f>
        <v>0</v>
      </c>
    </row>
    <row r="1102" s="77" customFormat="1" ht="50" hidden="1" customHeight="1" spans="1:28">
      <c r="A1102" s="77" t="s">
        <v>2314</v>
      </c>
      <c r="B1102" s="6"/>
      <c r="C1102" s="77" t="s">
        <v>30</v>
      </c>
      <c r="D1102" s="77" t="s">
        <v>2315</v>
      </c>
      <c r="E1102" s="77" t="s">
        <v>2316</v>
      </c>
      <c r="F1102" s="77" t="s">
        <v>40</v>
      </c>
      <c r="G1102" s="77" t="s">
        <v>1874</v>
      </c>
      <c r="H1102" s="77">
        <f>STOCK[[#This Row],[Precio Final]]</f>
        <v>30</v>
      </c>
      <c r="I1102" s="77">
        <f>STOCK[[#This Row],[Precio Venta Ideal (x1.5)]]</f>
        <v>26.5265625</v>
      </c>
      <c r="J1102" s="92">
        <v>2</v>
      </c>
      <c r="K1102" s="92">
        <f>SUMIFS(VENTAS[Cantidad],VENTAS[Código del producto Vendido],STOCK[[#This Row],[Code]])</f>
        <v>1</v>
      </c>
      <c r="L1102" s="92">
        <f>STOCK[[#This Row],[Entradas]]-STOCK[[#This Row],[Salidas]]</f>
        <v>1</v>
      </c>
      <c r="M1102" s="77">
        <f>STOCK[[#This Row],[Precio Final]]*10%</f>
        <v>3</v>
      </c>
      <c r="N1102" s="77">
        <v>212.39</v>
      </c>
      <c r="O1102" s="77">
        <v>16</v>
      </c>
      <c r="P1102" s="77">
        <v>13.274375</v>
      </c>
      <c r="Q1102" s="92">
        <v>0</v>
      </c>
      <c r="R1102" s="77">
        <v>0</v>
      </c>
      <c r="S1102" s="77">
        <v>1.41</v>
      </c>
      <c r="T1102" s="76">
        <f>STOCK[[#This Row],[Costo Unitario (USD)]]+STOCK[[#This Row],[Costo Envío (USD)]]+STOCK[[#This Row],[Comisión 10%]]</f>
        <v>17.684375</v>
      </c>
      <c r="U1102" s="77">
        <f>STOCK[[#This Row],[Costo total]]*1.5</f>
        <v>26.5265625</v>
      </c>
      <c r="V1102" s="77">
        <v>30</v>
      </c>
      <c r="W1102" s="77">
        <f>STOCK[[#This Row],[Precio Final]]-STOCK[[#This Row],[Costo total]]</f>
        <v>12.315625</v>
      </c>
      <c r="X1102" s="77">
        <f>STOCK[[#This Row],[Ganancia Unitaria]]*STOCK[[#This Row],[Salidas]]</f>
        <v>12.315625</v>
      </c>
      <c r="Y1102" s="77" t="s">
        <v>2317</v>
      </c>
      <c r="AA1102" s="77">
        <f>STOCK[[#This Row],[Costo total]]*STOCK[[#This Row],[Entradas]]</f>
        <v>35.36875</v>
      </c>
      <c r="AB1102" s="77">
        <f>STOCK[[#This Row],[Stock Actual]]*STOCK[[#This Row],[Costo total]]</f>
        <v>17.684375</v>
      </c>
    </row>
    <row r="1103" s="76" customFormat="1" ht="50" hidden="1" customHeight="1" spans="1:28">
      <c r="A1103" s="76" t="s">
        <v>2318</v>
      </c>
      <c r="B1103" s="6"/>
      <c r="C1103" s="76" t="s">
        <v>30</v>
      </c>
      <c r="D1103" s="76" t="s">
        <v>2116</v>
      </c>
      <c r="E1103" s="76" t="s">
        <v>2319</v>
      </c>
      <c r="F1103" s="76" t="s">
        <v>60</v>
      </c>
      <c r="G1103" s="76" t="s">
        <v>1874</v>
      </c>
      <c r="H1103" s="76">
        <f>STOCK[[#This Row],[Precio Final]]</f>
        <v>30</v>
      </c>
      <c r="I1103" s="76">
        <f>STOCK[[#This Row],[Precio Venta Ideal (x1.5)]]</f>
        <v>30.3215625</v>
      </c>
      <c r="J1103" s="91">
        <v>1</v>
      </c>
      <c r="K1103" s="91">
        <f>SUMIFS(VENTAS[Cantidad],VENTAS[Código del producto Vendido],STOCK[[#This Row],[Code]])</f>
        <v>1</v>
      </c>
      <c r="L1103" s="91">
        <f>STOCK[[#This Row],[Entradas]]-STOCK[[#This Row],[Salidas]]</f>
        <v>0</v>
      </c>
      <c r="M1103" s="76">
        <f>STOCK[[#This Row],[Precio Final]]*10%</f>
        <v>3</v>
      </c>
      <c r="N1103" s="76">
        <v>252.87</v>
      </c>
      <c r="O1103" s="76">
        <v>16</v>
      </c>
      <c r="P1103" s="76">
        <v>15.804375</v>
      </c>
      <c r="Q1103" s="91">
        <v>0</v>
      </c>
      <c r="R1103" s="76">
        <v>0</v>
      </c>
      <c r="S1103" s="76">
        <v>1.41</v>
      </c>
      <c r="T1103" s="76">
        <f>STOCK[[#This Row],[Costo Unitario (USD)]]+STOCK[[#This Row],[Costo Envío (USD)]]+STOCK[[#This Row],[Comisión 10%]]</f>
        <v>20.214375</v>
      </c>
      <c r="U1103" s="76">
        <f>STOCK[[#This Row],[Costo total]]*1.5</f>
        <v>30.3215625</v>
      </c>
      <c r="V1103" s="76">
        <v>30</v>
      </c>
      <c r="W1103" s="76">
        <f>STOCK[[#This Row],[Precio Final]]-STOCK[[#This Row],[Costo total]]</f>
        <v>9.785625</v>
      </c>
      <c r="X1103" s="76">
        <f>STOCK[[#This Row],[Ganancia Unitaria]]*STOCK[[#This Row],[Salidas]]</f>
        <v>9.785625</v>
      </c>
      <c r="Y1103" s="76" t="s">
        <v>2320</v>
      </c>
      <c r="AA1103" s="76">
        <f>STOCK[[#This Row],[Costo total]]*STOCK[[#This Row],[Entradas]]</f>
        <v>20.214375</v>
      </c>
      <c r="AB1103" s="76">
        <f>STOCK[[#This Row],[Stock Actual]]*STOCK[[#This Row],[Costo total]]</f>
        <v>0</v>
      </c>
    </row>
    <row r="1104" s="77" customFormat="1" ht="50" hidden="1" customHeight="1" spans="1:28">
      <c r="A1104" s="77" t="s">
        <v>2321</v>
      </c>
      <c r="B1104" s="6"/>
      <c r="C1104" s="77" t="s">
        <v>30</v>
      </c>
      <c r="D1104" s="77" t="s">
        <v>2135</v>
      </c>
      <c r="E1104" s="77" t="s">
        <v>2322</v>
      </c>
      <c r="F1104" s="77" t="s">
        <v>60</v>
      </c>
      <c r="G1104" s="77" t="s">
        <v>1874</v>
      </c>
      <c r="H1104" s="77">
        <f>STOCK[[#This Row],[Precio Final]]</f>
        <v>20</v>
      </c>
      <c r="I1104" s="77">
        <f>STOCK[[#This Row],[Precio Venta Ideal (x1.5)]]</f>
        <v>19.3715625</v>
      </c>
      <c r="J1104" s="92">
        <v>1</v>
      </c>
      <c r="K1104" s="92">
        <f>SUMIFS(VENTAS[Cantidad],VENTAS[Código del producto Vendido],STOCK[[#This Row],[Code]])</f>
        <v>1</v>
      </c>
      <c r="L1104" s="92">
        <f>STOCK[[#This Row],[Entradas]]-STOCK[[#This Row],[Salidas]]</f>
        <v>0</v>
      </c>
      <c r="M1104" s="77">
        <f>STOCK[[#This Row],[Precio Final]]*10%</f>
        <v>2</v>
      </c>
      <c r="N1104" s="77">
        <v>152.07</v>
      </c>
      <c r="O1104" s="77">
        <v>16</v>
      </c>
      <c r="P1104" s="77">
        <v>9.504375</v>
      </c>
      <c r="Q1104" s="92">
        <v>0</v>
      </c>
      <c r="R1104" s="77">
        <v>0</v>
      </c>
      <c r="S1104" s="77">
        <v>1.41</v>
      </c>
      <c r="T1104" s="76">
        <f>STOCK[[#This Row],[Costo Unitario (USD)]]+STOCK[[#This Row],[Costo Envío (USD)]]+STOCK[[#This Row],[Comisión 10%]]</f>
        <v>12.914375</v>
      </c>
      <c r="U1104" s="77">
        <f>STOCK[[#This Row],[Costo total]]*1.5</f>
        <v>19.3715625</v>
      </c>
      <c r="V1104" s="77">
        <v>20</v>
      </c>
      <c r="W1104" s="77">
        <f>STOCK[[#This Row],[Precio Final]]-STOCK[[#This Row],[Costo total]]</f>
        <v>7.085625</v>
      </c>
      <c r="X1104" s="77">
        <f>STOCK[[#This Row],[Ganancia Unitaria]]*STOCK[[#This Row],[Salidas]]</f>
        <v>7.085625</v>
      </c>
      <c r="Y1104" s="77" t="s">
        <v>2323</v>
      </c>
      <c r="AA1104" s="77">
        <f>STOCK[[#This Row],[Costo total]]*STOCK[[#This Row],[Entradas]]</f>
        <v>12.914375</v>
      </c>
      <c r="AB1104" s="77">
        <f>STOCK[[#This Row],[Stock Actual]]*STOCK[[#This Row],[Costo total]]</f>
        <v>0</v>
      </c>
    </row>
    <row r="1105" s="76" customFormat="1" ht="50" hidden="1" customHeight="1" spans="1:28">
      <c r="A1105" s="76" t="s">
        <v>2324</v>
      </c>
      <c r="B1105" s="6"/>
      <c r="C1105" s="76" t="s">
        <v>30</v>
      </c>
      <c r="D1105" s="76" t="s">
        <v>2135</v>
      </c>
      <c r="E1105" s="76" t="s">
        <v>2322</v>
      </c>
      <c r="F1105" s="76" t="s">
        <v>47</v>
      </c>
      <c r="G1105" s="76" t="s">
        <v>1874</v>
      </c>
      <c r="H1105" s="76">
        <f>STOCK[[#This Row],[Precio Final]]</f>
        <v>20</v>
      </c>
      <c r="I1105" s="76">
        <f>STOCK[[#This Row],[Precio Venta Ideal (x1.5)]]</f>
        <v>19.3715625</v>
      </c>
      <c r="J1105" s="91">
        <v>1</v>
      </c>
      <c r="K1105" s="91">
        <f>SUMIFS(VENTAS[Cantidad],VENTAS[Código del producto Vendido],STOCK[[#This Row],[Code]])</f>
        <v>1</v>
      </c>
      <c r="L1105" s="91">
        <f>STOCK[[#This Row],[Entradas]]-STOCK[[#This Row],[Salidas]]</f>
        <v>0</v>
      </c>
      <c r="M1105" s="76">
        <f>STOCK[[#This Row],[Precio Final]]*10%</f>
        <v>2</v>
      </c>
      <c r="N1105" s="76">
        <v>152.07</v>
      </c>
      <c r="O1105" s="76">
        <v>16</v>
      </c>
      <c r="P1105" s="76">
        <v>9.504375</v>
      </c>
      <c r="Q1105" s="91">
        <v>0</v>
      </c>
      <c r="R1105" s="76">
        <v>0</v>
      </c>
      <c r="S1105" s="76">
        <v>1.41</v>
      </c>
      <c r="T1105" s="76">
        <f>STOCK[[#This Row],[Costo Unitario (USD)]]+STOCK[[#This Row],[Costo Envío (USD)]]+STOCK[[#This Row],[Comisión 10%]]</f>
        <v>12.914375</v>
      </c>
      <c r="U1105" s="76">
        <f>STOCK[[#This Row],[Costo total]]*1.5</f>
        <v>19.3715625</v>
      </c>
      <c r="V1105" s="76">
        <v>20</v>
      </c>
      <c r="W1105" s="76">
        <f>STOCK[[#This Row],[Precio Final]]-STOCK[[#This Row],[Costo total]]</f>
        <v>7.085625</v>
      </c>
      <c r="X1105" s="76">
        <f>STOCK[[#This Row],[Ganancia Unitaria]]*STOCK[[#This Row],[Salidas]]</f>
        <v>7.085625</v>
      </c>
      <c r="Y1105" s="76" t="s">
        <v>2325</v>
      </c>
      <c r="AA1105" s="76">
        <f>STOCK[[#This Row],[Costo total]]*STOCK[[#This Row],[Entradas]]</f>
        <v>12.914375</v>
      </c>
      <c r="AB1105" s="76">
        <f>STOCK[[#This Row],[Stock Actual]]*STOCK[[#This Row],[Costo total]]</f>
        <v>0</v>
      </c>
    </row>
    <row r="1106" s="77" customFormat="1" ht="50" hidden="1" customHeight="1" spans="1:28">
      <c r="A1106" s="77" t="s">
        <v>2326</v>
      </c>
      <c r="B1106" s="6"/>
      <c r="C1106" s="77" t="s">
        <v>30</v>
      </c>
      <c r="D1106" s="77" t="s">
        <v>1210</v>
      </c>
      <c r="E1106" s="77" t="s">
        <v>2322</v>
      </c>
      <c r="F1106" s="77" t="s">
        <v>44</v>
      </c>
      <c r="G1106" s="77" t="s">
        <v>1874</v>
      </c>
      <c r="H1106" s="77">
        <f>STOCK[[#This Row],[Precio Final]]</f>
        <v>20</v>
      </c>
      <c r="I1106" s="77">
        <f>STOCK[[#This Row],[Precio Venta Ideal (x1.5)]]</f>
        <v>19.3715625</v>
      </c>
      <c r="J1106" s="92">
        <v>1</v>
      </c>
      <c r="K1106" s="92">
        <f>SUMIFS(VENTAS[Cantidad],VENTAS[Código del producto Vendido],STOCK[[#This Row],[Code]])</f>
        <v>1</v>
      </c>
      <c r="L1106" s="92">
        <f>STOCK[[#This Row],[Entradas]]-STOCK[[#This Row],[Salidas]]</f>
        <v>0</v>
      </c>
      <c r="M1106" s="77">
        <f>STOCK[[#This Row],[Precio Final]]*10%</f>
        <v>2</v>
      </c>
      <c r="N1106" s="77">
        <v>152.07</v>
      </c>
      <c r="O1106" s="77">
        <v>16</v>
      </c>
      <c r="P1106" s="77">
        <v>9.504375</v>
      </c>
      <c r="Q1106" s="92">
        <v>0</v>
      </c>
      <c r="R1106" s="77">
        <v>0</v>
      </c>
      <c r="S1106" s="77">
        <v>1.41</v>
      </c>
      <c r="T1106" s="76">
        <f>STOCK[[#This Row],[Costo Unitario (USD)]]+STOCK[[#This Row],[Costo Envío (USD)]]+STOCK[[#This Row],[Comisión 10%]]</f>
        <v>12.914375</v>
      </c>
      <c r="U1106" s="77">
        <f>STOCK[[#This Row],[Costo total]]*1.5</f>
        <v>19.3715625</v>
      </c>
      <c r="V1106" s="77">
        <v>20</v>
      </c>
      <c r="W1106" s="77">
        <f>STOCK[[#This Row],[Precio Final]]-STOCK[[#This Row],[Costo total]]</f>
        <v>7.085625</v>
      </c>
      <c r="X1106" s="77">
        <f>STOCK[[#This Row],[Ganancia Unitaria]]*STOCK[[#This Row],[Salidas]]</f>
        <v>7.085625</v>
      </c>
      <c r="Y1106" s="77" t="s">
        <v>2327</v>
      </c>
      <c r="AA1106" s="77">
        <f>STOCK[[#This Row],[Costo total]]*STOCK[[#This Row],[Entradas]]</f>
        <v>12.914375</v>
      </c>
      <c r="AB1106" s="77">
        <f>STOCK[[#This Row],[Stock Actual]]*STOCK[[#This Row],[Costo total]]</f>
        <v>0</v>
      </c>
    </row>
    <row r="1107" s="76" customFormat="1" ht="50" hidden="1" customHeight="1" spans="1:28">
      <c r="A1107" s="76" t="s">
        <v>2328</v>
      </c>
      <c r="B1107" s="6"/>
      <c r="C1107" s="76" t="s">
        <v>30</v>
      </c>
      <c r="D1107" s="76" t="s">
        <v>1210</v>
      </c>
      <c r="E1107" s="76" t="s">
        <v>2322</v>
      </c>
      <c r="F1107" s="76" t="s">
        <v>40</v>
      </c>
      <c r="G1107" s="76" t="s">
        <v>1874</v>
      </c>
      <c r="H1107" s="76">
        <f>STOCK[[#This Row],[Precio Final]]</f>
        <v>20</v>
      </c>
      <c r="I1107" s="76">
        <f>STOCK[[#This Row],[Precio Venta Ideal (x1.5)]]</f>
        <v>19.3715625</v>
      </c>
      <c r="J1107" s="91">
        <v>1</v>
      </c>
      <c r="K1107" s="91">
        <f>SUMIFS(VENTAS[Cantidad],VENTAS[Código del producto Vendido],STOCK[[#This Row],[Code]])</f>
        <v>1</v>
      </c>
      <c r="L1107" s="91">
        <f>STOCK[[#This Row],[Entradas]]-STOCK[[#This Row],[Salidas]]</f>
        <v>0</v>
      </c>
      <c r="M1107" s="76">
        <f>STOCK[[#This Row],[Precio Final]]*10%</f>
        <v>2</v>
      </c>
      <c r="N1107" s="76">
        <v>152.07</v>
      </c>
      <c r="O1107" s="76">
        <v>16</v>
      </c>
      <c r="P1107" s="76">
        <v>9.504375</v>
      </c>
      <c r="Q1107" s="91">
        <v>0</v>
      </c>
      <c r="R1107" s="76">
        <v>0</v>
      </c>
      <c r="S1107" s="76">
        <v>1.41</v>
      </c>
      <c r="T1107" s="76">
        <f>STOCK[[#This Row],[Costo Unitario (USD)]]+STOCK[[#This Row],[Costo Envío (USD)]]+STOCK[[#This Row],[Comisión 10%]]</f>
        <v>12.914375</v>
      </c>
      <c r="U1107" s="76">
        <f>STOCK[[#This Row],[Costo total]]*1.5</f>
        <v>19.3715625</v>
      </c>
      <c r="V1107" s="76">
        <v>20</v>
      </c>
      <c r="W1107" s="76">
        <f>STOCK[[#This Row],[Precio Final]]-STOCK[[#This Row],[Costo total]]</f>
        <v>7.085625</v>
      </c>
      <c r="X1107" s="76">
        <f>STOCK[[#This Row],[Ganancia Unitaria]]*STOCK[[#This Row],[Salidas]]</f>
        <v>7.085625</v>
      </c>
      <c r="Y1107" s="76" t="s">
        <v>2329</v>
      </c>
      <c r="AA1107" s="76">
        <f>STOCK[[#This Row],[Costo total]]*STOCK[[#This Row],[Entradas]]</f>
        <v>12.914375</v>
      </c>
      <c r="AB1107" s="76">
        <f>STOCK[[#This Row],[Stock Actual]]*STOCK[[#This Row],[Costo total]]</f>
        <v>0</v>
      </c>
    </row>
    <row r="1108" s="77" customFormat="1" ht="50" hidden="1" customHeight="1" spans="1:28">
      <c r="A1108" s="77" t="s">
        <v>2330</v>
      </c>
      <c r="B1108" s="6"/>
      <c r="C1108" s="77" t="s">
        <v>30</v>
      </c>
      <c r="D1108" s="77" t="s">
        <v>2331</v>
      </c>
      <c r="E1108" s="77" t="s">
        <v>2332</v>
      </c>
      <c r="F1108" s="77" t="s">
        <v>60</v>
      </c>
      <c r="G1108" s="77" t="s">
        <v>1874</v>
      </c>
      <c r="H1108" s="77">
        <f>STOCK[[#This Row],[Precio Final]]</f>
        <v>20</v>
      </c>
      <c r="I1108" s="77">
        <f>STOCK[[#This Row],[Precio Venta Ideal (x1.5)]]</f>
        <v>23.1140625</v>
      </c>
      <c r="J1108" s="92">
        <v>1</v>
      </c>
      <c r="K1108" s="92">
        <f>SUMIFS(VENTAS[Cantidad],VENTAS[Código del producto Vendido],STOCK[[#This Row],[Code]])</f>
        <v>1</v>
      </c>
      <c r="L1108" s="92">
        <f>STOCK[[#This Row],[Entradas]]-STOCK[[#This Row],[Salidas]]</f>
        <v>0</v>
      </c>
      <c r="M1108" s="77">
        <f>STOCK[[#This Row],[Precio Final]]*10%</f>
        <v>2</v>
      </c>
      <c r="N1108" s="77">
        <v>191.99</v>
      </c>
      <c r="O1108" s="77">
        <v>16</v>
      </c>
      <c r="P1108" s="77">
        <v>11.999375</v>
      </c>
      <c r="Q1108" s="92">
        <v>0</v>
      </c>
      <c r="R1108" s="77">
        <v>0</v>
      </c>
      <c r="S1108" s="77">
        <v>1.41</v>
      </c>
      <c r="T1108" s="76">
        <f>STOCK[[#This Row],[Costo Unitario (USD)]]+STOCK[[#This Row],[Costo Envío (USD)]]+STOCK[[#This Row],[Comisión 10%]]</f>
        <v>15.409375</v>
      </c>
      <c r="U1108" s="77">
        <f>STOCK[[#This Row],[Costo total]]*1.5</f>
        <v>23.1140625</v>
      </c>
      <c r="V1108" s="77">
        <v>20</v>
      </c>
      <c r="W1108" s="77">
        <f>STOCK[[#This Row],[Precio Final]]-STOCK[[#This Row],[Costo total]]</f>
        <v>4.590625</v>
      </c>
      <c r="X1108" s="77">
        <f>STOCK[[#This Row],[Ganancia Unitaria]]*STOCK[[#This Row],[Salidas]]</f>
        <v>4.590625</v>
      </c>
      <c r="Y1108" s="77" t="s">
        <v>2333</v>
      </c>
      <c r="AA1108" s="77">
        <f>STOCK[[#This Row],[Costo total]]*STOCK[[#This Row],[Entradas]]</f>
        <v>15.409375</v>
      </c>
      <c r="AB1108" s="77">
        <f>STOCK[[#This Row],[Stock Actual]]*STOCK[[#This Row],[Costo total]]</f>
        <v>0</v>
      </c>
    </row>
    <row r="1109" s="76" customFormat="1" ht="50" hidden="1" customHeight="1" spans="1:28">
      <c r="A1109" s="76" t="s">
        <v>2334</v>
      </c>
      <c r="B1109" s="6"/>
      <c r="C1109" s="76" t="s">
        <v>30</v>
      </c>
      <c r="D1109" s="77" t="s">
        <v>36</v>
      </c>
      <c r="E1109" s="76" t="s">
        <v>2335</v>
      </c>
      <c r="F1109" s="76" t="s">
        <v>44</v>
      </c>
      <c r="G1109" s="76" t="s">
        <v>1874</v>
      </c>
      <c r="H1109" s="76">
        <f>STOCK[[#This Row],[Precio Final]]</f>
        <v>18</v>
      </c>
      <c r="I1109" s="76">
        <f>STOCK[[#This Row],[Precio Venta Ideal (x1.5)]]</f>
        <v>15.3515625</v>
      </c>
      <c r="J1109" s="91">
        <v>2</v>
      </c>
      <c r="K1109" s="91">
        <f>SUMIFS(VENTAS[Cantidad],VENTAS[Código del producto Vendido],STOCK[[#This Row],[Code]])</f>
        <v>0</v>
      </c>
      <c r="L1109" s="91">
        <f>STOCK[[#This Row],[Entradas]]-STOCK[[#This Row],[Salidas]]</f>
        <v>2</v>
      </c>
      <c r="M1109" s="76">
        <f>STOCK[[#This Row],[Precio Final]]*10%</f>
        <v>1.8</v>
      </c>
      <c r="N1109" s="76">
        <v>112.39</v>
      </c>
      <c r="O1109" s="76">
        <v>16</v>
      </c>
      <c r="P1109" s="76">
        <v>7.024375</v>
      </c>
      <c r="Q1109" s="91">
        <v>0</v>
      </c>
      <c r="R1109" s="76">
        <v>0</v>
      </c>
      <c r="S1109" s="76">
        <v>1.41</v>
      </c>
      <c r="T1109" s="76">
        <f>STOCK[[#This Row],[Costo Unitario (USD)]]+STOCK[[#This Row],[Costo Envío (USD)]]+STOCK[[#This Row],[Comisión 10%]]</f>
        <v>10.234375</v>
      </c>
      <c r="U1109" s="76">
        <f>STOCK[[#This Row],[Costo total]]*1.5</f>
        <v>15.3515625</v>
      </c>
      <c r="V1109" s="76">
        <v>18</v>
      </c>
      <c r="W1109" s="76">
        <f>STOCK[[#This Row],[Precio Final]]-STOCK[[#This Row],[Costo total]]</f>
        <v>7.765625</v>
      </c>
      <c r="X1109" s="76">
        <f>STOCK[[#This Row],[Ganancia Unitaria]]*STOCK[[#This Row],[Salidas]]</f>
        <v>0</v>
      </c>
      <c r="Y1109" s="76" t="s">
        <v>2336</v>
      </c>
      <c r="AA1109" s="76">
        <f>STOCK[[#This Row],[Costo total]]*STOCK[[#This Row],[Entradas]]</f>
        <v>20.46875</v>
      </c>
      <c r="AB1109" s="76">
        <f>STOCK[[#This Row],[Stock Actual]]*STOCK[[#This Row],[Costo total]]</f>
        <v>20.46875</v>
      </c>
    </row>
    <row r="1110" s="77" customFormat="1" ht="50" hidden="1" customHeight="1" spans="1:28">
      <c r="A1110" s="77" t="s">
        <v>2337</v>
      </c>
      <c r="B1110" s="6"/>
      <c r="C1110" s="77" t="s">
        <v>30</v>
      </c>
      <c r="D1110" s="77" t="s">
        <v>36</v>
      </c>
      <c r="E1110" s="77" t="s">
        <v>2335</v>
      </c>
      <c r="F1110" s="77" t="s">
        <v>60</v>
      </c>
      <c r="G1110" s="77" t="s">
        <v>1874</v>
      </c>
      <c r="H1110" s="77">
        <f>STOCK[[#This Row],[Precio Final]]</f>
        <v>18</v>
      </c>
      <c r="I1110" s="77">
        <f>STOCK[[#This Row],[Precio Venta Ideal (x1.5)]]</f>
        <v>15.3515625</v>
      </c>
      <c r="J1110" s="92">
        <v>2</v>
      </c>
      <c r="K1110" s="92">
        <f>SUMIFS(VENTAS[Cantidad],VENTAS[Código del producto Vendido],STOCK[[#This Row],[Code]])</f>
        <v>0</v>
      </c>
      <c r="L1110" s="92">
        <f>STOCK[[#This Row],[Entradas]]-STOCK[[#This Row],[Salidas]]</f>
        <v>2</v>
      </c>
      <c r="M1110" s="77">
        <f>STOCK[[#This Row],[Precio Final]]*10%</f>
        <v>1.8</v>
      </c>
      <c r="N1110" s="77">
        <v>112.39</v>
      </c>
      <c r="O1110" s="77">
        <v>16</v>
      </c>
      <c r="P1110" s="77">
        <v>7.024375</v>
      </c>
      <c r="Q1110" s="92">
        <v>0</v>
      </c>
      <c r="R1110" s="77">
        <v>0</v>
      </c>
      <c r="S1110" s="77">
        <v>1.41</v>
      </c>
      <c r="T1110" s="76">
        <f>STOCK[[#This Row],[Costo Unitario (USD)]]+STOCK[[#This Row],[Costo Envío (USD)]]+STOCK[[#This Row],[Comisión 10%]]</f>
        <v>10.234375</v>
      </c>
      <c r="U1110" s="77">
        <f>STOCK[[#This Row],[Costo total]]*1.5</f>
        <v>15.3515625</v>
      </c>
      <c r="V1110" s="77">
        <v>18</v>
      </c>
      <c r="W1110" s="77">
        <f>STOCK[[#This Row],[Precio Final]]-STOCK[[#This Row],[Costo total]]</f>
        <v>7.765625</v>
      </c>
      <c r="X1110" s="77">
        <f>STOCK[[#This Row],[Ganancia Unitaria]]*STOCK[[#This Row],[Salidas]]</f>
        <v>0</v>
      </c>
      <c r="Y1110" s="77" t="s">
        <v>2338</v>
      </c>
      <c r="AA1110" s="77">
        <f>STOCK[[#This Row],[Costo total]]*STOCK[[#This Row],[Entradas]]</f>
        <v>20.46875</v>
      </c>
      <c r="AB1110" s="77">
        <f>STOCK[[#This Row],[Stock Actual]]*STOCK[[#This Row],[Costo total]]</f>
        <v>20.46875</v>
      </c>
    </row>
    <row r="1111" s="76" customFormat="1" ht="50" hidden="1" customHeight="1" spans="1:28">
      <c r="A1111" s="76" t="s">
        <v>2339</v>
      </c>
      <c r="B1111" s="6"/>
      <c r="C1111" s="76" t="s">
        <v>30</v>
      </c>
      <c r="D1111" s="77" t="s">
        <v>36</v>
      </c>
      <c r="E1111" s="76" t="s">
        <v>2335</v>
      </c>
      <c r="F1111" s="76" t="s">
        <v>47</v>
      </c>
      <c r="G1111" s="76" t="s">
        <v>1874</v>
      </c>
      <c r="H1111" s="76">
        <f>STOCK[[#This Row],[Precio Final]]</f>
        <v>18</v>
      </c>
      <c r="I1111" s="76">
        <f>STOCK[[#This Row],[Precio Venta Ideal (x1.5)]]</f>
        <v>15.3515625</v>
      </c>
      <c r="J1111" s="91">
        <v>2</v>
      </c>
      <c r="K1111" s="91">
        <f>SUMIFS(VENTAS[Cantidad],VENTAS[Código del producto Vendido],STOCK[[#This Row],[Code]])</f>
        <v>0</v>
      </c>
      <c r="L1111" s="91">
        <f>STOCK[[#This Row],[Entradas]]-STOCK[[#This Row],[Salidas]]</f>
        <v>2</v>
      </c>
      <c r="M1111" s="76">
        <f>STOCK[[#This Row],[Precio Final]]*10%</f>
        <v>1.8</v>
      </c>
      <c r="N1111" s="76">
        <v>112.39</v>
      </c>
      <c r="O1111" s="76">
        <v>16</v>
      </c>
      <c r="P1111" s="76">
        <v>7.024375</v>
      </c>
      <c r="Q1111" s="91">
        <v>0</v>
      </c>
      <c r="R1111" s="76">
        <v>0</v>
      </c>
      <c r="S1111" s="76">
        <v>1.41</v>
      </c>
      <c r="T1111" s="76">
        <f>STOCK[[#This Row],[Costo Unitario (USD)]]+STOCK[[#This Row],[Costo Envío (USD)]]+STOCK[[#This Row],[Comisión 10%]]</f>
        <v>10.234375</v>
      </c>
      <c r="U1111" s="76">
        <f>STOCK[[#This Row],[Costo total]]*1.5</f>
        <v>15.3515625</v>
      </c>
      <c r="V1111" s="76">
        <v>18</v>
      </c>
      <c r="W1111" s="76">
        <f>STOCK[[#This Row],[Precio Final]]-STOCK[[#This Row],[Costo total]]</f>
        <v>7.765625</v>
      </c>
      <c r="X1111" s="76">
        <f>STOCK[[#This Row],[Ganancia Unitaria]]*STOCK[[#This Row],[Salidas]]</f>
        <v>0</v>
      </c>
      <c r="Y1111" s="76" t="s">
        <v>2340</v>
      </c>
      <c r="AA1111" s="76">
        <f>STOCK[[#This Row],[Costo total]]*STOCK[[#This Row],[Entradas]]</f>
        <v>20.46875</v>
      </c>
      <c r="AB1111" s="76">
        <f>STOCK[[#This Row],[Stock Actual]]*STOCK[[#This Row],[Costo total]]</f>
        <v>20.46875</v>
      </c>
    </row>
    <row r="1112" s="77" customFormat="1" ht="50" hidden="1" customHeight="1" spans="1:28">
      <c r="A1112" s="77" t="s">
        <v>2341</v>
      </c>
      <c r="B1112" s="6"/>
      <c r="C1112" s="77" t="s">
        <v>30</v>
      </c>
      <c r="D1112" s="77" t="s">
        <v>36</v>
      </c>
      <c r="E1112" s="77" t="s">
        <v>2342</v>
      </c>
      <c r="F1112" s="77" t="s">
        <v>44</v>
      </c>
      <c r="G1112" s="77" t="s">
        <v>1874</v>
      </c>
      <c r="H1112" s="77">
        <f>STOCK[[#This Row],[Precio Final]]</f>
        <v>28</v>
      </c>
      <c r="I1112" s="77">
        <f>STOCK[[#This Row],[Precio Venta Ideal (x1.5)]]</f>
        <v>30.6984375</v>
      </c>
      <c r="J1112" s="92">
        <v>1</v>
      </c>
      <c r="K1112" s="92">
        <f>SUMIFS(VENTAS[Cantidad],VENTAS[Código del producto Vendido],STOCK[[#This Row],[Code]])</f>
        <v>0</v>
      </c>
      <c r="L1112" s="92">
        <f>STOCK[[#This Row],[Entradas]]-STOCK[[#This Row],[Salidas]]</f>
        <v>1</v>
      </c>
      <c r="M1112" s="77">
        <f>STOCK[[#This Row],[Precio Final]]*10%</f>
        <v>2.8</v>
      </c>
      <c r="N1112" s="77">
        <v>260.09</v>
      </c>
      <c r="O1112" s="77">
        <v>16</v>
      </c>
      <c r="P1112" s="77">
        <v>16.255625</v>
      </c>
      <c r="Q1112" s="92">
        <v>0</v>
      </c>
      <c r="R1112" s="77">
        <v>0</v>
      </c>
      <c r="S1112" s="77">
        <v>1.41</v>
      </c>
      <c r="T1112" s="76">
        <f>STOCK[[#This Row],[Costo Unitario (USD)]]+STOCK[[#This Row],[Costo Envío (USD)]]+STOCK[[#This Row],[Comisión 10%]]</f>
        <v>20.465625</v>
      </c>
      <c r="U1112" s="77">
        <f>STOCK[[#This Row],[Costo total]]*1.5</f>
        <v>30.6984375</v>
      </c>
      <c r="V1112" s="77">
        <v>28</v>
      </c>
      <c r="W1112" s="77">
        <f>STOCK[[#This Row],[Precio Final]]-STOCK[[#This Row],[Costo total]]</f>
        <v>7.534375</v>
      </c>
      <c r="X1112" s="77">
        <f>STOCK[[#This Row],[Ganancia Unitaria]]*STOCK[[#This Row],[Salidas]]</f>
        <v>0</v>
      </c>
      <c r="Y1112" s="77" t="s">
        <v>2343</v>
      </c>
      <c r="AA1112" s="77">
        <f>STOCK[[#This Row],[Costo total]]*STOCK[[#This Row],[Entradas]]</f>
        <v>20.465625</v>
      </c>
      <c r="AB1112" s="77">
        <f>STOCK[[#This Row],[Stock Actual]]*STOCK[[#This Row],[Costo total]]</f>
        <v>20.465625</v>
      </c>
    </row>
    <row r="1113" s="76" customFormat="1" ht="50" hidden="1" customHeight="1" spans="1:28">
      <c r="A1113" s="76" t="s">
        <v>2344</v>
      </c>
      <c r="B1113" s="6"/>
      <c r="C1113" s="76" t="s">
        <v>30</v>
      </c>
      <c r="D1113" s="77" t="s">
        <v>36</v>
      </c>
      <c r="E1113" s="76" t="s">
        <v>2342</v>
      </c>
      <c r="F1113" s="76" t="s">
        <v>47</v>
      </c>
      <c r="G1113" s="76" t="s">
        <v>1874</v>
      </c>
      <c r="H1113" s="76">
        <f>STOCK[[#This Row],[Precio Final]]</f>
        <v>28</v>
      </c>
      <c r="I1113" s="76">
        <f>STOCK[[#This Row],[Precio Venta Ideal (x1.5)]]</f>
        <v>30.6984375</v>
      </c>
      <c r="J1113" s="91">
        <v>1</v>
      </c>
      <c r="K1113" s="91">
        <f>SUMIFS(VENTAS[Cantidad],VENTAS[Código del producto Vendido],STOCK[[#This Row],[Code]])</f>
        <v>0</v>
      </c>
      <c r="L1113" s="91">
        <f>STOCK[[#This Row],[Entradas]]-STOCK[[#This Row],[Salidas]]</f>
        <v>1</v>
      </c>
      <c r="M1113" s="76">
        <f>STOCK[[#This Row],[Precio Final]]*10%</f>
        <v>2.8</v>
      </c>
      <c r="N1113" s="76">
        <v>260.09</v>
      </c>
      <c r="O1113" s="76">
        <v>16</v>
      </c>
      <c r="P1113" s="76">
        <v>16.255625</v>
      </c>
      <c r="Q1113" s="91">
        <v>0</v>
      </c>
      <c r="R1113" s="76">
        <v>0</v>
      </c>
      <c r="S1113" s="76">
        <v>1.41</v>
      </c>
      <c r="T1113" s="76">
        <f>STOCK[[#This Row],[Costo Unitario (USD)]]+STOCK[[#This Row],[Costo Envío (USD)]]+STOCK[[#This Row],[Comisión 10%]]</f>
        <v>20.465625</v>
      </c>
      <c r="U1113" s="76">
        <f>STOCK[[#This Row],[Costo total]]*1.5</f>
        <v>30.6984375</v>
      </c>
      <c r="V1113" s="76">
        <v>28</v>
      </c>
      <c r="W1113" s="76">
        <f>STOCK[[#This Row],[Precio Final]]-STOCK[[#This Row],[Costo total]]</f>
        <v>7.534375</v>
      </c>
      <c r="X1113" s="76">
        <f>STOCK[[#This Row],[Ganancia Unitaria]]*STOCK[[#This Row],[Salidas]]</f>
        <v>0</v>
      </c>
      <c r="Y1113" s="76" t="s">
        <v>2345</v>
      </c>
      <c r="AA1113" s="76">
        <f>STOCK[[#This Row],[Costo total]]*STOCK[[#This Row],[Entradas]]</f>
        <v>20.465625</v>
      </c>
      <c r="AB1113" s="76">
        <f>STOCK[[#This Row],[Stock Actual]]*STOCK[[#This Row],[Costo total]]</f>
        <v>20.465625</v>
      </c>
    </row>
    <row r="1114" s="77" customFormat="1" ht="50" hidden="1" customHeight="1" spans="1:28">
      <c r="A1114" s="77" t="s">
        <v>2346</v>
      </c>
      <c r="B1114" s="6"/>
      <c r="C1114" s="77" t="s">
        <v>30</v>
      </c>
      <c r="D1114" s="77" t="s">
        <v>36</v>
      </c>
      <c r="E1114" s="77" t="s">
        <v>2342</v>
      </c>
      <c r="F1114" s="77" t="s">
        <v>60</v>
      </c>
      <c r="G1114" s="77" t="s">
        <v>1874</v>
      </c>
      <c r="H1114" s="77">
        <f>STOCK[[#This Row],[Precio Final]]</f>
        <v>28</v>
      </c>
      <c r="I1114" s="77">
        <f>STOCK[[#This Row],[Precio Venta Ideal (x1.5)]]</f>
        <v>30.6984375</v>
      </c>
      <c r="J1114" s="92">
        <v>1</v>
      </c>
      <c r="K1114" s="92">
        <f>SUMIFS(VENTAS[Cantidad],VENTAS[Código del producto Vendido],STOCK[[#This Row],[Code]])</f>
        <v>0</v>
      </c>
      <c r="L1114" s="92">
        <f>STOCK[[#This Row],[Entradas]]-STOCK[[#This Row],[Salidas]]</f>
        <v>1</v>
      </c>
      <c r="M1114" s="77">
        <f>STOCK[[#This Row],[Precio Final]]*10%</f>
        <v>2.8</v>
      </c>
      <c r="N1114" s="77">
        <v>260.09</v>
      </c>
      <c r="O1114" s="77">
        <v>16</v>
      </c>
      <c r="P1114" s="77">
        <v>16.255625</v>
      </c>
      <c r="Q1114" s="92">
        <v>0</v>
      </c>
      <c r="R1114" s="77">
        <v>0</v>
      </c>
      <c r="S1114" s="77">
        <v>1.41</v>
      </c>
      <c r="T1114" s="76">
        <f>STOCK[[#This Row],[Costo Unitario (USD)]]+STOCK[[#This Row],[Costo Envío (USD)]]+STOCK[[#This Row],[Comisión 10%]]</f>
        <v>20.465625</v>
      </c>
      <c r="U1114" s="77">
        <f>STOCK[[#This Row],[Costo total]]*1.5</f>
        <v>30.6984375</v>
      </c>
      <c r="V1114" s="77">
        <v>28</v>
      </c>
      <c r="W1114" s="77">
        <f>STOCK[[#This Row],[Precio Final]]-STOCK[[#This Row],[Costo total]]</f>
        <v>7.534375</v>
      </c>
      <c r="X1114" s="77">
        <f>STOCK[[#This Row],[Ganancia Unitaria]]*STOCK[[#This Row],[Salidas]]</f>
        <v>0</v>
      </c>
      <c r="Y1114" s="77" t="s">
        <v>2347</v>
      </c>
      <c r="AA1114" s="77">
        <f>STOCK[[#This Row],[Costo total]]*STOCK[[#This Row],[Entradas]]</f>
        <v>20.465625</v>
      </c>
      <c r="AB1114" s="77">
        <f>STOCK[[#This Row],[Stock Actual]]*STOCK[[#This Row],[Costo total]]</f>
        <v>20.465625</v>
      </c>
    </row>
    <row r="1115" s="76" customFormat="1" ht="50" hidden="1" customHeight="1" spans="1:28">
      <c r="A1115" s="76" t="s">
        <v>2348</v>
      </c>
      <c r="B1115" s="6"/>
      <c r="C1115" s="76" t="s">
        <v>30</v>
      </c>
      <c r="D1115" s="76" t="s">
        <v>2331</v>
      </c>
      <c r="E1115" s="76" t="s">
        <v>2342</v>
      </c>
      <c r="F1115" s="76" t="s">
        <v>38</v>
      </c>
      <c r="G1115" s="76" t="s">
        <v>1874</v>
      </c>
      <c r="H1115" s="76">
        <f>STOCK[[#This Row],[Precio Final]]</f>
        <v>28</v>
      </c>
      <c r="I1115" s="76">
        <f>STOCK[[#This Row],[Precio Venta Ideal (x1.5)]]</f>
        <v>30.6984375</v>
      </c>
      <c r="J1115" s="91">
        <v>1</v>
      </c>
      <c r="K1115" s="91">
        <f>SUMIFS(VENTAS[Cantidad],VENTAS[Código del producto Vendido],STOCK[[#This Row],[Code]])</f>
        <v>1</v>
      </c>
      <c r="L1115" s="91">
        <f>STOCK[[#This Row],[Entradas]]-STOCK[[#This Row],[Salidas]]</f>
        <v>0</v>
      </c>
      <c r="M1115" s="76">
        <f>STOCK[[#This Row],[Precio Final]]*10%</f>
        <v>2.8</v>
      </c>
      <c r="N1115" s="76">
        <v>260.09</v>
      </c>
      <c r="O1115" s="76">
        <v>16</v>
      </c>
      <c r="P1115" s="76">
        <v>16.255625</v>
      </c>
      <c r="Q1115" s="91">
        <v>0</v>
      </c>
      <c r="R1115" s="76">
        <v>0</v>
      </c>
      <c r="S1115" s="76">
        <v>1.41</v>
      </c>
      <c r="T1115" s="76">
        <f>STOCK[[#This Row],[Costo Unitario (USD)]]+STOCK[[#This Row],[Costo Envío (USD)]]+STOCK[[#This Row],[Comisión 10%]]</f>
        <v>20.465625</v>
      </c>
      <c r="U1115" s="76">
        <f>STOCK[[#This Row],[Costo total]]*1.5</f>
        <v>30.6984375</v>
      </c>
      <c r="V1115" s="76">
        <v>28</v>
      </c>
      <c r="W1115" s="76">
        <f>STOCK[[#This Row],[Precio Final]]-STOCK[[#This Row],[Costo total]]</f>
        <v>7.534375</v>
      </c>
      <c r="X1115" s="76">
        <f>STOCK[[#This Row],[Ganancia Unitaria]]*STOCK[[#This Row],[Salidas]]</f>
        <v>7.534375</v>
      </c>
      <c r="Y1115" s="76" t="s">
        <v>2349</v>
      </c>
      <c r="AA1115" s="76">
        <f>STOCK[[#This Row],[Costo total]]*STOCK[[#This Row],[Entradas]]</f>
        <v>20.465625</v>
      </c>
      <c r="AB1115" s="76">
        <f>STOCK[[#This Row],[Stock Actual]]*STOCK[[#This Row],[Costo total]]</f>
        <v>0</v>
      </c>
    </row>
    <row r="1116" s="77" customFormat="1" ht="50" hidden="1" customHeight="1" spans="1:28">
      <c r="A1116" s="77" t="s">
        <v>2350</v>
      </c>
      <c r="B1116" s="6"/>
      <c r="C1116" s="77" t="s">
        <v>30</v>
      </c>
      <c r="D1116" s="77" t="s">
        <v>1806</v>
      </c>
      <c r="E1116" s="77" t="s">
        <v>2351</v>
      </c>
      <c r="F1116" s="77" t="s">
        <v>524</v>
      </c>
      <c r="G1116" s="77" t="s">
        <v>1874</v>
      </c>
      <c r="H1116" s="77">
        <f>STOCK[[#This Row],[Precio Final]]</f>
        <v>10</v>
      </c>
      <c r="I1116" s="77">
        <f>STOCK[[#This Row],[Precio Venta Ideal (x1.5)]]</f>
        <v>10.996875</v>
      </c>
      <c r="J1116" s="92">
        <v>1</v>
      </c>
      <c r="K1116" s="92">
        <f>SUMIFS(VENTAS[Cantidad],VENTAS[Código del producto Vendido],STOCK[[#This Row],[Code]])</f>
        <v>0</v>
      </c>
      <c r="L1116" s="92">
        <f>STOCK[[#This Row],[Entradas]]-STOCK[[#This Row],[Salidas]]</f>
        <v>1</v>
      </c>
      <c r="M1116" s="77">
        <f>STOCK[[#This Row],[Precio Final]]*10%</f>
        <v>1</v>
      </c>
      <c r="N1116" s="77">
        <v>78.74</v>
      </c>
      <c r="O1116" s="77">
        <v>16</v>
      </c>
      <c r="P1116" s="77">
        <v>4.92125</v>
      </c>
      <c r="Q1116" s="92">
        <v>0</v>
      </c>
      <c r="R1116" s="77">
        <v>0</v>
      </c>
      <c r="S1116" s="77">
        <v>1.41</v>
      </c>
      <c r="T1116" s="76">
        <f>STOCK[[#This Row],[Costo Unitario (USD)]]+STOCK[[#This Row],[Costo Envío (USD)]]+STOCK[[#This Row],[Comisión 10%]]</f>
        <v>7.33125</v>
      </c>
      <c r="U1116" s="77">
        <f>STOCK[[#This Row],[Costo total]]*1.5</f>
        <v>10.996875</v>
      </c>
      <c r="V1116" s="77">
        <v>10</v>
      </c>
      <c r="W1116" s="77">
        <f>STOCK[[#This Row],[Precio Final]]-STOCK[[#This Row],[Costo total]]</f>
        <v>2.66875</v>
      </c>
      <c r="X1116" s="77">
        <f>STOCK[[#This Row],[Ganancia Unitaria]]*STOCK[[#This Row],[Salidas]]</f>
        <v>0</v>
      </c>
      <c r="Y1116" s="77" t="s">
        <v>2352</v>
      </c>
      <c r="AA1116" s="77">
        <f>STOCK[[#This Row],[Costo total]]*STOCK[[#This Row],[Entradas]]</f>
        <v>7.33125</v>
      </c>
      <c r="AB1116" s="77">
        <f>STOCK[[#This Row],[Stock Actual]]*STOCK[[#This Row],[Costo total]]</f>
        <v>7.33125</v>
      </c>
    </row>
    <row r="1117" s="76" customFormat="1" ht="50" hidden="1" customHeight="1" spans="1:28">
      <c r="A1117" s="76" t="s">
        <v>2353</v>
      </c>
      <c r="B1117" s="6"/>
      <c r="C1117" s="76" t="s">
        <v>30</v>
      </c>
      <c r="D1117" s="76" t="s">
        <v>1806</v>
      </c>
      <c r="E1117" s="76" t="s">
        <v>2354</v>
      </c>
      <c r="F1117" s="76" t="s">
        <v>524</v>
      </c>
      <c r="G1117" s="76" t="s">
        <v>1874</v>
      </c>
      <c r="H1117" s="76">
        <f>STOCK[[#This Row],[Precio Final]]</f>
        <v>10</v>
      </c>
      <c r="I1117" s="76">
        <f>STOCK[[#This Row],[Precio Venta Ideal (x1.5)]]</f>
        <v>10.321875</v>
      </c>
      <c r="J1117" s="91">
        <v>2</v>
      </c>
      <c r="K1117" s="91">
        <f>SUMIFS(VENTAS[Cantidad],VENTAS[Código del producto Vendido],STOCK[[#This Row],[Code]])</f>
        <v>0</v>
      </c>
      <c r="L1117" s="91">
        <f>STOCK[[#This Row],[Entradas]]-STOCK[[#This Row],[Salidas]]</f>
        <v>2</v>
      </c>
      <c r="M1117" s="76">
        <f>STOCK[[#This Row],[Precio Final]]*10%</f>
        <v>1</v>
      </c>
      <c r="N1117" s="76">
        <v>71.54</v>
      </c>
      <c r="O1117" s="76">
        <v>16</v>
      </c>
      <c r="P1117" s="76">
        <v>4.47125</v>
      </c>
      <c r="Q1117" s="91">
        <v>0</v>
      </c>
      <c r="R1117" s="76">
        <v>0</v>
      </c>
      <c r="S1117" s="76">
        <v>1.41</v>
      </c>
      <c r="T1117" s="76">
        <f>STOCK[[#This Row],[Costo Unitario (USD)]]+STOCK[[#This Row],[Costo Envío (USD)]]+STOCK[[#This Row],[Comisión 10%]]</f>
        <v>6.88125</v>
      </c>
      <c r="U1117" s="76">
        <f>STOCK[[#This Row],[Costo total]]*1.5</f>
        <v>10.321875</v>
      </c>
      <c r="V1117" s="76">
        <v>10</v>
      </c>
      <c r="W1117" s="76">
        <f>STOCK[[#This Row],[Precio Final]]-STOCK[[#This Row],[Costo total]]</f>
        <v>3.11875</v>
      </c>
      <c r="X1117" s="76">
        <f>STOCK[[#This Row],[Ganancia Unitaria]]*STOCK[[#This Row],[Salidas]]</f>
        <v>0</v>
      </c>
      <c r="Y1117" s="76" t="s">
        <v>2355</v>
      </c>
      <c r="AA1117" s="76">
        <f>STOCK[[#This Row],[Costo total]]*STOCK[[#This Row],[Entradas]]</f>
        <v>13.7625</v>
      </c>
      <c r="AB1117" s="76">
        <f>STOCK[[#This Row],[Stock Actual]]*STOCK[[#This Row],[Costo total]]</f>
        <v>13.7625</v>
      </c>
    </row>
    <row r="1118" s="77" customFormat="1" ht="50" hidden="1" customHeight="1" spans="1:28">
      <c r="A1118" s="77" t="s">
        <v>2356</v>
      </c>
      <c r="B1118" s="6"/>
      <c r="C1118" s="77" t="s">
        <v>30</v>
      </c>
      <c r="D1118" s="77" t="s">
        <v>1806</v>
      </c>
      <c r="E1118" s="77" t="s">
        <v>2357</v>
      </c>
      <c r="F1118" s="77" t="s">
        <v>524</v>
      </c>
      <c r="G1118" s="77" t="s">
        <v>1874</v>
      </c>
      <c r="H1118" s="77">
        <f>STOCK[[#This Row],[Precio Final]]</f>
        <v>10</v>
      </c>
      <c r="I1118" s="77">
        <f>STOCK[[#This Row],[Precio Venta Ideal (x1.5)]]</f>
        <v>10.996875</v>
      </c>
      <c r="J1118" s="92">
        <v>2</v>
      </c>
      <c r="K1118" s="92">
        <f>SUMIFS(VENTAS[Cantidad],VENTAS[Código del producto Vendido],STOCK[[#This Row],[Code]])</f>
        <v>2</v>
      </c>
      <c r="L1118" s="92">
        <f>STOCK[[#This Row],[Entradas]]-STOCK[[#This Row],[Salidas]]</f>
        <v>0</v>
      </c>
      <c r="M1118" s="77">
        <f>STOCK[[#This Row],[Precio Final]]*10%</f>
        <v>1</v>
      </c>
      <c r="N1118" s="77">
        <v>78.74</v>
      </c>
      <c r="O1118" s="77">
        <v>16</v>
      </c>
      <c r="P1118" s="77">
        <v>4.92125</v>
      </c>
      <c r="Q1118" s="92">
        <v>0</v>
      </c>
      <c r="R1118" s="77">
        <v>0</v>
      </c>
      <c r="S1118" s="77">
        <v>1.41</v>
      </c>
      <c r="T1118" s="76">
        <f>STOCK[[#This Row],[Costo Unitario (USD)]]+STOCK[[#This Row],[Costo Envío (USD)]]+STOCK[[#This Row],[Comisión 10%]]</f>
        <v>7.33125</v>
      </c>
      <c r="U1118" s="77">
        <f>STOCK[[#This Row],[Costo total]]*1.5</f>
        <v>10.996875</v>
      </c>
      <c r="V1118" s="77">
        <v>10</v>
      </c>
      <c r="W1118" s="77">
        <f>STOCK[[#This Row],[Precio Final]]-STOCK[[#This Row],[Costo total]]</f>
        <v>2.66875</v>
      </c>
      <c r="X1118" s="77">
        <f>STOCK[[#This Row],[Ganancia Unitaria]]*STOCK[[#This Row],[Salidas]]</f>
        <v>5.3375</v>
      </c>
      <c r="Y1118" s="77" t="s">
        <v>2358</v>
      </c>
      <c r="AA1118" s="77">
        <f>STOCK[[#This Row],[Costo total]]*STOCK[[#This Row],[Entradas]]</f>
        <v>14.6625</v>
      </c>
      <c r="AB1118" s="77">
        <f>STOCK[[#This Row],[Stock Actual]]*STOCK[[#This Row],[Costo total]]</f>
        <v>0</v>
      </c>
    </row>
    <row r="1119" s="76" customFormat="1" ht="50" hidden="1" customHeight="1" spans="1:28">
      <c r="A1119" s="76" t="s">
        <v>2359</v>
      </c>
      <c r="B1119" s="6"/>
      <c r="C1119" s="76" t="s">
        <v>30</v>
      </c>
      <c r="D1119" s="76" t="s">
        <v>1806</v>
      </c>
      <c r="E1119" s="76" t="s">
        <v>2360</v>
      </c>
      <c r="F1119" s="76" t="s">
        <v>524</v>
      </c>
      <c r="G1119" s="76" t="s">
        <v>1874</v>
      </c>
      <c r="H1119" s="76">
        <f>STOCK[[#This Row],[Precio Final]]</f>
        <v>10</v>
      </c>
      <c r="I1119" s="76">
        <f>STOCK[[#This Row],[Precio Venta Ideal (x1.5)]]</f>
        <v>9.1828125</v>
      </c>
      <c r="J1119" s="91">
        <v>2</v>
      </c>
      <c r="K1119" s="91">
        <f>SUMIFS(VENTAS[Cantidad],VENTAS[Código del producto Vendido],STOCK[[#This Row],[Code]])</f>
        <v>2</v>
      </c>
      <c r="L1119" s="91">
        <f>STOCK[[#This Row],[Entradas]]-STOCK[[#This Row],[Salidas]]</f>
        <v>0</v>
      </c>
      <c r="M1119" s="76">
        <f>STOCK[[#This Row],[Precio Final]]*10%</f>
        <v>1</v>
      </c>
      <c r="N1119" s="76">
        <v>59.39</v>
      </c>
      <c r="O1119" s="76">
        <v>16</v>
      </c>
      <c r="P1119" s="76">
        <v>3.711875</v>
      </c>
      <c r="Q1119" s="91">
        <v>0</v>
      </c>
      <c r="R1119" s="76">
        <v>0</v>
      </c>
      <c r="S1119" s="76">
        <v>1.41</v>
      </c>
      <c r="T1119" s="76">
        <f>STOCK[[#This Row],[Costo Unitario (USD)]]+STOCK[[#This Row],[Costo Envío (USD)]]+STOCK[[#This Row],[Comisión 10%]]</f>
        <v>6.121875</v>
      </c>
      <c r="U1119" s="76">
        <f>STOCK[[#This Row],[Costo total]]*1.5</f>
        <v>9.1828125</v>
      </c>
      <c r="V1119" s="76">
        <v>10</v>
      </c>
      <c r="W1119" s="76">
        <f>STOCK[[#This Row],[Precio Final]]-STOCK[[#This Row],[Costo total]]</f>
        <v>3.878125</v>
      </c>
      <c r="X1119" s="76">
        <f>STOCK[[#This Row],[Ganancia Unitaria]]*STOCK[[#This Row],[Salidas]]</f>
        <v>7.75625</v>
      </c>
      <c r="Y1119" s="76" t="s">
        <v>2361</v>
      </c>
      <c r="AA1119" s="76">
        <f>STOCK[[#This Row],[Costo total]]*STOCK[[#This Row],[Entradas]]</f>
        <v>12.24375</v>
      </c>
      <c r="AB1119" s="76">
        <f>STOCK[[#This Row],[Stock Actual]]*STOCK[[#This Row],[Costo total]]</f>
        <v>0</v>
      </c>
    </row>
    <row r="1120" s="77" customFormat="1" ht="50" hidden="1" customHeight="1" spans="1:28">
      <c r="A1120" s="77" t="s">
        <v>2362</v>
      </c>
      <c r="B1120" s="6"/>
      <c r="C1120" s="77" t="s">
        <v>30</v>
      </c>
      <c r="D1120" s="77" t="s">
        <v>545</v>
      </c>
      <c r="E1120" s="77" t="s">
        <v>2363</v>
      </c>
      <c r="F1120" s="77" t="s">
        <v>524</v>
      </c>
      <c r="G1120" s="77" t="s">
        <v>1874</v>
      </c>
      <c r="H1120" s="77">
        <f>STOCK[[#This Row],[Precio Final]]</f>
        <v>5</v>
      </c>
      <c r="I1120" s="77">
        <f>STOCK[[#This Row],[Precio Venta Ideal (x1.5)]]</f>
        <v>5.7534375</v>
      </c>
      <c r="J1120" s="92">
        <v>3</v>
      </c>
      <c r="K1120" s="92">
        <f>SUMIFS(VENTAS[Cantidad],VENTAS[Código del producto Vendido],STOCK[[#This Row],[Code]])</f>
        <v>1</v>
      </c>
      <c r="L1120" s="92">
        <f>STOCK[[#This Row],[Entradas]]-STOCK[[#This Row],[Salidas]]</f>
        <v>2</v>
      </c>
      <c r="M1120" s="77">
        <f>STOCK[[#This Row],[Precio Final]]*10%</f>
        <v>0.5</v>
      </c>
      <c r="N1120" s="77">
        <v>30.81</v>
      </c>
      <c r="O1120" s="77">
        <v>16</v>
      </c>
      <c r="P1120" s="77">
        <v>1.925625</v>
      </c>
      <c r="Q1120" s="92">
        <v>0</v>
      </c>
      <c r="R1120" s="77">
        <v>0</v>
      </c>
      <c r="S1120" s="77">
        <v>1.41</v>
      </c>
      <c r="T1120" s="76">
        <f>STOCK[[#This Row],[Costo Unitario (USD)]]+STOCK[[#This Row],[Costo Envío (USD)]]+STOCK[[#This Row],[Comisión 10%]]</f>
        <v>3.835625</v>
      </c>
      <c r="U1120" s="77">
        <f>STOCK[[#This Row],[Costo total]]*1.5</f>
        <v>5.7534375</v>
      </c>
      <c r="V1120" s="77">
        <v>5</v>
      </c>
      <c r="W1120" s="77">
        <f>STOCK[[#This Row],[Precio Final]]-STOCK[[#This Row],[Costo total]]</f>
        <v>1.164375</v>
      </c>
      <c r="X1120" s="77">
        <f>STOCK[[#This Row],[Ganancia Unitaria]]*STOCK[[#This Row],[Salidas]]</f>
        <v>1.164375</v>
      </c>
      <c r="Y1120" s="77" t="s">
        <v>2364</v>
      </c>
      <c r="AA1120" s="77">
        <f>STOCK[[#This Row],[Costo total]]*STOCK[[#This Row],[Entradas]]</f>
        <v>11.506875</v>
      </c>
      <c r="AB1120" s="77">
        <f>STOCK[[#This Row],[Stock Actual]]*STOCK[[#This Row],[Costo total]]</f>
        <v>7.67125</v>
      </c>
    </row>
    <row r="1121" s="76" customFormat="1" ht="50" hidden="1" customHeight="1" spans="1:28">
      <c r="A1121" s="76" t="s">
        <v>2365</v>
      </c>
      <c r="B1121" s="6"/>
      <c r="C1121" s="76" t="s">
        <v>30</v>
      </c>
      <c r="D1121" s="76" t="s">
        <v>1806</v>
      </c>
      <c r="E1121" s="76" t="s">
        <v>2366</v>
      </c>
      <c r="F1121" s="76" t="s">
        <v>524</v>
      </c>
      <c r="G1121" s="76" t="s">
        <v>1874</v>
      </c>
      <c r="H1121" s="76">
        <f>STOCK[[#This Row],[Precio Final]]</f>
        <v>15</v>
      </c>
      <c r="I1121" s="76">
        <f>STOCK[[#This Row],[Precio Venta Ideal (x1.5)]]</f>
        <v>15.0778125</v>
      </c>
      <c r="J1121" s="91">
        <v>4</v>
      </c>
      <c r="K1121" s="91">
        <f>SUMIFS(VENTAS[Cantidad],VENTAS[Código del producto Vendido],STOCK[[#This Row],[Code]])</f>
        <v>4</v>
      </c>
      <c r="L1121" s="91">
        <f>STOCK[[#This Row],[Entradas]]-STOCK[[#This Row],[Salidas]]</f>
        <v>0</v>
      </c>
      <c r="M1121" s="76">
        <f>STOCK[[#This Row],[Precio Final]]*10%</f>
        <v>1.5</v>
      </c>
      <c r="N1121" s="76">
        <v>114.27</v>
      </c>
      <c r="O1121" s="76">
        <v>16</v>
      </c>
      <c r="P1121" s="76">
        <v>7.141875</v>
      </c>
      <c r="Q1121" s="91">
        <v>0</v>
      </c>
      <c r="R1121" s="76">
        <v>0</v>
      </c>
      <c r="S1121" s="76">
        <v>1.41</v>
      </c>
      <c r="T1121" s="76">
        <f>STOCK[[#This Row],[Costo Unitario (USD)]]+STOCK[[#This Row],[Costo Envío (USD)]]+STOCK[[#This Row],[Comisión 10%]]</f>
        <v>10.051875</v>
      </c>
      <c r="U1121" s="76">
        <f>STOCK[[#This Row],[Costo total]]*1.5</f>
        <v>15.0778125</v>
      </c>
      <c r="V1121" s="76">
        <v>15</v>
      </c>
      <c r="W1121" s="76">
        <f>STOCK[[#This Row],[Precio Final]]-STOCK[[#This Row],[Costo total]]</f>
        <v>4.948125</v>
      </c>
      <c r="X1121" s="76">
        <f>STOCK[[#This Row],[Ganancia Unitaria]]*STOCK[[#This Row],[Salidas]]</f>
        <v>19.7925</v>
      </c>
      <c r="Y1121" s="76" t="s">
        <v>2367</v>
      </c>
      <c r="AA1121" s="76">
        <f>STOCK[[#This Row],[Costo total]]*STOCK[[#This Row],[Entradas]]</f>
        <v>40.2075</v>
      </c>
      <c r="AB1121" s="76">
        <f>STOCK[[#This Row],[Stock Actual]]*STOCK[[#This Row],[Costo total]]</f>
        <v>0</v>
      </c>
    </row>
    <row r="1122" s="77" customFormat="1" ht="50" hidden="1" customHeight="1" spans="1:28">
      <c r="A1122" s="77" t="s">
        <v>2368</v>
      </c>
      <c r="B1122" s="6"/>
      <c r="C1122" s="77" t="s">
        <v>30</v>
      </c>
      <c r="D1122" s="77" t="s">
        <v>2369</v>
      </c>
      <c r="E1122" s="77" t="s">
        <v>2370</v>
      </c>
      <c r="F1122" s="77" t="s">
        <v>44</v>
      </c>
      <c r="G1122" s="77" t="s">
        <v>1874</v>
      </c>
      <c r="H1122" s="77">
        <f>STOCK[[#This Row],[Precio Final]]</f>
        <v>17</v>
      </c>
      <c r="I1122" s="77">
        <f>STOCK[[#This Row],[Precio Venta Ideal (x1.5)]]</f>
        <v>18.7828125</v>
      </c>
      <c r="J1122" s="92">
        <v>1</v>
      </c>
      <c r="K1122" s="92">
        <f>SUMIFS(VENTAS[Cantidad],VENTAS[Código del producto Vendido],STOCK[[#This Row],[Code]])</f>
        <v>1</v>
      </c>
      <c r="L1122" s="92">
        <f>STOCK[[#This Row],[Entradas]]-STOCK[[#This Row],[Salidas]]</f>
        <v>0</v>
      </c>
      <c r="M1122" s="77">
        <f>STOCK[[#This Row],[Precio Final]]*10%</f>
        <v>1.7</v>
      </c>
      <c r="N1122" s="77">
        <v>150.59</v>
      </c>
      <c r="O1122" s="77">
        <v>16</v>
      </c>
      <c r="P1122" s="77">
        <v>9.411875</v>
      </c>
      <c r="Q1122" s="92">
        <v>0</v>
      </c>
      <c r="R1122" s="77">
        <v>0</v>
      </c>
      <c r="S1122" s="77">
        <v>1.41</v>
      </c>
      <c r="T1122" s="76">
        <f>STOCK[[#This Row],[Costo Unitario (USD)]]+STOCK[[#This Row],[Costo Envío (USD)]]+STOCK[[#This Row],[Comisión 10%]]</f>
        <v>12.521875</v>
      </c>
      <c r="U1122" s="77">
        <f>STOCK[[#This Row],[Costo total]]*1.5</f>
        <v>18.7828125</v>
      </c>
      <c r="V1122" s="77">
        <v>17</v>
      </c>
      <c r="W1122" s="77">
        <f>STOCK[[#This Row],[Precio Final]]-STOCK[[#This Row],[Costo total]]</f>
        <v>4.478125</v>
      </c>
      <c r="X1122" s="77">
        <f>STOCK[[#This Row],[Ganancia Unitaria]]*STOCK[[#This Row],[Salidas]]</f>
        <v>4.478125</v>
      </c>
      <c r="Y1122" s="77" t="s">
        <v>2371</v>
      </c>
      <c r="AA1122" s="77">
        <f>STOCK[[#This Row],[Costo total]]*STOCK[[#This Row],[Entradas]]</f>
        <v>12.521875</v>
      </c>
      <c r="AB1122" s="77">
        <f>STOCK[[#This Row],[Stock Actual]]*STOCK[[#This Row],[Costo total]]</f>
        <v>0</v>
      </c>
    </row>
    <row r="1123" s="76" customFormat="1" ht="50" hidden="1" customHeight="1" spans="1:28">
      <c r="A1123" s="76" t="s">
        <v>2372</v>
      </c>
      <c r="B1123" s="6"/>
      <c r="C1123" s="76" t="s">
        <v>30</v>
      </c>
      <c r="D1123" s="76" t="s">
        <v>1188</v>
      </c>
      <c r="E1123" s="76" t="s">
        <v>2370</v>
      </c>
      <c r="F1123" s="76" t="s">
        <v>47</v>
      </c>
      <c r="G1123" s="76" t="s">
        <v>1874</v>
      </c>
      <c r="H1123" s="76">
        <f>STOCK[[#This Row],[Precio Final]]</f>
        <v>17</v>
      </c>
      <c r="I1123" s="76">
        <f>STOCK[[#This Row],[Precio Venta Ideal (x1.5)]]</f>
        <v>18.7828125</v>
      </c>
      <c r="J1123" s="91">
        <v>1</v>
      </c>
      <c r="K1123" s="91">
        <f>SUMIFS(VENTAS[Cantidad],VENTAS[Código del producto Vendido],STOCK[[#This Row],[Code]])</f>
        <v>1</v>
      </c>
      <c r="L1123" s="91">
        <f>STOCK[[#This Row],[Entradas]]-STOCK[[#This Row],[Salidas]]</f>
        <v>0</v>
      </c>
      <c r="M1123" s="76">
        <f>STOCK[[#This Row],[Precio Final]]*10%</f>
        <v>1.7</v>
      </c>
      <c r="N1123" s="76">
        <v>150.59</v>
      </c>
      <c r="O1123" s="76">
        <v>16</v>
      </c>
      <c r="P1123" s="76">
        <v>9.411875</v>
      </c>
      <c r="Q1123" s="91">
        <v>0</v>
      </c>
      <c r="R1123" s="76">
        <v>0</v>
      </c>
      <c r="S1123" s="76">
        <v>1.41</v>
      </c>
      <c r="T1123" s="76">
        <f>STOCK[[#This Row],[Costo Unitario (USD)]]+STOCK[[#This Row],[Costo Envío (USD)]]+STOCK[[#This Row],[Comisión 10%]]</f>
        <v>12.521875</v>
      </c>
      <c r="U1123" s="76">
        <f>STOCK[[#This Row],[Costo total]]*1.5</f>
        <v>18.7828125</v>
      </c>
      <c r="V1123" s="76">
        <v>17</v>
      </c>
      <c r="W1123" s="76">
        <f>STOCK[[#This Row],[Precio Final]]-STOCK[[#This Row],[Costo total]]</f>
        <v>4.478125</v>
      </c>
      <c r="X1123" s="76">
        <f>STOCK[[#This Row],[Ganancia Unitaria]]*STOCK[[#This Row],[Salidas]]</f>
        <v>4.478125</v>
      </c>
      <c r="Y1123" s="76" t="s">
        <v>2373</v>
      </c>
      <c r="AA1123" s="76">
        <f>STOCK[[#This Row],[Costo total]]*STOCK[[#This Row],[Entradas]]</f>
        <v>12.521875</v>
      </c>
      <c r="AB1123" s="76">
        <f>STOCK[[#This Row],[Stock Actual]]*STOCK[[#This Row],[Costo total]]</f>
        <v>0</v>
      </c>
    </row>
    <row r="1124" s="77" customFormat="1" ht="50" hidden="1" customHeight="1" spans="1:28">
      <c r="A1124" s="77" t="s">
        <v>2374</v>
      </c>
      <c r="B1124" s="6"/>
      <c r="C1124" s="77" t="s">
        <v>30</v>
      </c>
      <c r="D1124" s="77" t="s">
        <v>2375</v>
      </c>
      <c r="E1124" s="77" t="s">
        <v>2376</v>
      </c>
      <c r="F1124" s="77" t="s">
        <v>40</v>
      </c>
      <c r="G1124" s="77" t="s">
        <v>1874</v>
      </c>
      <c r="H1124" s="77">
        <f>STOCK[[#This Row],[Precio Final]]</f>
        <v>35</v>
      </c>
      <c r="I1124" s="77">
        <f>STOCK[[#This Row],[Precio Venta Ideal (x1.5)]]</f>
        <v>42.1640625</v>
      </c>
      <c r="J1124" s="92">
        <v>1</v>
      </c>
      <c r="K1124" s="92">
        <f>SUMIFS(VENTAS[Cantidad],VENTAS[Código del producto Vendido],STOCK[[#This Row],[Code]])</f>
        <v>1</v>
      </c>
      <c r="L1124" s="92">
        <f>STOCK[[#This Row],[Entradas]]-STOCK[[#This Row],[Salidas]]</f>
        <v>0</v>
      </c>
      <c r="M1124" s="77">
        <f>STOCK[[#This Row],[Precio Final]]*10%</f>
        <v>3.5</v>
      </c>
      <c r="N1124" s="77">
        <v>371.19</v>
      </c>
      <c r="O1124" s="77">
        <v>16</v>
      </c>
      <c r="P1124" s="77">
        <v>23.199375</v>
      </c>
      <c r="Q1124" s="92">
        <v>0</v>
      </c>
      <c r="R1124" s="77">
        <v>0</v>
      </c>
      <c r="S1124" s="77">
        <v>1.41</v>
      </c>
      <c r="T1124" s="76">
        <f>STOCK[[#This Row],[Costo Unitario (USD)]]+STOCK[[#This Row],[Costo Envío (USD)]]+STOCK[[#This Row],[Comisión 10%]]</f>
        <v>28.109375</v>
      </c>
      <c r="U1124" s="77">
        <f>STOCK[[#This Row],[Costo total]]*1.5</f>
        <v>42.1640625</v>
      </c>
      <c r="V1124" s="77">
        <v>35</v>
      </c>
      <c r="W1124" s="77">
        <f>STOCK[[#This Row],[Precio Final]]-STOCK[[#This Row],[Costo total]]</f>
        <v>6.890625</v>
      </c>
      <c r="X1124" s="77">
        <f>STOCK[[#This Row],[Ganancia Unitaria]]*STOCK[[#This Row],[Salidas]]</f>
        <v>6.890625</v>
      </c>
      <c r="Y1124" s="77" t="s">
        <v>2377</v>
      </c>
      <c r="AA1124" s="77">
        <f>STOCK[[#This Row],[Costo total]]*STOCK[[#This Row],[Entradas]]</f>
        <v>28.109375</v>
      </c>
      <c r="AB1124" s="77">
        <f>STOCK[[#This Row],[Stock Actual]]*STOCK[[#This Row],[Costo total]]</f>
        <v>0</v>
      </c>
    </row>
    <row r="1125" s="76" customFormat="1" ht="50" hidden="1" customHeight="1" spans="1:28">
      <c r="A1125" s="76" t="s">
        <v>2378</v>
      </c>
      <c r="B1125" s="6"/>
      <c r="C1125" s="76" t="s">
        <v>30</v>
      </c>
      <c r="D1125" s="76" t="s">
        <v>2116</v>
      </c>
      <c r="E1125" s="76" t="s">
        <v>2376</v>
      </c>
      <c r="F1125" s="76" t="s">
        <v>47</v>
      </c>
      <c r="G1125" s="76" t="s">
        <v>1874</v>
      </c>
      <c r="H1125" s="76">
        <f>STOCK[[#This Row],[Precio Final]]</f>
        <v>35</v>
      </c>
      <c r="I1125" s="76">
        <f>STOCK[[#This Row],[Precio Venta Ideal (x1.5)]]</f>
        <v>42.1640625</v>
      </c>
      <c r="J1125" s="91">
        <v>1</v>
      </c>
      <c r="K1125" s="91">
        <f>SUMIFS(VENTAS[Cantidad],VENTAS[Código del producto Vendido],STOCK[[#This Row],[Code]])</f>
        <v>1</v>
      </c>
      <c r="L1125" s="91">
        <f>STOCK[[#This Row],[Entradas]]-STOCK[[#This Row],[Salidas]]</f>
        <v>0</v>
      </c>
      <c r="M1125" s="76">
        <f>STOCK[[#This Row],[Precio Final]]*10%</f>
        <v>3.5</v>
      </c>
      <c r="N1125" s="76">
        <v>371.19</v>
      </c>
      <c r="O1125" s="76">
        <v>16</v>
      </c>
      <c r="P1125" s="76">
        <v>23.199375</v>
      </c>
      <c r="Q1125" s="91">
        <v>0</v>
      </c>
      <c r="R1125" s="76">
        <v>0</v>
      </c>
      <c r="S1125" s="76">
        <v>1.41</v>
      </c>
      <c r="T1125" s="76">
        <f>STOCK[[#This Row],[Costo Unitario (USD)]]+STOCK[[#This Row],[Costo Envío (USD)]]+STOCK[[#This Row],[Comisión 10%]]</f>
        <v>28.109375</v>
      </c>
      <c r="U1125" s="76">
        <f>STOCK[[#This Row],[Costo total]]*1.5</f>
        <v>42.1640625</v>
      </c>
      <c r="V1125" s="76">
        <v>35</v>
      </c>
      <c r="W1125" s="76">
        <f>STOCK[[#This Row],[Precio Final]]-STOCK[[#This Row],[Costo total]]</f>
        <v>6.890625</v>
      </c>
      <c r="X1125" s="76">
        <f>STOCK[[#This Row],[Ganancia Unitaria]]*STOCK[[#This Row],[Salidas]]</f>
        <v>6.890625</v>
      </c>
      <c r="Y1125" s="76" t="s">
        <v>2379</v>
      </c>
      <c r="AA1125" s="76">
        <f>STOCK[[#This Row],[Costo total]]*STOCK[[#This Row],[Entradas]]</f>
        <v>28.109375</v>
      </c>
      <c r="AB1125" s="76">
        <f>STOCK[[#This Row],[Stock Actual]]*STOCK[[#This Row],[Costo total]]</f>
        <v>0</v>
      </c>
    </row>
    <row r="1126" s="77" customFormat="1" ht="50" hidden="1" customHeight="1" spans="1:28">
      <c r="A1126" s="77" t="s">
        <v>2380</v>
      </c>
      <c r="B1126" s="6"/>
      <c r="C1126" s="77" t="s">
        <v>30</v>
      </c>
      <c r="D1126" s="77" t="s">
        <v>2116</v>
      </c>
      <c r="E1126" s="77" t="s">
        <v>2376</v>
      </c>
      <c r="F1126" s="77" t="s">
        <v>60</v>
      </c>
      <c r="G1126" s="77" t="s">
        <v>1874</v>
      </c>
      <c r="H1126" s="77">
        <f>STOCK[[#This Row],[Precio Final]]</f>
        <v>35</v>
      </c>
      <c r="I1126" s="77">
        <f>STOCK[[#This Row],[Precio Venta Ideal (x1.5)]]</f>
        <v>42.1640625</v>
      </c>
      <c r="J1126" s="92">
        <v>1</v>
      </c>
      <c r="K1126" s="92">
        <f>SUMIFS(VENTAS[Cantidad],VENTAS[Código del producto Vendido],STOCK[[#This Row],[Code]])</f>
        <v>1</v>
      </c>
      <c r="L1126" s="92">
        <f>STOCK[[#This Row],[Entradas]]-STOCK[[#This Row],[Salidas]]</f>
        <v>0</v>
      </c>
      <c r="M1126" s="77">
        <f>STOCK[[#This Row],[Precio Final]]*10%</f>
        <v>3.5</v>
      </c>
      <c r="N1126" s="77">
        <v>371.19</v>
      </c>
      <c r="O1126" s="77">
        <v>16</v>
      </c>
      <c r="P1126" s="77">
        <v>23.199375</v>
      </c>
      <c r="Q1126" s="92">
        <v>0</v>
      </c>
      <c r="R1126" s="77">
        <v>0</v>
      </c>
      <c r="S1126" s="77">
        <v>1.41</v>
      </c>
      <c r="T1126" s="76">
        <f>STOCK[[#This Row],[Costo Unitario (USD)]]+STOCK[[#This Row],[Costo Envío (USD)]]+STOCK[[#This Row],[Comisión 10%]]</f>
        <v>28.109375</v>
      </c>
      <c r="U1126" s="77">
        <f>STOCK[[#This Row],[Costo total]]*1.5</f>
        <v>42.1640625</v>
      </c>
      <c r="V1126" s="77">
        <v>35</v>
      </c>
      <c r="W1126" s="77">
        <f>STOCK[[#This Row],[Precio Final]]-STOCK[[#This Row],[Costo total]]</f>
        <v>6.890625</v>
      </c>
      <c r="X1126" s="77">
        <f>STOCK[[#This Row],[Ganancia Unitaria]]*STOCK[[#This Row],[Salidas]]</f>
        <v>6.890625</v>
      </c>
      <c r="Y1126" s="77" t="s">
        <v>2381</v>
      </c>
      <c r="AA1126" s="77">
        <f>STOCK[[#This Row],[Costo total]]*STOCK[[#This Row],[Entradas]]</f>
        <v>28.109375</v>
      </c>
      <c r="AB1126" s="77">
        <f>STOCK[[#This Row],[Stock Actual]]*STOCK[[#This Row],[Costo total]]</f>
        <v>0</v>
      </c>
    </row>
    <row r="1127" s="76" customFormat="1" ht="50" hidden="1" customHeight="1" spans="1:28">
      <c r="A1127" s="76" t="s">
        <v>2382</v>
      </c>
      <c r="B1127" s="6"/>
      <c r="C1127" s="76" t="s">
        <v>30</v>
      </c>
      <c r="D1127" s="76" t="s">
        <v>1806</v>
      </c>
      <c r="E1127" s="76" t="s">
        <v>2383</v>
      </c>
      <c r="F1127" s="76" t="s">
        <v>524</v>
      </c>
      <c r="G1127" s="76" t="s">
        <v>1874</v>
      </c>
      <c r="H1127" s="76">
        <f>STOCK[[#This Row],[Precio Final]]</f>
        <v>10</v>
      </c>
      <c r="I1127" s="76">
        <f>STOCK[[#This Row],[Precio Venta Ideal (x1.5)]]</f>
        <v>8.59125</v>
      </c>
      <c r="J1127" s="91">
        <v>3</v>
      </c>
      <c r="K1127" s="91">
        <f>SUMIFS(VENTAS[Cantidad],VENTAS[Código del producto Vendido],STOCK[[#This Row],[Code]])</f>
        <v>1</v>
      </c>
      <c r="L1127" s="91">
        <f>STOCK[[#This Row],[Entradas]]-STOCK[[#This Row],[Salidas]]</f>
        <v>2</v>
      </c>
      <c r="M1127" s="76">
        <f>STOCK[[#This Row],[Precio Final]]*10%</f>
        <v>1</v>
      </c>
      <c r="N1127" s="76">
        <v>53.08</v>
      </c>
      <c r="O1127" s="76">
        <v>16</v>
      </c>
      <c r="P1127" s="76">
        <v>3.3175</v>
      </c>
      <c r="Q1127" s="91">
        <v>0</v>
      </c>
      <c r="R1127" s="76">
        <v>0</v>
      </c>
      <c r="S1127" s="76">
        <v>1.41</v>
      </c>
      <c r="T1127" s="76">
        <f>STOCK[[#This Row],[Costo Unitario (USD)]]+STOCK[[#This Row],[Costo Envío (USD)]]+STOCK[[#This Row],[Comisión 10%]]</f>
        <v>5.7275</v>
      </c>
      <c r="U1127" s="76">
        <f>STOCK[[#This Row],[Costo total]]*1.5</f>
        <v>8.59125</v>
      </c>
      <c r="V1127" s="76">
        <v>10</v>
      </c>
      <c r="W1127" s="76">
        <f>STOCK[[#This Row],[Precio Final]]-STOCK[[#This Row],[Costo total]]</f>
        <v>4.2725</v>
      </c>
      <c r="X1127" s="76">
        <f>STOCK[[#This Row],[Ganancia Unitaria]]*STOCK[[#This Row],[Salidas]]</f>
        <v>4.2725</v>
      </c>
      <c r="Y1127" s="76" t="s">
        <v>2384</v>
      </c>
      <c r="AA1127" s="76">
        <f>STOCK[[#This Row],[Costo total]]*STOCK[[#This Row],[Entradas]]</f>
        <v>17.1825</v>
      </c>
      <c r="AB1127" s="76">
        <f>STOCK[[#This Row],[Stock Actual]]*STOCK[[#This Row],[Costo total]]</f>
        <v>11.455</v>
      </c>
    </row>
    <row r="1128" s="77" customFormat="1" ht="50" hidden="1" customHeight="1" spans="1:28">
      <c r="A1128" s="77" t="s">
        <v>2385</v>
      </c>
      <c r="B1128" s="6"/>
      <c r="C1128" s="77" t="s">
        <v>30</v>
      </c>
      <c r="D1128" s="77" t="s">
        <v>514</v>
      </c>
      <c r="E1128" s="77" t="s">
        <v>2386</v>
      </c>
      <c r="F1128" s="77" t="s">
        <v>539</v>
      </c>
      <c r="G1128" s="77" t="s">
        <v>1294</v>
      </c>
      <c r="H1128" s="77">
        <f>STOCK[[#This Row],[Precio Final]]</f>
        <v>30</v>
      </c>
      <c r="I1128" s="77">
        <f>STOCK[[#This Row],[Precio Venta Ideal (x1.5)]]</f>
        <v>23.25</v>
      </c>
      <c r="J1128" s="92">
        <v>1</v>
      </c>
      <c r="K1128" s="92">
        <f>SUMIFS(VENTAS[Cantidad],VENTAS[Código del producto Vendido],STOCK[[#This Row],[Code]])</f>
        <v>1</v>
      </c>
      <c r="L1128" s="92">
        <f>STOCK[[#This Row],[Entradas]]-STOCK[[#This Row],[Salidas]]</f>
        <v>0</v>
      </c>
      <c r="M1128" s="77">
        <f>STOCK[[#This Row],[Precio Final]]*10%</f>
        <v>3</v>
      </c>
      <c r="N1128" s="77">
        <v>200</v>
      </c>
      <c r="O1128" s="77">
        <v>16</v>
      </c>
      <c r="P1128" s="77">
        <v>12.5</v>
      </c>
      <c r="Q1128" s="92"/>
      <c r="S1128" s="77">
        <v>0</v>
      </c>
      <c r="T1128" s="76">
        <f>STOCK[[#This Row],[Costo Unitario (USD)]]+STOCK[[#This Row],[Costo Envío (USD)]]+STOCK[[#This Row],[Comisión 10%]]</f>
        <v>15.5</v>
      </c>
      <c r="U1128" s="77">
        <f>STOCK[[#This Row],[Costo total]]*1.5</f>
        <v>23.25</v>
      </c>
      <c r="V1128" s="77">
        <v>30</v>
      </c>
      <c r="W1128" s="77">
        <f>STOCK[[#This Row],[Precio Final]]-STOCK[[#This Row],[Costo total]]</f>
        <v>14.5</v>
      </c>
      <c r="X1128" s="77">
        <f>STOCK[[#This Row],[Ganancia Unitaria]]*STOCK[[#This Row],[Salidas]]</f>
        <v>14.5</v>
      </c>
      <c r="AA1128" s="77">
        <f>STOCK[[#This Row],[Costo total]]*STOCK[[#This Row],[Entradas]]</f>
        <v>15.5</v>
      </c>
      <c r="AB1128" s="77">
        <f>STOCK[[#This Row],[Stock Actual]]*STOCK[[#This Row],[Costo total]]</f>
        <v>0</v>
      </c>
    </row>
    <row r="1129" s="76" customFormat="1" ht="50" hidden="1" customHeight="1" spans="1:28">
      <c r="A1129" s="76" t="s">
        <v>2387</v>
      </c>
      <c r="B1129" s="13"/>
      <c r="C1129" s="76" t="s">
        <v>30</v>
      </c>
      <c r="D1129" s="76" t="s">
        <v>173</v>
      </c>
      <c r="E1129" s="76" t="s">
        <v>1169</v>
      </c>
      <c r="F1129" s="76" t="s">
        <v>210</v>
      </c>
      <c r="G1129" s="76" t="s">
        <v>34</v>
      </c>
      <c r="H1129" s="76">
        <f>STOCK[[#This Row],[Precio Final]]</f>
        <v>13</v>
      </c>
      <c r="I1129" s="76">
        <f>STOCK[[#This Row],[Precio Venta Ideal (x1.5)]]</f>
        <v>14.865</v>
      </c>
      <c r="J1129" s="91">
        <v>2</v>
      </c>
      <c r="K1129" s="91">
        <f>SUMIFS(VENTAS[Cantidad],VENTAS[Código del producto Vendido],STOCK[[#This Row],[Code]])</f>
        <v>2</v>
      </c>
      <c r="L1129" s="91">
        <f>STOCK[[#This Row],[Entradas]]-STOCK[[#This Row],[Salidas]]</f>
        <v>0</v>
      </c>
      <c r="M1129" s="76">
        <f>STOCK[[#This Row],[Precio Final]]*10%</f>
        <v>1.3</v>
      </c>
      <c r="N1129" s="76">
        <v>4.72</v>
      </c>
      <c r="O1129" s="76">
        <v>0</v>
      </c>
      <c r="P1129" s="76">
        <v>7.61</v>
      </c>
      <c r="Q1129" s="91">
        <v>0</v>
      </c>
      <c r="R1129" s="76">
        <v>0</v>
      </c>
      <c r="S1129" s="76">
        <v>1</v>
      </c>
      <c r="T1129" s="76">
        <f>STOCK[[#This Row],[Costo Unitario (USD)]]+STOCK[[#This Row],[Costo Envío (USD)]]+STOCK[[#This Row],[Comisión 10%]]</f>
        <v>9.91</v>
      </c>
      <c r="U1129" s="76">
        <f>STOCK[[#This Row],[Costo total]]*1.5</f>
        <v>14.865</v>
      </c>
      <c r="V1129" s="76">
        <v>13</v>
      </c>
      <c r="W1129" s="76">
        <f>STOCK[[#This Row],[Precio Final]]-STOCK[[#This Row],[Costo total]]</f>
        <v>3.09</v>
      </c>
      <c r="X1129" s="76">
        <f>STOCK[[#This Row],[Ganancia Unitaria]]*STOCK[[#This Row],[Salidas]]</f>
        <v>6.18</v>
      </c>
      <c r="Y1129" s="76" t="s">
        <v>1157</v>
      </c>
      <c r="AA1129" s="76">
        <f>STOCK[[#This Row],[Costo total]]*STOCK[[#This Row],[Entradas]]</f>
        <v>19.82</v>
      </c>
      <c r="AB1129" s="76">
        <f>STOCK[[#This Row],[Stock Actual]]*STOCK[[#This Row],[Costo total]]</f>
        <v>0</v>
      </c>
    </row>
    <row r="1130" s="77" customFormat="1" ht="50" hidden="1" customHeight="1" spans="1:28">
      <c r="A1130" s="77" t="s">
        <v>2388</v>
      </c>
      <c r="B1130" s="6"/>
      <c r="C1130" s="77" t="s">
        <v>30</v>
      </c>
      <c r="D1130" s="77" t="s">
        <v>173</v>
      </c>
      <c r="E1130" s="77" t="s">
        <v>1498</v>
      </c>
      <c r="F1130" s="77" t="s">
        <v>86</v>
      </c>
      <c r="G1130" s="77" t="s">
        <v>34</v>
      </c>
      <c r="H1130" s="77">
        <f>STOCK[[#This Row],[Precio Final]]</f>
        <v>13</v>
      </c>
      <c r="I1130" s="77">
        <f>STOCK[[#This Row],[Precio Venta Ideal (x1.5)]]</f>
        <v>13.365</v>
      </c>
      <c r="J1130" s="92">
        <v>2</v>
      </c>
      <c r="K1130" s="92">
        <f>SUMIFS(VENTAS[Cantidad],VENTAS[Código del producto Vendido],STOCK[[#This Row],[Code]])</f>
        <v>2</v>
      </c>
      <c r="L1130" s="92">
        <f>STOCK[[#This Row],[Entradas]]-STOCK[[#This Row],[Salidas]]</f>
        <v>0</v>
      </c>
      <c r="M1130" s="77">
        <f>STOCK[[#This Row],[Precio Final]]*10%</f>
        <v>1.3</v>
      </c>
      <c r="N1130" s="77">
        <v>4.72</v>
      </c>
      <c r="O1130" s="77">
        <v>0</v>
      </c>
      <c r="P1130" s="77">
        <v>7.61</v>
      </c>
      <c r="Q1130" s="92">
        <v>0</v>
      </c>
      <c r="R1130" s="77">
        <v>0</v>
      </c>
      <c r="S1130" s="77">
        <v>0</v>
      </c>
      <c r="T1130" s="76">
        <f>STOCK[[#This Row],[Costo Unitario (USD)]]+STOCK[[#This Row],[Costo Envío (USD)]]+STOCK[[#This Row],[Comisión 10%]]</f>
        <v>8.91</v>
      </c>
      <c r="U1130" s="77">
        <f>STOCK[[#This Row],[Costo total]]*1.5</f>
        <v>13.365</v>
      </c>
      <c r="V1130" s="77">
        <v>13</v>
      </c>
      <c r="W1130" s="77">
        <f>STOCK[[#This Row],[Precio Final]]-STOCK[[#This Row],[Costo total]]</f>
        <v>4.09</v>
      </c>
      <c r="X1130" s="77">
        <f>STOCK[[#This Row],[Ganancia Unitaria]]*STOCK[[#This Row],[Salidas]]</f>
        <v>8.18</v>
      </c>
      <c r="AA1130" s="77">
        <f>STOCK[[#This Row],[Costo total]]*STOCK[[#This Row],[Entradas]]</f>
        <v>17.82</v>
      </c>
      <c r="AB1130" s="77">
        <f>STOCK[[#This Row],[Stock Actual]]*STOCK[[#This Row],[Costo total]]</f>
        <v>0</v>
      </c>
    </row>
    <row r="1131" s="76" customFormat="1" ht="50" hidden="1" customHeight="1" spans="1:28">
      <c r="A1131" s="76" t="s">
        <v>2389</v>
      </c>
      <c r="B1131" s="6"/>
      <c r="C1131" s="76" t="s">
        <v>30</v>
      </c>
      <c r="D1131" s="76" t="s">
        <v>2390</v>
      </c>
      <c r="E1131" s="76" t="s">
        <v>2391</v>
      </c>
      <c r="F1131" s="76" t="s">
        <v>516</v>
      </c>
      <c r="G1131" s="76" t="s">
        <v>2392</v>
      </c>
      <c r="H1131" s="76">
        <f>STOCK[[#This Row],[Precio Final]]</f>
        <v>35</v>
      </c>
      <c r="I1131" s="76">
        <f>STOCK[[#This Row],[Precio Venta Ideal (x1.5)]]</f>
        <v>31.1280317273796</v>
      </c>
      <c r="J1131" s="91">
        <v>1</v>
      </c>
      <c r="K1131" s="91">
        <f>SUMIFS(VENTAS[Cantidad],VENTAS[Código del producto Vendido],STOCK[[#This Row],[Code]])</f>
        <v>1</v>
      </c>
      <c r="L1131" s="91">
        <f>STOCK[[#This Row],[Entradas]]-STOCK[[#This Row],[Salidas]]</f>
        <v>0</v>
      </c>
      <c r="M1131" s="76">
        <f>STOCK[[#This Row],[Precio Final]]*10%</f>
        <v>3.5</v>
      </c>
      <c r="N1131" s="76">
        <v>260.1</v>
      </c>
      <c r="O1131" s="76">
        <v>17.02</v>
      </c>
      <c r="P1131" s="76">
        <v>15.2820211515864</v>
      </c>
      <c r="Q1131" s="91">
        <v>0</v>
      </c>
      <c r="R1131" s="76">
        <v>0</v>
      </c>
      <c r="S1131" s="76">
        <v>1.97</v>
      </c>
      <c r="T1131" s="76">
        <f>STOCK[[#This Row],[Costo Unitario (USD)]]+STOCK[[#This Row],[Costo Envío (USD)]]+STOCK[[#This Row],[Comisión 10%]]</f>
        <v>20.7520211515864</v>
      </c>
      <c r="U1131" s="76">
        <f>STOCK[[#This Row],[Costo total]]*1.5</f>
        <v>31.1280317273796</v>
      </c>
      <c r="V1131" s="76">
        <v>35</v>
      </c>
      <c r="W1131" s="76">
        <f>STOCK[[#This Row],[Precio Final]]-STOCK[[#This Row],[Costo total]]</f>
        <v>14.2479788484136</v>
      </c>
      <c r="X1131" s="76">
        <f>STOCK[[#This Row],[Ganancia Unitaria]]*STOCK[[#This Row],[Salidas]]</f>
        <v>14.2479788484136</v>
      </c>
      <c r="Y1131" s="76" t="s">
        <v>2393</v>
      </c>
      <c r="AA1131" s="76">
        <f>STOCK[[#This Row],[Costo total]]*STOCK[[#This Row],[Entradas]]</f>
        <v>20.7520211515864</v>
      </c>
      <c r="AB1131" s="76">
        <f>STOCK[[#This Row],[Stock Actual]]*STOCK[[#This Row],[Costo total]]</f>
        <v>0</v>
      </c>
    </row>
    <row r="1132" s="77" customFormat="1" ht="50" hidden="1" customHeight="1" spans="1:28">
      <c r="A1132" s="77" t="s">
        <v>2394</v>
      </c>
      <c r="B1132" s="6"/>
      <c r="C1132" s="77" t="s">
        <v>30</v>
      </c>
      <c r="D1132" s="76" t="s">
        <v>2390</v>
      </c>
      <c r="E1132" s="77" t="s">
        <v>2395</v>
      </c>
      <c r="F1132" s="77" t="s">
        <v>764</v>
      </c>
      <c r="G1132" s="77" t="s">
        <v>2392</v>
      </c>
      <c r="H1132" s="77">
        <f>STOCK[[#This Row],[Precio Final]]</f>
        <v>35</v>
      </c>
      <c r="I1132" s="77">
        <f>STOCK[[#This Row],[Precio Venta Ideal (x1.5)]]</f>
        <v>31.1280317273796</v>
      </c>
      <c r="J1132" s="92">
        <v>1</v>
      </c>
      <c r="K1132" s="92">
        <f>SUMIFS(VENTAS[Cantidad],VENTAS[Código del producto Vendido],STOCK[[#This Row],[Code]])</f>
        <v>1</v>
      </c>
      <c r="L1132" s="92">
        <f>STOCK[[#This Row],[Entradas]]-STOCK[[#This Row],[Salidas]]</f>
        <v>0</v>
      </c>
      <c r="M1132" s="77">
        <f>STOCK[[#This Row],[Precio Final]]*10%</f>
        <v>3.5</v>
      </c>
      <c r="N1132" s="77">
        <v>260.1</v>
      </c>
      <c r="O1132" s="77">
        <v>17.02</v>
      </c>
      <c r="P1132" s="77">
        <v>15.2820211515864</v>
      </c>
      <c r="Q1132" s="92">
        <v>0</v>
      </c>
      <c r="R1132" s="77">
        <v>0</v>
      </c>
      <c r="S1132" s="77">
        <v>1.97</v>
      </c>
      <c r="T1132" s="76">
        <f>STOCK[[#This Row],[Costo Unitario (USD)]]+STOCK[[#This Row],[Costo Envío (USD)]]+STOCK[[#This Row],[Comisión 10%]]</f>
        <v>20.7520211515864</v>
      </c>
      <c r="U1132" s="77">
        <f>STOCK[[#This Row],[Costo total]]*1.5</f>
        <v>31.1280317273796</v>
      </c>
      <c r="V1132" s="77">
        <v>35</v>
      </c>
      <c r="W1132" s="77">
        <f>STOCK[[#This Row],[Precio Final]]-STOCK[[#This Row],[Costo total]]</f>
        <v>14.2479788484136</v>
      </c>
      <c r="X1132" s="77">
        <f>STOCK[[#This Row],[Ganancia Unitaria]]*STOCK[[#This Row],[Salidas]]</f>
        <v>14.2479788484136</v>
      </c>
      <c r="Y1132" s="77" t="s">
        <v>2396</v>
      </c>
      <c r="AA1132" s="77">
        <f>STOCK[[#This Row],[Costo total]]*STOCK[[#This Row],[Entradas]]</f>
        <v>20.7520211515864</v>
      </c>
      <c r="AB1132" s="77">
        <f>STOCK[[#This Row],[Stock Actual]]*STOCK[[#This Row],[Costo total]]</f>
        <v>0</v>
      </c>
    </row>
    <row r="1133" s="76" customFormat="1" ht="50" hidden="1" customHeight="1" spans="1:28">
      <c r="A1133" s="76" t="s">
        <v>2397</v>
      </c>
      <c r="B1133" s="6"/>
      <c r="C1133" s="76" t="s">
        <v>30</v>
      </c>
      <c r="D1133" s="76" t="s">
        <v>2390</v>
      </c>
      <c r="E1133" s="76" t="s">
        <v>2395</v>
      </c>
      <c r="F1133" s="76" t="s">
        <v>539</v>
      </c>
      <c r="G1133" s="76" t="s">
        <v>2392</v>
      </c>
      <c r="H1133" s="76">
        <f>STOCK[[#This Row],[Precio Final]]</f>
        <v>35</v>
      </c>
      <c r="I1133" s="76">
        <f>STOCK[[#This Row],[Precio Venta Ideal (x1.5)]]</f>
        <v>31.1280317273796</v>
      </c>
      <c r="J1133" s="91">
        <v>1</v>
      </c>
      <c r="K1133" s="91">
        <f>SUMIFS(VENTAS[Cantidad],VENTAS[Código del producto Vendido],STOCK[[#This Row],[Code]])</f>
        <v>1</v>
      </c>
      <c r="L1133" s="91">
        <f>STOCK[[#This Row],[Entradas]]-STOCK[[#This Row],[Salidas]]</f>
        <v>0</v>
      </c>
      <c r="M1133" s="76">
        <f>STOCK[[#This Row],[Precio Final]]*10%</f>
        <v>3.5</v>
      </c>
      <c r="N1133" s="76">
        <v>260.1</v>
      </c>
      <c r="O1133" s="76">
        <v>17.02</v>
      </c>
      <c r="P1133" s="76">
        <v>15.2820211515864</v>
      </c>
      <c r="Q1133" s="91">
        <v>0</v>
      </c>
      <c r="R1133" s="76">
        <v>0</v>
      </c>
      <c r="S1133" s="76">
        <v>1.97</v>
      </c>
      <c r="T1133" s="76">
        <f>STOCK[[#This Row],[Costo Unitario (USD)]]+STOCK[[#This Row],[Costo Envío (USD)]]+STOCK[[#This Row],[Comisión 10%]]</f>
        <v>20.7520211515864</v>
      </c>
      <c r="U1133" s="76">
        <f>STOCK[[#This Row],[Costo total]]*1.5</f>
        <v>31.1280317273796</v>
      </c>
      <c r="V1133" s="76">
        <v>35</v>
      </c>
      <c r="W1133" s="76">
        <f>STOCK[[#This Row],[Precio Final]]-STOCK[[#This Row],[Costo total]]</f>
        <v>14.2479788484136</v>
      </c>
      <c r="X1133" s="76">
        <f>STOCK[[#This Row],[Ganancia Unitaria]]*STOCK[[#This Row],[Salidas]]</f>
        <v>14.2479788484136</v>
      </c>
      <c r="Y1133" s="76" t="s">
        <v>2398</v>
      </c>
      <c r="AA1133" s="76">
        <f>STOCK[[#This Row],[Costo total]]*STOCK[[#This Row],[Entradas]]</f>
        <v>20.7520211515864</v>
      </c>
      <c r="AB1133" s="76">
        <f>STOCK[[#This Row],[Stock Actual]]*STOCK[[#This Row],[Costo total]]</f>
        <v>0</v>
      </c>
    </row>
    <row r="1134" s="77" customFormat="1" ht="50" hidden="1" customHeight="1" spans="1:28">
      <c r="A1134" s="77" t="s">
        <v>2399</v>
      </c>
      <c r="B1134" s="6"/>
      <c r="C1134" s="77" t="s">
        <v>30</v>
      </c>
      <c r="D1134" s="76" t="s">
        <v>2390</v>
      </c>
      <c r="E1134" s="77" t="s">
        <v>2395</v>
      </c>
      <c r="F1134" s="77" t="s">
        <v>762</v>
      </c>
      <c r="G1134" s="77" t="s">
        <v>2392</v>
      </c>
      <c r="H1134" s="77">
        <f>STOCK[[#This Row],[Precio Final]]</f>
        <v>35</v>
      </c>
      <c r="I1134" s="77">
        <f>STOCK[[#This Row],[Precio Venta Ideal (x1.5)]]</f>
        <v>31.1280317273796</v>
      </c>
      <c r="J1134" s="92">
        <v>1</v>
      </c>
      <c r="K1134" s="92">
        <f>SUMIFS(VENTAS[Cantidad],VENTAS[Código del producto Vendido],STOCK[[#This Row],[Code]])</f>
        <v>1</v>
      </c>
      <c r="L1134" s="92">
        <f>STOCK[[#This Row],[Entradas]]-STOCK[[#This Row],[Salidas]]</f>
        <v>0</v>
      </c>
      <c r="M1134" s="77">
        <f>STOCK[[#This Row],[Precio Final]]*10%</f>
        <v>3.5</v>
      </c>
      <c r="N1134" s="77">
        <v>260.1</v>
      </c>
      <c r="O1134" s="77">
        <v>17.02</v>
      </c>
      <c r="P1134" s="77">
        <v>15.2820211515864</v>
      </c>
      <c r="Q1134" s="92">
        <v>0</v>
      </c>
      <c r="R1134" s="77">
        <v>0</v>
      </c>
      <c r="S1134" s="77">
        <v>1.97</v>
      </c>
      <c r="T1134" s="76">
        <f>STOCK[[#This Row],[Costo Unitario (USD)]]+STOCK[[#This Row],[Costo Envío (USD)]]+STOCK[[#This Row],[Comisión 10%]]</f>
        <v>20.7520211515864</v>
      </c>
      <c r="U1134" s="77">
        <f>STOCK[[#This Row],[Costo total]]*1.5</f>
        <v>31.1280317273796</v>
      </c>
      <c r="V1134" s="77">
        <v>35</v>
      </c>
      <c r="W1134" s="77">
        <f>STOCK[[#This Row],[Precio Final]]-STOCK[[#This Row],[Costo total]]</f>
        <v>14.2479788484136</v>
      </c>
      <c r="X1134" s="77">
        <f>STOCK[[#This Row],[Ganancia Unitaria]]*STOCK[[#This Row],[Salidas]]</f>
        <v>14.2479788484136</v>
      </c>
      <c r="Y1134" s="77" t="s">
        <v>2400</v>
      </c>
      <c r="AA1134" s="77">
        <f>STOCK[[#This Row],[Costo total]]*STOCK[[#This Row],[Entradas]]</f>
        <v>20.7520211515864</v>
      </c>
      <c r="AB1134" s="77">
        <f>STOCK[[#This Row],[Stock Actual]]*STOCK[[#This Row],[Costo total]]</f>
        <v>0</v>
      </c>
    </row>
    <row r="1135" s="76" customFormat="1" ht="50" hidden="1" customHeight="1" spans="1:28">
      <c r="A1135" s="76" t="s">
        <v>2401</v>
      </c>
      <c r="B1135" s="6"/>
      <c r="C1135" s="76" t="s">
        <v>30</v>
      </c>
      <c r="D1135" s="76" t="s">
        <v>2390</v>
      </c>
      <c r="E1135" s="76" t="s">
        <v>2395</v>
      </c>
      <c r="F1135" s="76" t="s">
        <v>757</v>
      </c>
      <c r="G1135" s="76" t="s">
        <v>2392</v>
      </c>
      <c r="H1135" s="76">
        <f>STOCK[[#This Row],[Precio Final]]</f>
        <v>35</v>
      </c>
      <c r="I1135" s="76">
        <f>STOCK[[#This Row],[Precio Venta Ideal (x1.5)]]</f>
        <v>31.1280317273796</v>
      </c>
      <c r="J1135" s="91">
        <v>1</v>
      </c>
      <c r="K1135" s="91">
        <f>SUMIFS(VENTAS[Cantidad],VENTAS[Código del producto Vendido],STOCK[[#This Row],[Code]])</f>
        <v>1</v>
      </c>
      <c r="L1135" s="91">
        <f>STOCK[[#This Row],[Entradas]]-STOCK[[#This Row],[Salidas]]</f>
        <v>0</v>
      </c>
      <c r="M1135" s="76">
        <f>STOCK[[#This Row],[Precio Final]]*10%</f>
        <v>3.5</v>
      </c>
      <c r="N1135" s="76">
        <v>260.1</v>
      </c>
      <c r="O1135" s="76">
        <v>17.02</v>
      </c>
      <c r="P1135" s="76">
        <v>15.2820211515864</v>
      </c>
      <c r="Q1135" s="91">
        <v>0</v>
      </c>
      <c r="R1135" s="76">
        <v>0</v>
      </c>
      <c r="S1135" s="76">
        <v>1.97</v>
      </c>
      <c r="T1135" s="76">
        <f>STOCK[[#This Row],[Costo Unitario (USD)]]+STOCK[[#This Row],[Costo Envío (USD)]]+STOCK[[#This Row],[Comisión 10%]]</f>
        <v>20.7520211515864</v>
      </c>
      <c r="U1135" s="76">
        <f>STOCK[[#This Row],[Costo total]]*1.5</f>
        <v>31.1280317273796</v>
      </c>
      <c r="V1135" s="76">
        <v>35</v>
      </c>
      <c r="W1135" s="76">
        <f>STOCK[[#This Row],[Precio Final]]-STOCK[[#This Row],[Costo total]]</f>
        <v>14.2479788484136</v>
      </c>
      <c r="X1135" s="76">
        <f>STOCK[[#This Row],[Ganancia Unitaria]]*STOCK[[#This Row],[Salidas]]</f>
        <v>14.2479788484136</v>
      </c>
      <c r="Y1135" s="76" t="s">
        <v>2402</v>
      </c>
      <c r="AA1135" s="76">
        <f>STOCK[[#This Row],[Costo total]]*STOCK[[#This Row],[Entradas]]</f>
        <v>20.7520211515864</v>
      </c>
      <c r="AB1135" s="76">
        <f>STOCK[[#This Row],[Stock Actual]]*STOCK[[#This Row],[Costo total]]</f>
        <v>0</v>
      </c>
    </row>
    <row r="1136" s="77" customFormat="1" ht="50" hidden="1" customHeight="1" spans="1:28">
      <c r="A1136" s="77" t="s">
        <v>2403</v>
      </c>
      <c r="B1136" s="6"/>
      <c r="C1136" s="77" t="s">
        <v>30</v>
      </c>
      <c r="D1136" s="76" t="s">
        <v>1386</v>
      </c>
      <c r="E1136" s="77" t="s">
        <v>2404</v>
      </c>
      <c r="F1136" s="77" t="s">
        <v>38</v>
      </c>
      <c r="G1136" s="77" t="s">
        <v>2392</v>
      </c>
      <c r="H1136" s="77">
        <f>STOCK[[#This Row],[Precio Final]]</f>
        <v>35</v>
      </c>
      <c r="I1136" s="77">
        <f>STOCK[[#This Row],[Precio Venta Ideal (x1.5)]]</f>
        <v>31.1280317273796</v>
      </c>
      <c r="J1136" s="92">
        <v>2</v>
      </c>
      <c r="K1136" s="92">
        <f>SUMIFS(VENTAS[Cantidad],VENTAS[Código del producto Vendido],STOCK[[#This Row],[Code]])</f>
        <v>1</v>
      </c>
      <c r="L1136" s="92">
        <f>STOCK[[#This Row],[Entradas]]-STOCK[[#This Row],[Salidas]]</f>
        <v>1</v>
      </c>
      <c r="M1136" s="77">
        <f>STOCK[[#This Row],[Precio Final]]*10%</f>
        <v>3.5</v>
      </c>
      <c r="N1136" s="77">
        <v>260.1</v>
      </c>
      <c r="O1136" s="77">
        <v>17.02</v>
      </c>
      <c r="P1136" s="77">
        <v>15.2820211515864</v>
      </c>
      <c r="Q1136" s="92">
        <v>0</v>
      </c>
      <c r="R1136" s="77">
        <v>0</v>
      </c>
      <c r="S1136" s="77">
        <v>1.97</v>
      </c>
      <c r="T1136" s="76">
        <f>STOCK[[#This Row],[Costo Unitario (USD)]]+STOCK[[#This Row],[Costo Envío (USD)]]+STOCK[[#This Row],[Comisión 10%]]</f>
        <v>20.7520211515864</v>
      </c>
      <c r="U1136" s="77">
        <f>STOCK[[#This Row],[Costo total]]*1.5</f>
        <v>31.1280317273796</v>
      </c>
      <c r="V1136" s="77">
        <v>35</v>
      </c>
      <c r="W1136" s="77">
        <f>STOCK[[#This Row],[Precio Final]]-STOCK[[#This Row],[Costo total]]</f>
        <v>14.2479788484136</v>
      </c>
      <c r="X1136" s="77">
        <f>STOCK[[#This Row],[Ganancia Unitaria]]*STOCK[[#This Row],[Salidas]]</f>
        <v>14.2479788484136</v>
      </c>
      <c r="Y1136" s="77" t="s">
        <v>2405</v>
      </c>
      <c r="AA1136" s="77">
        <f>STOCK[[#This Row],[Costo total]]*STOCK[[#This Row],[Entradas]]</f>
        <v>41.5040423031728</v>
      </c>
      <c r="AB1136" s="77">
        <f>STOCK[[#This Row],[Stock Actual]]*STOCK[[#This Row],[Costo total]]</f>
        <v>20.7520211515864</v>
      </c>
    </row>
    <row r="1137" s="76" customFormat="1" ht="50" hidden="1" customHeight="1" spans="1:28">
      <c r="A1137" s="76" t="s">
        <v>2406</v>
      </c>
      <c r="B1137" s="6"/>
      <c r="C1137" s="76" t="s">
        <v>30</v>
      </c>
      <c r="D1137" s="76" t="s">
        <v>1386</v>
      </c>
      <c r="E1137" s="76" t="s">
        <v>2404</v>
      </c>
      <c r="F1137" s="76" t="s">
        <v>60</v>
      </c>
      <c r="G1137" s="76" t="s">
        <v>2392</v>
      </c>
      <c r="H1137" s="76">
        <f>STOCK[[#This Row],[Precio Final]]</f>
        <v>35</v>
      </c>
      <c r="I1137" s="76">
        <f>STOCK[[#This Row],[Precio Venta Ideal (x1.5)]]</f>
        <v>31.1280317273796</v>
      </c>
      <c r="J1137" s="91">
        <v>2</v>
      </c>
      <c r="K1137" s="91">
        <f>SUMIFS(VENTAS[Cantidad],VENTAS[Código del producto Vendido],STOCK[[#This Row],[Code]])</f>
        <v>1</v>
      </c>
      <c r="L1137" s="91">
        <f>STOCK[[#This Row],[Entradas]]-STOCK[[#This Row],[Salidas]]</f>
        <v>1</v>
      </c>
      <c r="M1137" s="76">
        <f>STOCK[[#This Row],[Precio Final]]*10%</f>
        <v>3.5</v>
      </c>
      <c r="N1137" s="76">
        <v>260.1</v>
      </c>
      <c r="O1137" s="76">
        <v>17.02</v>
      </c>
      <c r="P1137" s="76">
        <v>15.2820211515864</v>
      </c>
      <c r="Q1137" s="91">
        <v>0</v>
      </c>
      <c r="R1137" s="76">
        <v>0</v>
      </c>
      <c r="S1137" s="76">
        <v>1.97</v>
      </c>
      <c r="T1137" s="76">
        <f>STOCK[[#This Row],[Costo Unitario (USD)]]+STOCK[[#This Row],[Costo Envío (USD)]]+STOCK[[#This Row],[Comisión 10%]]</f>
        <v>20.7520211515864</v>
      </c>
      <c r="U1137" s="76">
        <f>STOCK[[#This Row],[Costo total]]*1.5</f>
        <v>31.1280317273796</v>
      </c>
      <c r="V1137" s="76">
        <v>35</v>
      </c>
      <c r="W1137" s="76">
        <f>STOCK[[#This Row],[Precio Final]]-STOCK[[#This Row],[Costo total]]</f>
        <v>14.2479788484136</v>
      </c>
      <c r="X1137" s="76">
        <f>STOCK[[#This Row],[Ganancia Unitaria]]*STOCK[[#This Row],[Salidas]]</f>
        <v>14.2479788484136</v>
      </c>
      <c r="Y1137" s="76" t="s">
        <v>2407</v>
      </c>
      <c r="AA1137" s="76">
        <f>STOCK[[#This Row],[Costo total]]*STOCK[[#This Row],[Entradas]]</f>
        <v>41.5040423031728</v>
      </c>
      <c r="AB1137" s="76">
        <f>STOCK[[#This Row],[Stock Actual]]*STOCK[[#This Row],[Costo total]]</f>
        <v>20.7520211515864</v>
      </c>
    </row>
    <row r="1138" s="77" customFormat="1" ht="50" hidden="1" customHeight="1" spans="1:28">
      <c r="A1138" s="77" t="s">
        <v>2408</v>
      </c>
      <c r="B1138" s="6"/>
      <c r="C1138" s="77" t="s">
        <v>30</v>
      </c>
      <c r="D1138" s="76" t="s">
        <v>1386</v>
      </c>
      <c r="E1138" s="77" t="s">
        <v>2404</v>
      </c>
      <c r="F1138" s="77" t="s">
        <v>47</v>
      </c>
      <c r="G1138" s="77" t="s">
        <v>2392</v>
      </c>
      <c r="H1138" s="77">
        <f>STOCK[[#This Row],[Precio Final]]</f>
        <v>35</v>
      </c>
      <c r="I1138" s="77">
        <f>STOCK[[#This Row],[Precio Venta Ideal (x1.5)]]</f>
        <v>31.1280317273796</v>
      </c>
      <c r="J1138" s="92">
        <v>3</v>
      </c>
      <c r="K1138" s="92">
        <f>SUMIFS(VENTAS[Cantidad],VENTAS[Código del producto Vendido],STOCK[[#This Row],[Code]])</f>
        <v>1</v>
      </c>
      <c r="L1138" s="92">
        <f>STOCK[[#This Row],[Entradas]]-STOCK[[#This Row],[Salidas]]</f>
        <v>2</v>
      </c>
      <c r="M1138" s="77">
        <f>STOCK[[#This Row],[Precio Final]]*10%</f>
        <v>3.5</v>
      </c>
      <c r="N1138" s="77">
        <v>260.1</v>
      </c>
      <c r="O1138" s="77">
        <v>17.02</v>
      </c>
      <c r="P1138" s="77">
        <v>15.2820211515864</v>
      </c>
      <c r="Q1138" s="92">
        <v>0</v>
      </c>
      <c r="R1138" s="77">
        <v>0</v>
      </c>
      <c r="S1138" s="77">
        <v>1.97</v>
      </c>
      <c r="T1138" s="76">
        <f>STOCK[[#This Row],[Costo Unitario (USD)]]+STOCK[[#This Row],[Costo Envío (USD)]]+STOCK[[#This Row],[Comisión 10%]]</f>
        <v>20.7520211515864</v>
      </c>
      <c r="U1138" s="77">
        <f>STOCK[[#This Row],[Costo total]]*1.5</f>
        <v>31.1280317273796</v>
      </c>
      <c r="V1138" s="77">
        <v>35</v>
      </c>
      <c r="W1138" s="77">
        <f>STOCK[[#This Row],[Precio Final]]-STOCK[[#This Row],[Costo total]]</f>
        <v>14.2479788484136</v>
      </c>
      <c r="X1138" s="77">
        <f>STOCK[[#This Row],[Ganancia Unitaria]]*STOCK[[#This Row],[Salidas]]</f>
        <v>14.2479788484136</v>
      </c>
      <c r="Y1138" s="77" t="s">
        <v>2409</v>
      </c>
      <c r="AA1138" s="77">
        <f>STOCK[[#This Row],[Costo total]]*STOCK[[#This Row],[Entradas]]</f>
        <v>62.2560634547592</v>
      </c>
      <c r="AB1138" s="77">
        <f>STOCK[[#This Row],[Stock Actual]]*STOCK[[#This Row],[Costo total]]</f>
        <v>41.5040423031728</v>
      </c>
    </row>
    <row r="1139" s="76" customFormat="1" ht="50" hidden="1" customHeight="1" spans="1:28">
      <c r="A1139" s="76" t="s">
        <v>2410</v>
      </c>
      <c r="B1139" s="6"/>
      <c r="C1139" s="76" t="s">
        <v>30</v>
      </c>
      <c r="D1139" s="76" t="s">
        <v>1386</v>
      </c>
      <c r="E1139" s="76" t="s">
        <v>2404</v>
      </c>
      <c r="F1139" s="76" t="s">
        <v>44</v>
      </c>
      <c r="G1139" s="76" t="s">
        <v>2392</v>
      </c>
      <c r="H1139" s="76">
        <f>STOCK[[#This Row],[Precio Final]]</f>
        <v>35</v>
      </c>
      <c r="I1139" s="76">
        <f>STOCK[[#This Row],[Precio Venta Ideal (x1.5)]]</f>
        <v>31.1280317273796</v>
      </c>
      <c r="J1139" s="91">
        <v>1</v>
      </c>
      <c r="K1139" s="91">
        <f>SUMIFS(VENTAS[Cantidad],VENTAS[Código del producto Vendido],STOCK[[#This Row],[Code]])</f>
        <v>0</v>
      </c>
      <c r="L1139" s="91">
        <f>STOCK[[#This Row],[Entradas]]-STOCK[[#This Row],[Salidas]]</f>
        <v>1</v>
      </c>
      <c r="M1139" s="76">
        <f>STOCK[[#This Row],[Precio Final]]*10%</f>
        <v>3.5</v>
      </c>
      <c r="N1139" s="76">
        <v>260.1</v>
      </c>
      <c r="O1139" s="76">
        <v>17.02</v>
      </c>
      <c r="P1139" s="76">
        <v>15.2820211515864</v>
      </c>
      <c r="Q1139" s="91">
        <v>0</v>
      </c>
      <c r="R1139" s="76">
        <v>0</v>
      </c>
      <c r="S1139" s="76">
        <v>1.97</v>
      </c>
      <c r="T1139" s="76">
        <f>STOCK[[#This Row],[Costo Unitario (USD)]]+STOCK[[#This Row],[Costo Envío (USD)]]+STOCK[[#This Row],[Comisión 10%]]</f>
        <v>20.7520211515864</v>
      </c>
      <c r="U1139" s="76">
        <f>STOCK[[#This Row],[Costo total]]*1.5</f>
        <v>31.1280317273796</v>
      </c>
      <c r="V1139" s="76">
        <v>35</v>
      </c>
      <c r="W1139" s="76">
        <f>STOCK[[#This Row],[Precio Final]]-STOCK[[#This Row],[Costo total]]</f>
        <v>14.2479788484136</v>
      </c>
      <c r="X1139" s="76">
        <f>STOCK[[#This Row],[Ganancia Unitaria]]*STOCK[[#This Row],[Salidas]]</f>
        <v>0</v>
      </c>
      <c r="Y1139" s="76" t="s">
        <v>2411</v>
      </c>
      <c r="AA1139" s="76">
        <f>STOCK[[#This Row],[Costo total]]*STOCK[[#This Row],[Entradas]]</f>
        <v>20.7520211515864</v>
      </c>
      <c r="AB1139" s="76">
        <f>STOCK[[#This Row],[Stock Actual]]*STOCK[[#This Row],[Costo total]]</f>
        <v>20.7520211515864</v>
      </c>
    </row>
    <row r="1140" s="77" customFormat="1" ht="50" customHeight="1" spans="1:28">
      <c r="A1140" s="77" t="s">
        <v>2412</v>
      </c>
      <c r="B1140" s="6"/>
      <c r="C1140" s="77" t="s">
        <v>30</v>
      </c>
      <c r="D1140" s="77" t="s">
        <v>2413</v>
      </c>
      <c r="E1140" s="77" t="s">
        <v>2404</v>
      </c>
      <c r="F1140" s="77" t="s">
        <v>40</v>
      </c>
      <c r="G1140" s="77" t="s">
        <v>2392</v>
      </c>
      <c r="H1140" s="77">
        <f>STOCK[[#This Row],[Precio Final]]</f>
        <v>35</v>
      </c>
      <c r="I1140" s="77">
        <f>STOCK[[#This Row],[Precio Venta Ideal (x1.5)]]</f>
        <v>31.1280317273796</v>
      </c>
      <c r="J1140" s="92">
        <v>1</v>
      </c>
      <c r="K1140" s="92">
        <f>SUMIFS(VENTAS[Cantidad],VENTAS[Código del producto Vendido],STOCK[[#This Row],[Code]])</f>
        <v>1</v>
      </c>
      <c r="L1140" s="92">
        <f>STOCK[[#This Row],[Entradas]]-STOCK[[#This Row],[Salidas]]</f>
        <v>0</v>
      </c>
      <c r="M1140" s="77">
        <f>STOCK[[#This Row],[Precio Final]]*10%</f>
        <v>3.5</v>
      </c>
      <c r="N1140" s="77">
        <v>260.1</v>
      </c>
      <c r="O1140" s="77">
        <v>17.02</v>
      </c>
      <c r="P1140" s="77">
        <v>15.2820211515864</v>
      </c>
      <c r="Q1140" s="92">
        <v>0</v>
      </c>
      <c r="R1140" s="77">
        <v>0</v>
      </c>
      <c r="S1140" s="77">
        <v>1.97</v>
      </c>
      <c r="T1140" s="76">
        <f>STOCK[[#This Row],[Costo Unitario (USD)]]+STOCK[[#This Row],[Costo Envío (USD)]]+STOCK[[#This Row],[Comisión 10%]]</f>
        <v>20.7520211515864</v>
      </c>
      <c r="U1140" s="77">
        <f>STOCK[[#This Row],[Costo total]]*1.5</f>
        <v>31.1280317273796</v>
      </c>
      <c r="V1140" s="77">
        <v>35</v>
      </c>
      <c r="W1140" s="77">
        <f>STOCK[[#This Row],[Precio Final]]-STOCK[[#This Row],[Costo total]]</f>
        <v>14.2479788484136</v>
      </c>
      <c r="X1140" s="77">
        <f>STOCK[[#This Row],[Ganancia Unitaria]]*STOCK[[#This Row],[Salidas]]</f>
        <v>14.2479788484136</v>
      </c>
      <c r="Y1140" s="77" t="s">
        <v>2414</v>
      </c>
      <c r="AA1140" s="77">
        <f>STOCK[[#This Row],[Costo total]]*STOCK[[#This Row],[Entradas]]</f>
        <v>20.7520211515864</v>
      </c>
      <c r="AB1140" s="77">
        <f>STOCK[[#This Row],[Stock Actual]]*STOCK[[#This Row],[Costo total]]</f>
        <v>0</v>
      </c>
    </row>
    <row r="1141" s="76" customFormat="1" ht="50" hidden="1" customHeight="1" spans="1:28">
      <c r="A1141" s="76" t="s">
        <v>2415</v>
      </c>
      <c r="B1141" s="6"/>
      <c r="C1141" s="76" t="s">
        <v>30</v>
      </c>
      <c r="D1141" s="76" t="s">
        <v>778</v>
      </c>
      <c r="E1141" s="76" t="s">
        <v>2416</v>
      </c>
      <c r="F1141" s="76" t="s">
        <v>60</v>
      </c>
      <c r="G1141" s="76" t="s">
        <v>2392</v>
      </c>
      <c r="H1141" s="76">
        <f>STOCK[[#This Row],[Precio Final]]</f>
        <v>25</v>
      </c>
      <c r="I1141" s="76">
        <f>STOCK[[#This Row],[Precio Venta Ideal (x1.5)]]</f>
        <v>30.4212162162162</v>
      </c>
      <c r="J1141" s="91">
        <v>2</v>
      </c>
      <c r="K1141" s="91">
        <f>SUMIFS(VENTAS[Cantidad],VENTAS[Código del producto Vendido],STOCK[[#This Row],[Code]])</f>
        <v>2</v>
      </c>
      <c r="L1141" s="91">
        <f>STOCK[[#This Row],[Entradas]]-STOCK[[#This Row],[Salidas]]</f>
        <v>0</v>
      </c>
      <c r="M1141" s="76">
        <f>STOCK[[#This Row],[Precio Final]]*10%</f>
        <v>2.5</v>
      </c>
      <c r="N1141" s="76">
        <v>269.1</v>
      </c>
      <c r="O1141" s="76">
        <v>17.02</v>
      </c>
      <c r="P1141" s="76">
        <v>15.8108108108108</v>
      </c>
      <c r="Q1141" s="91">
        <v>0</v>
      </c>
      <c r="R1141" s="76">
        <v>0</v>
      </c>
      <c r="S1141" s="76">
        <v>1.97</v>
      </c>
      <c r="T1141" s="76">
        <f>STOCK[[#This Row],[Costo Unitario (USD)]]+STOCK[[#This Row],[Costo Envío (USD)]]+STOCK[[#This Row],[Comisión 10%]]</f>
        <v>20.2808108108108</v>
      </c>
      <c r="U1141" s="76">
        <f>STOCK[[#This Row],[Costo total]]*1.5</f>
        <v>30.4212162162162</v>
      </c>
      <c r="V1141" s="76">
        <v>25</v>
      </c>
      <c r="W1141" s="76">
        <f>STOCK[[#This Row],[Precio Final]]-STOCK[[#This Row],[Costo total]]</f>
        <v>4.7191891891892</v>
      </c>
      <c r="X1141" s="76">
        <f>STOCK[[#This Row],[Ganancia Unitaria]]*STOCK[[#This Row],[Salidas]]</f>
        <v>9.4383783783784</v>
      </c>
      <c r="Y1141" s="76" t="s">
        <v>2417</v>
      </c>
      <c r="AA1141" s="76">
        <f>STOCK[[#This Row],[Costo total]]*STOCK[[#This Row],[Entradas]]</f>
        <v>40.5616216216216</v>
      </c>
      <c r="AB1141" s="76">
        <f>STOCK[[#This Row],[Stock Actual]]*STOCK[[#This Row],[Costo total]]</f>
        <v>0</v>
      </c>
    </row>
    <row r="1142" s="77" customFormat="1" ht="50" hidden="1" customHeight="1" spans="1:28">
      <c r="A1142" s="77" t="s">
        <v>2418</v>
      </c>
      <c r="B1142" s="6"/>
      <c r="C1142" s="77" t="s">
        <v>30</v>
      </c>
      <c r="D1142" s="76" t="s">
        <v>778</v>
      </c>
      <c r="E1142" s="77" t="s">
        <v>2416</v>
      </c>
      <c r="F1142" s="77" t="s">
        <v>47</v>
      </c>
      <c r="G1142" s="77" t="s">
        <v>2392</v>
      </c>
      <c r="H1142" s="77">
        <f>STOCK[[#This Row],[Precio Final]]</f>
        <v>25</v>
      </c>
      <c r="I1142" s="77">
        <f>STOCK[[#This Row],[Precio Venta Ideal (x1.5)]]</f>
        <v>30.4212162162162</v>
      </c>
      <c r="J1142" s="92">
        <v>3</v>
      </c>
      <c r="K1142" s="92">
        <f>SUMIFS(VENTAS[Cantidad],VENTAS[Código del producto Vendido],STOCK[[#This Row],[Code]])</f>
        <v>3</v>
      </c>
      <c r="L1142" s="92">
        <f>STOCK[[#This Row],[Entradas]]-STOCK[[#This Row],[Salidas]]</f>
        <v>0</v>
      </c>
      <c r="M1142" s="77">
        <f>STOCK[[#This Row],[Precio Final]]*10%</f>
        <v>2.5</v>
      </c>
      <c r="N1142" s="77">
        <v>269.1</v>
      </c>
      <c r="O1142" s="77">
        <v>17.02</v>
      </c>
      <c r="P1142" s="77">
        <v>15.8108108108108</v>
      </c>
      <c r="Q1142" s="92">
        <v>0</v>
      </c>
      <c r="R1142" s="77">
        <v>0</v>
      </c>
      <c r="S1142" s="77">
        <v>1.97</v>
      </c>
      <c r="T1142" s="76">
        <f>STOCK[[#This Row],[Costo Unitario (USD)]]+STOCK[[#This Row],[Costo Envío (USD)]]+STOCK[[#This Row],[Comisión 10%]]</f>
        <v>20.2808108108108</v>
      </c>
      <c r="U1142" s="77">
        <f>STOCK[[#This Row],[Costo total]]*1.5</f>
        <v>30.4212162162162</v>
      </c>
      <c r="V1142" s="77">
        <v>25</v>
      </c>
      <c r="W1142" s="77">
        <f>STOCK[[#This Row],[Precio Final]]-STOCK[[#This Row],[Costo total]]</f>
        <v>4.7191891891892</v>
      </c>
      <c r="X1142" s="77">
        <f>STOCK[[#This Row],[Ganancia Unitaria]]*STOCK[[#This Row],[Salidas]]</f>
        <v>14.1575675675676</v>
      </c>
      <c r="Y1142" s="77" t="s">
        <v>2419</v>
      </c>
      <c r="AA1142" s="77">
        <f>STOCK[[#This Row],[Costo total]]*STOCK[[#This Row],[Entradas]]</f>
        <v>60.8424324324324</v>
      </c>
      <c r="AB1142" s="77">
        <f>STOCK[[#This Row],[Stock Actual]]*STOCK[[#This Row],[Costo total]]</f>
        <v>0</v>
      </c>
    </row>
    <row r="1143" s="76" customFormat="1" ht="50" hidden="1" customHeight="1" spans="1:28">
      <c r="A1143" s="76" t="s">
        <v>2420</v>
      </c>
      <c r="B1143" s="6"/>
      <c r="C1143" s="76" t="s">
        <v>30</v>
      </c>
      <c r="D1143" s="76" t="s">
        <v>778</v>
      </c>
      <c r="E1143" s="76" t="s">
        <v>2416</v>
      </c>
      <c r="F1143" s="76" t="s">
        <v>44</v>
      </c>
      <c r="G1143" s="76" t="s">
        <v>2392</v>
      </c>
      <c r="H1143" s="76">
        <f>STOCK[[#This Row],[Precio Final]]</f>
        <v>25</v>
      </c>
      <c r="I1143" s="76">
        <f>STOCK[[#This Row],[Precio Venta Ideal (x1.5)]]</f>
        <v>30.4212162162162</v>
      </c>
      <c r="J1143" s="91">
        <v>3</v>
      </c>
      <c r="K1143" s="91">
        <f>SUMIFS(VENTAS[Cantidad],VENTAS[Código del producto Vendido],STOCK[[#This Row],[Code]])</f>
        <v>0</v>
      </c>
      <c r="L1143" s="91">
        <f>STOCK[[#This Row],[Entradas]]-STOCK[[#This Row],[Salidas]]</f>
        <v>3</v>
      </c>
      <c r="M1143" s="76">
        <f>STOCK[[#This Row],[Precio Final]]*10%</f>
        <v>2.5</v>
      </c>
      <c r="N1143" s="76">
        <v>269.1</v>
      </c>
      <c r="O1143" s="76">
        <v>17.02</v>
      </c>
      <c r="P1143" s="76">
        <v>15.8108108108108</v>
      </c>
      <c r="Q1143" s="91">
        <v>0</v>
      </c>
      <c r="R1143" s="76">
        <v>0</v>
      </c>
      <c r="S1143" s="76">
        <v>1.97</v>
      </c>
      <c r="T1143" s="76">
        <f>STOCK[[#This Row],[Costo Unitario (USD)]]+STOCK[[#This Row],[Costo Envío (USD)]]+STOCK[[#This Row],[Comisión 10%]]</f>
        <v>20.2808108108108</v>
      </c>
      <c r="U1143" s="76">
        <f>STOCK[[#This Row],[Costo total]]*1.5</f>
        <v>30.4212162162162</v>
      </c>
      <c r="V1143" s="76">
        <v>25</v>
      </c>
      <c r="W1143" s="76">
        <f>STOCK[[#This Row],[Precio Final]]-STOCK[[#This Row],[Costo total]]</f>
        <v>4.7191891891892</v>
      </c>
      <c r="X1143" s="76">
        <f>STOCK[[#This Row],[Ganancia Unitaria]]*STOCK[[#This Row],[Salidas]]</f>
        <v>0</v>
      </c>
      <c r="Y1143" s="76" t="s">
        <v>2421</v>
      </c>
      <c r="AA1143" s="76">
        <f>STOCK[[#This Row],[Costo total]]*STOCK[[#This Row],[Entradas]]</f>
        <v>60.8424324324324</v>
      </c>
      <c r="AB1143" s="76">
        <f>STOCK[[#This Row],[Stock Actual]]*STOCK[[#This Row],[Costo total]]</f>
        <v>60.8424324324324</v>
      </c>
    </row>
    <row r="1144" s="77" customFormat="1" ht="50" hidden="1" customHeight="1" spans="1:28">
      <c r="A1144" s="77" t="s">
        <v>2422</v>
      </c>
      <c r="B1144" s="6"/>
      <c r="C1144" s="77" t="s">
        <v>30</v>
      </c>
      <c r="D1144" s="76" t="s">
        <v>1386</v>
      </c>
      <c r="E1144" s="77" t="s">
        <v>2423</v>
      </c>
      <c r="F1144" s="77" t="s">
        <v>38</v>
      </c>
      <c r="G1144" s="77" t="s">
        <v>2392</v>
      </c>
      <c r="H1144" s="77">
        <f>STOCK[[#This Row],[Precio Final]]</f>
        <v>23</v>
      </c>
      <c r="I1144" s="77">
        <f>STOCK[[#This Row],[Precio Venta Ideal (x1.5)]]</f>
        <v>20.6030023501763</v>
      </c>
      <c r="J1144" s="92">
        <v>2</v>
      </c>
      <c r="K1144" s="92">
        <f>SUMIFS(VENTAS[Cantidad],VENTAS[Código del producto Vendido],STOCK[[#This Row],[Code]])</f>
        <v>2</v>
      </c>
      <c r="L1144" s="92">
        <f>STOCK[[#This Row],[Entradas]]-STOCK[[#This Row],[Salidas]]</f>
        <v>0</v>
      </c>
      <c r="M1144" s="77">
        <f>STOCK[[#This Row],[Precio Final]]*10%</f>
        <v>2.3</v>
      </c>
      <c r="N1144" s="77">
        <v>161.1</v>
      </c>
      <c r="O1144" s="77">
        <v>17.02</v>
      </c>
      <c r="P1144" s="77">
        <v>9.46533490011751</v>
      </c>
      <c r="Q1144" s="92">
        <v>0</v>
      </c>
      <c r="R1144" s="77">
        <v>0</v>
      </c>
      <c r="S1144" s="77">
        <v>1.97</v>
      </c>
      <c r="T1144" s="76">
        <f>STOCK[[#This Row],[Costo Unitario (USD)]]+STOCK[[#This Row],[Costo Envío (USD)]]+STOCK[[#This Row],[Comisión 10%]]</f>
        <v>13.7353349001175</v>
      </c>
      <c r="U1144" s="77">
        <f>STOCK[[#This Row],[Costo total]]*1.5</f>
        <v>20.6030023501763</v>
      </c>
      <c r="V1144" s="77">
        <v>23</v>
      </c>
      <c r="W1144" s="77">
        <f>STOCK[[#This Row],[Precio Final]]-STOCK[[#This Row],[Costo total]]</f>
        <v>9.26466509988249</v>
      </c>
      <c r="X1144" s="77">
        <f>STOCK[[#This Row],[Ganancia Unitaria]]*STOCK[[#This Row],[Salidas]]</f>
        <v>18.529330199765</v>
      </c>
      <c r="Y1144" s="77" t="s">
        <v>2424</v>
      </c>
      <c r="AA1144" s="77">
        <f>STOCK[[#This Row],[Costo total]]*STOCK[[#This Row],[Entradas]]</f>
        <v>27.470669800235</v>
      </c>
      <c r="AB1144" s="77">
        <f>STOCK[[#This Row],[Stock Actual]]*STOCK[[#This Row],[Costo total]]</f>
        <v>0</v>
      </c>
    </row>
    <row r="1145" s="76" customFormat="1" ht="50" hidden="1" customHeight="1" spans="1:28">
      <c r="A1145" s="76" t="s">
        <v>2425</v>
      </c>
      <c r="B1145" s="6"/>
      <c r="C1145" s="76" t="s">
        <v>30</v>
      </c>
      <c r="D1145" s="76" t="s">
        <v>1386</v>
      </c>
      <c r="E1145" s="76" t="s">
        <v>2423</v>
      </c>
      <c r="F1145" s="76" t="s">
        <v>60</v>
      </c>
      <c r="G1145" s="76" t="s">
        <v>2392</v>
      </c>
      <c r="H1145" s="76">
        <f>STOCK[[#This Row],[Precio Final]]</f>
        <v>23</v>
      </c>
      <c r="I1145" s="76">
        <f>STOCK[[#This Row],[Precio Venta Ideal (x1.5)]]</f>
        <v>20.6030023501763</v>
      </c>
      <c r="J1145" s="91">
        <v>1</v>
      </c>
      <c r="K1145" s="91">
        <f>SUMIFS(VENTAS[Cantidad],VENTAS[Código del producto Vendido],STOCK[[#This Row],[Code]])</f>
        <v>0</v>
      </c>
      <c r="L1145" s="91">
        <f>STOCK[[#This Row],[Entradas]]-STOCK[[#This Row],[Salidas]]</f>
        <v>1</v>
      </c>
      <c r="M1145" s="76">
        <f>STOCK[[#This Row],[Precio Final]]*10%</f>
        <v>2.3</v>
      </c>
      <c r="N1145" s="76">
        <v>161.1</v>
      </c>
      <c r="O1145" s="76">
        <v>17.02</v>
      </c>
      <c r="P1145" s="76">
        <v>9.46533490011751</v>
      </c>
      <c r="Q1145" s="91">
        <v>0</v>
      </c>
      <c r="R1145" s="76">
        <v>0</v>
      </c>
      <c r="S1145" s="76">
        <v>1.97</v>
      </c>
      <c r="T1145" s="76">
        <f>STOCK[[#This Row],[Costo Unitario (USD)]]+STOCK[[#This Row],[Costo Envío (USD)]]+STOCK[[#This Row],[Comisión 10%]]</f>
        <v>13.7353349001175</v>
      </c>
      <c r="U1145" s="76">
        <f>STOCK[[#This Row],[Costo total]]*1.5</f>
        <v>20.6030023501763</v>
      </c>
      <c r="V1145" s="76">
        <v>23</v>
      </c>
      <c r="W1145" s="76">
        <f>STOCK[[#This Row],[Precio Final]]-STOCK[[#This Row],[Costo total]]</f>
        <v>9.26466509988249</v>
      </c>
      <c r="X1145" s="76">
        <f>STOCK[[#This Row],[Ganancia Unitaria]]*STOCK[[#This Row],[Salidas]]</f>
        <v>0</v>
      </c>
      <c r="Y1145" s="76" t="s">
        <v>2426</v>
      </c>
      <c r="AA1145" s="76">
        <f>STOCK[[#This Row],[Costo total]]*STOCK[[#This Row],[Entradas]]</f>
        <v>13.7353349001175</v>
      </c>
      <c r="AB1145" s="76">
        <f>STOCK[[#This Row],[Stock Actual]]*STOCK[[#This Row],[Costo total]]</f>
        <v>13.7353349001175</v>
      </c>
    </row>
    <row r="1146" s="77" customFormat="1" ht="50" hidden="1" customHeight="1" spans="1:28">
      <c r="A1146" s="77" t="s">
        <v>2427</v>
      </c>
      <c r="B1146" s="6"/>
      <c r="C1146" s="77" t="s">
        <v>30</v>
      </c>
      <c r="D1146" s="76" t="s">
        <v>1386</v>
      </c>
      <c r="E1146" s="77" t="s">
        <v>2423</v>
      </c>
      <c r="F1146" s="77" t="s">
        <v>47</v>
      </c>
      <c r="G1146" s="77" t="s">
        <v>2392</v>
      </c>
      <c r="H1146" s="77">
        <f>STOCK[[#This Row],[Precio Final]]</f>
        <v>23</v>
      </c>
      <c r="I1146" s="77">
        <f>STOCK[[#This Row],[Precio Venta Ideal (x1.5)]]</f>
        <v>20.6030023501763</v>
      </c>
      <c r="J1146" s="92">
        <v>2</v>
      </c>
      <c r="K1146" s="92">
        <f>SUMIFS(VENTAS[Cantidad],VENTAS[Código del producto Vendido],STOCK[[#This Row],[Code]])</f>
        <v>1</v>
      </c>
      <c r="L1146" s="92">
        <f>STOCK[[#This Row],[Entradas]]-STOCK[[#This Row],[Salidas]]</f>
        <v>1</v>
      </c>
      <c r="M1146" s="77">
        <f>STOCK[[#This Row],[Precio Final]]*10%</f>
        <v>2.3</v>
      </c>
      <c r="N1146" s="77">
        <v>161.1</v>
      </c>
      <c r="O1146" s="77">
        <v>17.02</v>
      </c>
      <c r="P1146" s="77">
        <v>9.46533490011751</v>
      </c>
      <c r="Q1146" s="92">
        <v>0</v>
      </c>
      <c r="R1146" s="77">
        <v>0</v>
      </c>
      <c r="S1146" s="77">
        <v>1.97</v>
      </c>
      <c r="T1146" s="76">
        <f>STOCK[[#This Row],[Costo Unitario (USD)]]+STOCK[[#This Row],[Costo Envío (USD)]]+STOCK[[#This Row],[Comisión 10%]]</f>
        <v>13.7353349001175</v>
      </c>
      <c r="U1146" s="77">
        <f>STOCK[[#This Row],[Costo total]]*1.5</f>
        <v>20.6030023501763</v>
      </c>
      <c r="V1146" s="77">
        <v>23</v>
      </c>
      <c r="W1146" s="77">
        <f>STOCK[[#This Row],[Precio Final]]-STOCK[[#This Row],[Costo total]]</f>
        <v>9.26466509988249</v>
      </c>
      <c r="X1146" s="77">
        <f>STOCK[[#This Row],[Ganancia Unitaria]]*STOCK[[#This Row],[Salidas]]</f>
        <v>9.26466509988249</v>
      </c>
      <c r="Y1146" s="77" t="s">
        <v>2428</v>
      </c>
      <c r="AA1146" s="77">
        <f>STOCK[[#This Row],[Costo total]]*STOCK[[#This Row],[Entradas]]</f>
        <v>27.470669800235</v>
      </c>
      <c r="AB1146" s="77">
        <f>STOCK[[#This Row],[Stock Actual]]*STOCK[[#This Row],[Costo total]]</f>
        <v>13.7353349001175</v>
      </c>
    </row>
    <row r="1147" s="76" customFormat="1" ht="50" hidden="1" customHeight="1" spans="1:28">
      <c r="A1147" s="76" t="s">
        <v>2429</v>
      </c>
      <c r="B1147" s="6"/>
      <c r="C1147" s="76" t="s">
        <v>30</v>
      </c>
      <c r="D1147" s="76" t="s">
        <v>1386</v>
      </c>
      <c r="E1147" s="76" t="s">
        <v>2423</v>
      </c>
      <c r="F1147" s="76" t="s">
        <v>44</v>
      </c>
      <c r="G1147" s="76" t="s">
        <v>2392</v>
      </c>
      <c r="H1147" s="76">
        <f>STOCK[[#This Row],[Precio Final]]</f>
        <v>23</v>
      </c>
      <c r="I1147" s="76">
        <f>STOCK[[#This Row],[Precio Venta Ideal (x1.5)]]</f>
        <v>20.6030023501763</v>
      </c>
      <c r="J1147" s="91">
        <v>2</v>
      </c>
      <c r="K1147" s="91">
        <f>SUMIFS(VENTAS[Cantidad],VENTAS[Código del producto Vendido],STOCK[[#This Row],[Code]])</f>
        <v>2</v>
      </c>
      <c r="L1147" s="91">
        <f>STOCK[[#This Row],[Entradas]]-STOCK[[#This Row],[Salidas]]</f>
        <v>0</v>
      </c>
      <c r="M1147" s="76">
        <f>STOCK[[#This Row],[Precio Final]]*10%</f>
        <v>2.3</v>
      </c>
      <c r="N1147" s="76">
        <v>161.1</v>
      </c>
      <c r="O1147" s="76">
        <v>17.02</v>
      </c>
      <c r="P1147" s="76">
        <v>9.46533490011751</v>
      </c>
      <c r="Q1147" s="91">
        <v>0</v>
      </c>
      <c r="R1147" s="76">
        <v>0</v>
      </c>
      <c r="S1147" s="76">
        <v>1.97</v>
      </c>
      <c r="T1147" s="76">
        <f>STOCK[[#This Row],[Costo Unitario (USD)]]+STOCK[[#This Row],[Costo Envío (USD)]]+STOCK[[#This Row],[Comisión 10%]]</f>
        <v>13.7353349001175</v>
      </c>
      <c r="U1147" s="76">
        <f>STOCK[[#This Row],[Costo total]]*1.5</f>
        <v>20.6030023501763</v>
      </c>
      <c r="V1147" s="76">
        <v>23</v>
      </c>
      <c r="W1147" s="76">
        <f>STOCK[[#This Row],[Precio Final]]-STOCK[[#This Row],[Costo total]]</f>
        <v>9.26466509988249</v>
      </c>
      <c r="X1147" s="76">
        <f>STOCK[[#This Row],[Ganancia Unitaria]]*STOCK[[#This Row],[Salidas]]</f>
        <v>18.529330199765</v>
      </c>
      <c r="Y1147" s="76" t="s">
        <v>2430</v>
      </c>
      <c r="AA1147" s="76">
        <f>STOCK[[#This Row],[Costo total]]*STOCK[[#This Row],[Entradas]]</f>
        <v>27.470669800235</v>
      </c>
      <c r="AB1147" s="76">
        <f>STOCK[[#This Row],[Stock Actual]]*STOCK[[#This Row],[Costo total]]</f>
        <v>0</v>
      </c>
    </row>
    <row r="1148" s="77" customFormat="1" ht="50" hidden="1" customHeight="1" spans="1:28">
      <c r="A1148" s="77" t="s">
        <v>2431</v>
      </c>
      <c r="B1148" s="6"/>
      <c r="C1148" s="77" t="s">
        <v>30</v>
      </c>
      <c r="D1148" s="76" t="s">
        <v>1386</v>
      </c>
      <c r="E1148" s="77" t="s">
        <v>2423</v>
      </c>
      <c r="F1148" s="77" t="s">
        <v>40</v>
      </c>
      <c r="G1148" s="77" t="s">
        <v>2392</v>
      </c>
      <c r="H1148" s="77">
        <f>STOCK[[#This Row],[Precio Final]]</f>
        <v>23</v>
      </c>
      <c r="I1148" s="77">
        <f>STOCK[[#This Row],[Precio Venta Ideal (x1.5)]]</f>
        <v>20.6030023501763</v>
      </c>
      <c r="J1148" s="92">
        <v>2</v>
      </c>
      <c r="K1148" s="92">
        <f>SUMIFS(VENTAS[Cantidad],VENTAS[Código del producto Vendido],STOCK[[#This Row],[Code]])</f>
        <v>0</v>
      </c>
      <c r="L1148" s="92">
        <f>STOCK[[#This Row],[Entradas]]-STOCK[[#This Row],[Salidas]]</f>
        <v>2</v>
      </c>
      <c r="M1148" s="77">
        <f>STOCK[[#This Row],[Precio Final]]*10%</f>
        <v>2.3</v>
      </c>
      <c r="N1148" s="77">
        <v>161.1</v>
      </c>
      <c r="O1148" s="77">
        <v>17.02</v>
      </c>
      <c r="P1148" s="77">
        <v>9.46533490011751</v>
      </c>
      <c r="Q1148" s="92">
        <v>0</v>
      </c>
      <c r="R1148" s="77">
        <v>0</v>
      </c>
      <c r="S1148" s="77">
        <v>1.97</v>
      </c>
      <c r="T1148" s="76">
        <f>STOCK[[#This Row],[Costo Unitario (USD)]]+STOCK[[#This Row],[Costo Envío (USD)]]+STOCK[[#This Row],[Comisión 10%]]</f>
        <v>13.7353349001175</v>
      </c>
      <c r="U1148" s="77">
        <f>STOCK[[#This Row],[Costo total]]*1.5</f>
        <v>20.6030023501763</v>
      </c>
      <c r="V1148" s="77">
        <v>23</v>
      </c>
      <c r="W1148" s="77">
        <f>STOCK[[#This Row],[Precio Final]]-STOCK[[#This Row],[Costo total]]</f>
        <v>9.26466509988249</v>
      </c>
      <c r="X1148" s="77">
        <f>STOCK[[#This Row],[Ganancia Unitaria]]*STOCK[[#This Row],[Salidas]]</f>
        <v>0</v>
      </c>
      <c r="Y1148" s="77" t="s">
        <v>2432</v>
      </c>
      <c r="AA1148" s="77">
        <f>STOCK[[#This Row],[Costo total]]*STOCK[[#This Row],[Entradas]]</f>
        <v>27.470669800235</v>
      </c>
      <c r="AB1148" s="77">
        <f>STOCK[[#This Row],[Stock Actual]]*STOCK[[#This Row],[Costo total]]</f>
        <v>27.470669800235</v>
      </c>
    </row>
    <row r="1149" s="76" customFormat="1" ht="50" hidden="1" customHeight="1" spans="1:28">
      <c r="A1149" s="76" t="s">
        <v>2433</v>
      </c>
      <c r="B1149" s="6"/>
      <c r="C1149" s="76" t="s">
        <v>30</v>
      </c>
      <c r="D1149" s="76" t="s">
        <v>1386</v>
      </c>
      <c r="E1149" s="76" t="s">
        <v>2434</v>
      </c>
      <c r="F1149" s="76" t="s">
        <v>47</v>
      </c>
      <c r="G1149" s="76" t="s">
        <v>2392</v>
      </c>
      <c r="H1149" s="76">
        <f>STOCK[[#This Row],[Precio Final]]</f>
        <v>35</v>
      </c>
      <c r="I1149" s="76">
        <f>STOCK[[#This Row],[Precio Venta Ideal (x1.5)]]</f>
        <v>29.5416627497062</v>
      </c>
      <c r="J1149" s="91">
        <v>3</v>
      </c>
      <c r="K1149" s="91">
        <f>SUMIFS(VENTAS[Cantidad],VENTAS[Código del producto Vendido],STOCK[[#This Row],[Code]])</f>
        <v>1</v>
      </c>
      <c r="L1149" s="91">
        <f>STOCK[[#This Row],[Entradas]]-STOCK[[#This Row],[Salidas]]</f>
        <v>2</v>
      </c>
      <c r="M1149" s="76">
        <f>STOCK[[#This Row],[Precio Final]]*10%</f>
        <v>3.5</v>
      </c>
      <c r="N1149" s="76">
        <v>242.1</v>
      </c>
      <c r="O1149" s="76">
        <v>17.02</v>
      </c>
      <c r="P1149" s="76">
        <v>14.2244418331375</v>
      </c>
      <c r="Q1149" s="91">
        <v>0</v>
      </c>
      <c r="R1149" s="76">
        <v>0</v>
      </c>
      <c r="S1149" s="76">
        <v>1.97</v>
      </c>
      <c r="T1149" s="76">
        <f>STOCK[[#This Row],[Costo Unitario (USD)]]+STOCK[[#This Row],[Costo Envío (USD)]]+STOCK[[#This Row],[Comisión 10%]]</f>
        <v>19.6944418331375</v>
      </c>
      <c r="U1149" s="76">
        <f>STOCK[[#This Row],[Costo total]]*1.5</f>
        <v>29.5416627497062</v>
      </c>
      <c r="V1149" s="76">
        <v>35</v>
      </c>
      <c r="W1149" s="76">
        <f>STOCK[[#This Row],[Precio Final]]-STOCK[[#This Row],[Costo total]]</f>
        <v>15.3055581668625</v>
      </c>
      <c r="X1149" s="76">
        <f>STOCK[[#This Row],[Ganancia Unitaria]]*STOCK[[#This Row],[Salidas]]</f>
        <v>15.3055581668625</v>
      </c>
      <c r="Y1149" s="76" t="s">
        <v>2435</v>
      </c>
      <c r="AA1149" s="76">
        <f>STOCK[[#This Row],[Costo total]]*STOCK[[#This Row],[Entradas]]</f>
        <v>59.0833254994125</v>
      </c>
      <c r="AB1149" s="76">
        <f>STOCK[[#This Row],[Stock Actual]]*STOCK[[#This Row],[Costo total]]</f>
        <v>39.388883666275</v>
      </c>
    </row>
    <row r="1150" s="77" customFormat="1" ht="50" hidden="1" customHeight="1" spans="1:28">
      <c r="A1150" s="77" t="s">
        <v>2436</v>
      </c>
      <c r="B1150" s="6"/>
      <c r="C1150" s="77" t="s">
        <v>30</v>
      </c>
      <c r="D1150" s="76" t="s">
        <v>1386</v>
      </c>
      <c r="E1150" s="77" t="s">
        <v>2434</v>
      </c>
      <c r="F1150" s="77" t="s">
        <v>60</v>
      </c>
      <c r="G1150" s="77" t="s">
        <v>2392</v>
      </c>
      <c r="H1150" s="77">
        <f>STOCK[[#This Row],[Precio Final]]</f>
        <v>35</v>
      </c>
      <c r="I1150" s="77">
        <f>STOCK[[#This Row],[Precio Venta Ideal (x1.5)]]</f>
        <v>29.5416627497062</v>
      </c>
      <c r="J1150" s="92">
        <v>3</v>
      </c>
      <c r="K1150" s="92">
        <f>SUMIFS(VENTAS[Cantidad],VENTAS[Código del producto Vendido],STOCK[[#This Row],[Code]])</f>
        <v>0</v>
      </c>
      <c r="L1150" s="92">
        <f>STOCK[[#This Row],[Entradas]]-STOCK[[#This Row],[Salidas]]</f>
        <v>3</v>
      </c>
      <c r="M1150" s="77">
        <f>STOCK[[#This Row],[Precio Final]]*10%</f>
        <v>3.5</v>
      </c>
      <c r="N1150" s="77">
        <v>242.1</v>
      </c>
      <c r="O1150" s="77">
        <v>17.02</v>
      </c>
      <c r="P1150" s="77">
        <v>14.2244418331375</v>
      </c>
      <c r="Q1150" s="92">
        <v>0</v>
      </c>
      <c r="R1150" s="77">
        <v>0</v>
      </c>
      <c r="S1150" s="77">
        <v>1.97</v>
      </c>
      <c r="T1150" s="76">
        <f>STOCK[[#This Row],[Costo Unitario (USD)]]+STOCK[[#This Row],[Costo Envío (USD)]]+STOCK[[#This Row],[Comisión 10%]]</f>
        <v>19.6944418331375</v>
      </c>
      <c r="U1150" s="77">
        <f>STOCK[[#This Row],[Costo total]]*1.5</f>
        <v>29.5416627497062</v>
      </c>
      <c r="V1150" s="77">
        <v>35</v>
      </c>
      <c r="W1150" s="77">
        <f>STOCK[[#This Row],[Precio Final]]-STOCK[[#This Row],[Costo total]]</f>
        <v>15.3055581668625</v>
      </c>
      <c r="X1150" s="77">
        <f>STOCK[[#This Row],[Ganancia Unitaria]]*STOCK[[#This Row],[Salidas]]</f>
        <v>0</v>
      </c>
      <c r="Y1150" s="77" t="s">
        <v>2437</v>
      </c>
      <c r="AA1150" s="77">
        <f>STOCK[[#This Row],[Costo total]]*STOCK[[#This Row],[Entradas]]</f>
        <v>59.0833254994125</v>
      </c>
      <c r="AB1150" s="77">
        <f>STOCK[[#This Row],[Stock Actual]]*STOCK[[#This Row],[Costo total]]</f>
        <v>59.0833254994125</v>
      </c>
    </row>
    <row r="1151" s="76" customFormat="1" ht="50" hidden="1" customHeight="1" spans="1:28">
      <c r="A1151" s="76" t="s">
        <v>2438</v>
      </c>
      <c r="B1151" s="6"/>
      <c r="C1151" s="76" t="s">
        <v>30</v>
      </c>
      <c r="D1151" s="76" t="s">
        <v>1386</v>
      </c>
      <c r="E1151" s="76" t="s">
        <v>2439</v>
      </c>
      <c r="F1151" s="76" t="s">
        <v>47</v>
      </c>
      <c r="G1151" s="76" t="s">
        <v>2392</v>
      </c>
      <c r="H1151" s="76">
        <f>STOCK[[#This Row],[Precio Final]]</f>
        <v>35</v>
      </c>
      <c r="I1151" s="76">
        <f>STOCK[[#This Row],[Precio Venta Ideal (x1.5)]]</f>
        <v>28.1730317273796</v>
      </c>
      <c r="J1151" s="91">
        <v>2</v>
      </c>
      <c r="K1151" s="91">
        <f>SUMIFS(VENTAS[Cantidad],VENTAS[Código del producto Vendido],STOCK[[#This Row],[Code]])</f>
        <v>1</v>
      </c>
      <c r="L1151" s="91">
        <f>STOCK[[#This Row],[Entradas]]-STOCK[[#This Row],[Salidas]]</f>
        <v>1</v>
      </c>
      <c r="M1151" s="76">
        <f>STOCK[[#This Row],[Precio Final]]*10%</f>
        <v>3.5</v>
      </c>
      <c r="N1151" s="76">
        <v>260.1</v>
      </c>
      <c r="O1151" s="76">
        <v>17.02</v>
      </c>
      <c r="P1151" s="76">
        <v>15.2820211515864</v>
      </c>
      <c r="Q1151" s="91">
        <v>0</v>
      </c>
      <c r="R1151" s="76">
        <v>0</v>
      </c>
      <c r="S1151" s="76">
        <v>0</v>
      </c>
      <c r="T1151" s="76">
        <f>STOCK[[#This Row],[Costo Unitario (USD)]]+STOCK[[#This Row],[Costo Envío (USD)]]+STOCK[[#This Row],[Comisión 10%]]</f>
        <v>18.7820211515864</v>
      </c>
      <c r="U1151" s="76">
        <f>STOCK[[#This Row],[Costo total]]*1.5</f>
        <v>28.1730317273796</v>
      </c>
      <c r="V1151" s="76">
        <v>35</v>
      </c>
      <c r="W1151" s="76">
        <f>STOCK[[#This Row],[Precio Final]]-STOCK[[#This Row],[Costo total]]</f>
        <v>16.2179788484136</v>
      </c>
      <c r="X1151" s="76">
        <f>STOCK[[#This Row],[Ganancia Unitaria]]*STOCK[[#This Row],[Salidas]]</f>
        <v>16.2179788484136</v>
      </c>
      <c r="Y1151" s="76" t="s">
        <v>2440</v>
      </c>
      <c r="AA1151" s="76">
        <f>STOCK[[#This Row],[Costo total]]*STOCK[[#This Row],[Entradas]]</f>
        <v>37.5640423031728</v>
      </c>
      <c r="AB1151" s="76">
        <f>STOCK[[#This Row],[Stock Actual]]*STOCK[[#This Row],[Costo total]]</f>
        <v>18.7820211515864</v>
      </c>
    </row>
    <row r="1152" s="77" customFormat="1" ht="50" hidden="1" customHeight="1" spans="1:28">
      <c r="A1152" s="77" t="s">
        <v>2441</v>
      </c>
      <c r="B1152" s="6"/>
      <c r="C1152" s="77" t="s">
        <v>30</v>
      </c>
      <c r="D1152" s="76" t="s">
        <v>1386</v>
      </c>
      <c r="E1152" s="76" t="s">
        <v>2439</v>
      </c>
      <c r="F1152" s="77" t="s">
        <v>40</v>
      </c>
      <c r="G1152" s="77" t="s">
        <v>2392</v>
      </c>
      <c r="H1152" s="77">
        <f>STOCK[[#This Row],[Precio Final]]</f>
        <v>35</v>
      </c>
      <c r="I1152" s="77">
        <f>STOCK[[#This Row],[Precio Venta Ideal (x1.5)]]</f>
        <v>28.1730317273796</v>
      </c>
      <c r="J1152" s="92">
        <v>2</v>
      </c>
      <c r="K1152" s="92">
        <f>SUMIFS(VENTAS[Cantidad],VENTAS[Código del producto Vendido],STOCK[[#This Row],[Code]])</f>
        <v>0</v>
      </c>
      <c r="L1152" s="92">
        <f>STOCK[[#This Row],[Entradas]]-STOCK[[#This Row],[Salidas]]</f>
        <v>2</v>
      </c>
      <c r="M1152" s="77">
        <f>STOCK[[#This Row],[Precio Final]]*10%</f>
        <v>3.5</v>
      </c>
      <c r="N1152" s="77">
        <v>260.1</v>
      </c>
      <c r="O1152" s="77">
        <v>17.02</v>
      </c>
      <c r="P1152" s="77">
        <v>15.2820211515864</v>
      </c>
      <c r="Q1152" s="92">
        <v>0</v>
      </c>
      <c r="R1152" s="77">
        <v>0</v>
      </c>
      <c r="S1152" s="77">
        <v>0</v>
      </c>
      <c r="T1152" s="76">
        <f>STOCK[[#This Row],[Costo Unitario (USD)]]+STOCK[[#This Row],[Costo Envío (USD)]]+STOCK[[#This Row],[Comisión 10%]]</f>
        <v>18.7820211515864</v>
      </c>
      <c r="U1152" s="77">
        <f>STOCK[[#This Row],[Costo total]]*1.5</f>
        <v>28.1730317273796</v>
      </c>
      <c r="V1152" s="77">
        <v>35</v>
      </c>
      <c r="W1152" s="77">
        <f>STOCK[[#This Row],[Precio Final]]-STOCK[[#This Row],[Costo total]]</f>
        <v>16.2179788484136</v>
      </c>
      <c r="X1152" s="77">
        <f>STOCK[[#This Row],[Ganancia Unitaria]]*STOCK[[#This Row],[Salidas]]</f>
        <v>0</v>
      </c>
      <c r="Y1152" s="77" t="s">
        <v>2442</v>
      </c>
      <c r="AA1152" s="77">
        <f>STOCK[[#This Row],[Costo total]]*STOCK[[#This Row],[Entradas]]</f>
        <v>37.5640423031728</v>
      </c>
      <c r="AB1152" s="77">
        <f>STOCK[[#This Row],[Stock Actual]]*STOCK[[#This Row],[Costo total]]</f>
        <v>37.5640423031728</v>
      </c>
    </row>
    <row r="1153" s="76" customFormat="1" ht="50" hidden="1" customHeight="1" spans="1:28">
      <c r="A1153" s="76" t="s">
        <v>2443</v>
      </c>
      <c r="B1153" s="6"/>
      <c r="C1153" s="76" t="s">
        <v>30</v>
      </c>
      <c r="D1153" s="76" t="s">
        <v>1386</v>
      </c>
      <c r="E1153" s="76" t="s">
        <v>2439</v>
      </c>
      <c r="F1153" s="76" t="s">
        <v>44</v>
      </c>
      <c r="G1153" s="76" t="s">
        <v>2392</v>
      </c>
      <c r="H1153" s="76">
        <f>STOCK[[#This Row],[Precio Final]]</f>
        <v>35</v>
      </c>
      <c r="I1153" s="76">
        <f>STOCK[[#This Row],[Precio Venta Ideal (x1.5)]]</f>
        <v>28.1730317273796</v>
      </c>
      <c r="J1153" s="91">
        <v>2</v>
      </c>
      <c r="K1153" s="91">
        <f>SUMIFS(VENTAS[Cantidad],VENTAS[Código del producto Vendido],STOCK[[#This Row],[Code]])</f>
        <v>0</v>
      </c>
      <c r="L1153" s="91">
        <f>STOCK[[#This Row],[Entradas]]-STOCK[[#This Row],[Salidas]]</f>
        <v>2</v>
      </c>
      <c r="M1153" s="76">
        <f>STOCK[[#This Row],[Precio Final]]*10%</f>
        <v>3.5</v>
      </c>
      <c r="N1153" s="76">
        <v>260.1</v>
      </c>
      <c r="O1153" s="76">
        <v>17.02</v>
      </c>
      <c r="P1153" s="76">
        <v>15.2820211515864</v>
      </c>
      <c r="Q1153" s="91">
        <v>0</v>
      </c>
      <c r="R1153" s="76">
        <v>0</v>
      </c>
      <c r="S1153" s="76">
        <v>0</v>
      </c>
      <c r="T1153" s="76">
        <f>STOCK[[#This Row],[Costo Unitario (USD)]]+STOCK[[#This Row],[Costo Envío (USD)]]+STOCK[[#This Row],[Comisión 10%]]</f>
        <v>18.7820211515864</v>
      </c>
      <c r="U1153" s="76">
        <f>STOCK[[#This Row],[Costo total]]*1.5</f>
        <v>28.1730317273796</v>
      </c>
      <c r="V1153" s="76">
        <v>35</v>
      </c>
      <c r="W1153" s="76">
        <f>STOCK[[#This Row],[Precio Final]]-STOCK[[#This Row],[Costo total]]</f>
        <v>16.2179788484136</v>
      </c>
      <c r="X1153" s="76">
        <f>STOCK[[#This Row],[Ganancia Unitaria]]*STOCK[[#This Row],[Salidas]]</f>
        <v>0</v>
      </c>
      <c r="Y1153" s="76" t="s">
        <v>2444</v>
      </c>
      <c r="AA1153" s="76">
        <f>STOCK[[#This Row],[Costo total]]*STOCK[[#This Row],[Entradas]]</f>
        <v>37.5640423031728</v>
      </c>
      <c r="AB1153" s="76">
        <f>STOCK[[#This Row],[Stock Actual]]*STOCK[[#This Row],[Costo total]]</f>
        <v>37.5640423031728</v>
      </c>
    </row>
    <row r="1154" s="77" customFormat="1" ht="50" hidden="1" customHeight="1" spans="1:29">
      <c r="A1154" s="76" t="s">
        <v>2445</v>
      </c>
      <c r="B1154" s="6"/>
      <c r="C1154" s="76" t="s">
        <v>30</v>
      </c>
      <c r="D1154" s="76" t="s">
        <v>1480</v>
      </c>
      <c r="E1154" s="77" t="s">
        <v>2446</v>
      </c>
      <c r="F1154" s="76" t="s">
        <v>2447</v>
      </c>
      <c r="G1154" s="76" t="s">
        <v>2448</v>
      </c>
      <c r="H1154" s="76">
        <f>STOCK[[#This Row],[Precio Final]]</f>
        <v>35</v>
      </c>
      <c r="I1154" s="76">
        <f>STOCK[[#This Row],[Precio Venta Ideal (x1.5)]]</f>
        <v>34.455</v>
      </c>
      <c r="J1154" s="91">
        <v>3</v>
      </c>
      <c r="K1154" s="91">
        <f>SUMIFS(VENTAS[Cantidad],VENTAS[Código del producto Vendido],STOCK[[#This Row],[Code]])</f>
        <v>2</v>
      </c>
      <c r="L1154" s="91">
        <f>STOCK[[#This Row],[Entradas]]-STOCK[[#This Row],[Salidas]]</f>
        <v>1</v>
      </c>
      <c r="M1154" s="76">
        <f>STOCK[[#This Row],[Precio Final]]*10%</f>
        <v>3.5</v>
      </c>
      <c r="N1154" s="76">
        <v>0</v>
      </c>
      <c r="O1154" s="76">
        <v>0</v>
      </c>
      <c r="P1154" s="76">
        <v>17.5</v>
      </c>
      <c r="Q1154" s="91">
        <v>730</v>
      </c>
      <c r="R1154" s="76">
        <v>7.81</v>
      </c>
      <c r="S1154" s="76">
        <v>1.97</v>
      </c>
      <c r="T1154" s="76">
        <f>STOCK[[#This Row],[Costo Unitario (USD)]]+STOCK[[#This Row],[Costo Envío (USD)]]+STOCK[[#This Row],[Comisión 10%]]</f>
        <v>22.97</v>
      </c>
      <c r="U1154" s="76">
        <f>STOCK[[#This Row],[Costo total]]*1.5</f>
        <v>34.455</v>
      </c>
      <c r="V1154" s="76">
        <v>35</v>
      </c>
      <c r="W1154" s="76">
        <f>STOCK[[#This Row],[Precio Final]]-STOCK[[#This Row],[Costo total]]</f>
        <v>12.03</v>
      </c>
      <c r="X1154" s="76">
        <f>STOCK[[#This Row],[Ganancia Unitaria]]*STOCK[[#This Row],[Salidas]]</f>
        <v>24.06</v>
      </c>
      <c r="Y1154" s="76" t="s">
        <v>2449</v>
      </c>
      <c r="Z1154" s="76"/>
      <c r="AA1154" s="76">
        <f>STOCK[[#This Row],[Costo total]]*STOCK[[#This Row],[Entradas]]</f>
        <v>68.91</v>
      </c>
      <c r="AB1154" s="76">
        <f>STOCK[[#This Row],[Stock Actual]]*STOCK[[#This Row],[Costo total]]</f>
        <v>22.97</v>
      </c>
      <c r="AC1154" s="76"/>
    </row>
    <row r="1155" s="76" customFormat="1" ht="50" hidden="1" customHeight="1" spans="1:28">
      <c r="A1155" s="76" t="s">
        <v>2450</v>
      </c>
      <c r="B1155" s="6"/>
      <c r="C1155" s="76" t="s">
        <v>30</v>
      </c>
      <c r="D1155" s="76" t="s">
        <v>1480</v>
      </c>
      <c r="E1155" s="77" t="s">
        <v>2446</v>
      </c>
      <c r="F1155" s="76" t="s">
        <v>2451</v>
      </c>
      <c r="G1155" s="76" t="s">
        <v>2448</v>
      </c>
      <c r="H1155" s="76">
        <f>STOCK[[#This Row],[Precio Final]]</f>
        <v>36</v>
      </c>
      <c r="I1155" s="76">
        <f>STOCK[[#This Row],[Precio Venta Ideal (x1.5)]]</f>
        <v>34.605</v>
      </c>
      <c r="J1155" s="91">
        <v>3</v>
      </c>
      <c r="K1155" s="91">
        <f>SUMIFS(VENTAS[Cantidad],VENTAS[Código del producto Vendido],STOCK[[#This Row],[Code]])</f>
        <v>3</v>
      </c>
      <c r="L1155" s="91">
        <f>STOCK[[#This Row],[Entradas]]-STOCK[[#This Row],[Salidas]]</f>
        <v>0</v>
      </c>
      <c r="M1155" s="76">
        <f>STOCK[[#This Row],[Precio Final]]*10%</f>
        <v>3.6</v>
      </c>
      <c r="N1155" s="76">
        <v>0</v>
      </c>
      <c r="O1155" s="76">
        <v>0</v>
      </c>
      <c r="P1155" s="76">
        <v>17.5</v>
      </c>
      <c r="Q1155" s="91">
        <v>730</v>
      </c>
      <c r="R1155" s="76">
        <v>7.81</v>
      </c>
      <c r="S1155" s="76">
        <v>1.97</v>
      </c>
      <c r="T1155" s="76">
        <f>STOCK[[#This Row],[Costo Unitario (USD)]]+STOCK[[#This Row],[Costo Envío (USD)]]+STOCK[[#This Row],[Comisión 10%]]</f>
        <v>23.07</v>
      </c>
      <c r="U1155" s="76">
        <f>STOCK[[#This Row],[Costo total]]*1.5</f>
        <v>34.605</v>
      </c>
      <c r="V1155" s="76">
        <v>36</v>
      </c>
      <c r="W1155" s="76">
        <f>STOCK[[#This Row],[Precio Final]]-STOCK[[#This Row],[Costo total]]</f>
        <v>12.93</v>
      </c>
      <c r="X1155" s="76">
        <f>STOCK[[#This Row],[Ganancia Unitaria]]*STOCK[[#This Row],[Salidas]]</f>
        <v>38.79</v>
      </c>
      <c r="Y1155" s="76" t="s">
        <v>2449</v>
      </c>
      <c r="AA1155" s="76">
        <f>STOCK[[#This Row],[Costo total]]*STOCK[[#This Row],[Entradas]]</f>
        <v>69.21</v>
      </c>
      <c r="AB1155" s="76">
        <f>STOCK[[#This Row],[Stock Actual]]*STOCK[[#This Row],[Costo total]]</f>
        <v>0</v>
      </c>
    </row>
    <row r="1156" s="76" customFormat="1" ht="50" hidden="1" customHeight="1" spans="1:29">
      <c r="A1156" s="77" t="s">
        <v>2452</v>
      </c>
      <c r="B1156" s="6"/>
      <c r="C1156" s="77" t="s">
        <v>30</v>
      </c>
      <c r="D1156" s="76" t="s">
        <v>1480</v>
      </c>
      <c r="E1156" s="77" t="s">
        <v>2453</v>
      </c>
      <c r="F1156" s="77" t="s">
        <v>539</v>
      </c>
      <c r="G1156" s="77" t="s">
        <v>2448</v>
      </c>
      <c r="H1156" s="77">
        <f>STOCK[[#This Row],[Precio Final]]</f>
        <v>35</v>
      </c>
      <c r="I1156" s="77">
        <f>STOCK[[#This Row],[Precio Venta Ideal (x1.5)]]</f>
        <v>38.205</v>
      </c>
      <c r="J1156" s="92">
        <v>3</v>
      </c>
      <c r="K1156" s="92">
        <f>SUMIFS(VENTAS[Cantidad],VENTAS[Código del producto Vendido],STOCK[[#This Row],[Code]])</f>
        <v>3</v>
      </c>
      <c r="L1156" s="92">
        <f>STOCK[[#This Row],[Entradas]]-STOCK[[#This Row],[Salidas]]</f>
        <v>0</v>
      </c>
      <c r="M1156" s="77">
        <f>STOCK[[#This Row],[Precio Final]]*10%</f>
        <v>3.5</v>
      </c>
      <c r="N1156" s="77">
        <v>0</v>
      </c>
      <c r="O1156" s="77">
        <v>0</v>
      </c>
      <c r="P1156" s="77">
        <v>20</v>
      </c>
      <c r="Q1156" s="92">
        <v>540</v>
      </c>
      <c r="R1156" s="77">
        <v>7.81</v>
      </c>
      <c r="S1156" s="76">
        <v>1.97</v>
      </c>
      <c r="T1156" s="76">
        <f>STOCK[[#This Row],[Costo Unitario (USD)]]+STOCK[[#This Row],[Costo Envío (USD)]]+STOCK[[#This Row],[Comisión 10%]]</f>
        <v>25.47</v>
      </c>
      <c r="U1156" s="77">
        <f>STOCK[[#This Row],[Costo total]]*1.5</f>
        <v>38.205</v>
      </c>
      <c r="V1156" s="77">
        <v>35</v>
      </c>
      <c r="W1156" s="77">
        <f>STOCK[[#This Row],[Precio Final]]-STOCK[[#This Row],[Costo total]]</f>
        <v>9.53</v>
      </c>
      <c r="X1156" s="77">
        <f>STOCK[[#This Row],[Ganancia Unitaria]]*STOCK[[#This Row],[Salidas]]</f>
        <v>28.59</v>
      </c>
      <c r="Y1156" s="77" t="s">
        <v>2449</v>
      </c>
      <c r="Z1156" s="77"/>
      <c r="AA1156" s="77">
        <f>STOCK[[#This Row],[Costo total]]*STOCK[[#This Row],[Entradas]]</f>
        <v>76.41</v>
      </c>
      <c r="AB1156" s="77">
        <f>STOCK[[#This Row],[Stock Actual]]*STOCK[[#This Row],[Costo total]]</f>
        <v>0</v>
      </c>
      <c r="AC1156" s="77"/>
    </row>
    <row r="1157" s="77" customFormat="1" ht="50" hidden="1" customHeight="1" spans="1:29">
      <c r="A1157" s="76" t="s">
        <v>2454</v>
      </c>
      <c r="B1157" s="6"/>
      <c r="C1157" s="76" t="s">
        <v>30</v>
      </c>
      <c r="D1157" s="76" t="s">
        <v>1480</v>
      </c>
      <c r="E1157" s="76" t="s">
        <v>2453</v>
      </c>
      <c r="F1157" s="76" t="s">
        <v>764</v>
      </c>
      <c r="G1157" s="76" t="s">
        <v>2448</v>
      </c>
      <c r="H1157" s="76">
        <f>STOCK[[#This Row],[Precio Final]]</f>
        <v>35</v>
      </c>
      <c r="I1157" s="76">
        <f>STOCK[[#This Row],[Precio Venta Ideal (x1.5)]]</f>
        <v>38.205</v>
      </c>
      <c r="J1157" s="91">
        <v>2</v>
      </c>
      <c r="K1157" s="91">
        <f>SUMIFS(VENTAS[Cantidad],VENTAS[Código del producto Vendido],STOCK[[#This Row],[Code]])</f>
        <v>2</v>
      </c>
      <c r="L1157" s="91">
        <f>STOCK[[#This Row],[Entradas]]-STOCK[[#This Row],[Salidas]]</f>
        <v>0</v>
      </c>
      <c r="M1157" s="76">
        <f>STOCK[[#This Row],[Precio Final]]*10%</f>
        <v>3.5</v>
      </c>
      <c r="N1157" s="76">
        <v>0</v>
      </c>
      <c r="O1157" s="76">
        <v>0</v>
      </c>
      <c r="P1157" s="76">
        <v>20</v>
      </c>
      <c r="Q1157" s="91">
        <v>540</v>
      </c>
      <c r="R1157" s="76">
        <v>7.81</v>
      </c>
      <c r="S1157" s="76">
        <v>1.97</v>
      </c>
      <c r="T1157" s="76">
        <f>STOCK[[#This Row],[Costo Unitario (USD)]]+STOCK[[#This Row],[Costo Envío (USD)]]+STOCK[[#This Row],[Comisión 10%]]</f>
        <v>25.47</v>
      </c>
      <c r="U1157" s="76">
        <f>STOCK[[#This Row],[Costo total]]*1.5</f>
        <v>38.205</v>
      </c>
      <c r="V1157" s="76">
        <v>35</v>
      </c>
      <c r="W1157" s="76">
        <f>STOCK[[#This Row],[Precio Final]]-STOCK[[#This Row],[Costo total]]</f>
        <v>9.53</v>
      </c>
      <c r="X1157" s="76">
        <f>STOCK[[#This Row],[Ganancia Unitaria]]*STOCK[[#This Row],[Salidas]]</f>
        <v>19.06</v>
      </c>
      <c r="Y1157" s="76" t="s">
        <v>2449</v>
      </c>
      <c r="Z1157" s="76"/>
      <c r="AA1157" s="76">
        <f>STOCK[[#This Row],[Costo total]]*STOCK[[#This Row],[Entradas]]</f>
        <v>50.94</v>
      </c>
      <c r="AB1157" s="76">
        <f>STOCK[[#This Row],[Stock Actual]]*STOCK[[#This Row],[Costo total]]</f>
        <v>0</v>
      </c>
      <c r="AC1157" s="76"/>
    </row>
    <row r="1158" s="76" customFormat="1" ht="50" hidden="1" customHeight="1" spans="1:29">
      <c r="A1158" s="77" t="s">
        <v>2455</v>
      </c>
      <c r="B1158" s="6"/>
      <c r="C1158" s="77" t="s">
        <v>30</v>
      </c>
      <c r="D1158" s="76" t="s">
        <v>1480</v>
      </c>
      <c r="E1158" s="77" t="s">
        <v>2453</v>
      </c>
      <c r="F1158" s="77" t="s">
        <v>516</v>
      </c>
      <c r="G1158" s="77" t="s">
        <v>2448</v>
      </c>
      <c r="H1158" s="77">
        <f>STOCK[[#This Row],[Precio Final]]</f>
        <v>35</v>
      </c>
      <c r="I1158" s="77">
        <f>STOCK[[#This Row],[Precio Venta Ideal (x1.5)]]</f>
        <v>38.205</v>
      </c>
      <c r="J1158" s="92">
        <v>2</v>
      </c>
      <c r="K1158" s="92">
        <f>SUMIFS(VENTAS[Cantidad],VENTAS[Código del producto Vendido],STOCK[[#This Row],[Code]])</f>
        <v>2</v>
      </c>
      <c r="L1158" s="92">
        <f>STOCK[[#This Row],[Entradas]]-STOCK[[#This Row],[Salidas]]</f>
        <v>0</v>
      </c>
      <c r="M1158" s="77">
        <f>STOCK[[#This Row],[Precio Final]]*10%</f>
        <v>3.5</v>
      </c>
      <c r="N1158" s="77">
        <v>0</v>
      </c>
      <c r="O1158" s="77">
        <v>0</v>
      </c>
      <c r="P1158" s="77">
        <v>20</v>
      </c>
      <c r="Q1158" s="92">
        <v>540</v>
      </c>
      <c r="R1158" s="77">
        <v>7.81</v>
      </c>
      <c r="S1158" s="76">
        <v>1.97</v>
      </c>
      <c r="T1158" s="76">
        <f>STOCK[[#This Row],[Costo Unitario (USD)]]+STOCK[[#This Row],[Costo Envío (USD)]]+STOCK[[#This Row],[Comisión 10%]]</f>
        <v>25.47</v>
      </c>
      <c r="U1158" s="77">
        <f>STOCK[[#This Row],[Costo total]]*1.5</f>
        <v>38.205</v>
      </c>
      <c r="V1158" s="77">
        <v>35</v>
      </c>
      <c r="W1158" s="77">
        <f>STOCK[[#This Row],[Precio Final]]-STOCK[[#This Row],[Costo total]]</f>
        <v>9.53</v>
      </c>
      <c r="X1158" s="77">
        <f>STOCK[[#This Row],[Ganancia Unitaria]]*STOCK[[#This Row],[Salidas]]</f>
        <v>19.06</v>
      </c>
      <c r="Y1158" s="77" t="s">
        <v>2449</v>
      </c>
      <c r="Z1158" s="77"/>
      <c r="AA1158" s="77">
        <f>STOCK[[#This Row],[Costo total]]*STOCK[[#This Row],[Entradas]]</f>
        <v>50.94</v>
      </c>
      <c r="AB1158" s="77">
        <f>STOCK[[#This Row],[Stock Actual]]*STOCK[[#This Row],[Costo total]]</f>
        <v>0</v>
      </c>
      <c r="AC1158" s="77"/>
    </row>
    <row r="1159" s="77" customFormat="1" ht="50" hidden="1" customHeight="1" spans="1:29">
      <c r="A1159" s="76" t="s">
        <v>2456</v>
      </c>
      <c r="B1159" s="6"/>
      <c r="C1159" s="76" t="s">
        <v>30</v>
      </c>
      <c r="D1159" s="76" t="s">
        <v>1480</v>
      </c>
      <c r="E1159" s="76" t="s">
        <v>2453</v>
      </c>
      <c r="F1159" s="76" t="s">
        <v>762</v>
      </c>
      <c r="G1159" s="76" t="s">
        <v>2448</v>
      </c>
      <c r="H1159" s="76">
        <f>STOCK[[#This Row],[Precio Final]]</f>
        <v>35</v>
      </c>
      <c r="I1159" s="76">
        <f>STOCK[[#This Row],[Precio Venta Ideal (x1.5)]]</f>
        <v>38.205</v>
      </c>
      <c r="J1159" s="91">
        <v>2</v>
      </c>
      <c r="K1159" s="91">
        <f>SUMIFS(VENTAS[Cantidad],VENTAS[Código del producto Vendido],STOCK[[#This Row],[Code]])</f>
        <v>2</v>
      </c>
      <c r="L1159" s="91">
        <f>STOCK[[#This Row],[Entradas]]-STOCK[[#This Row],[Salidas]]</f>
        <v>0</v>
      </c>
      <c r="M1159" s="76">
        <f>STOCK[[#This Row],[Precio Final]]*10%</f>
        <v>3.5</v>
      </c>
      <c r="N1159" s="76">
        <v>0</v>
      </c>
      <c r="O1159" s="76">
        <v>0</v>
      </c>
      <c r="P1159" s="76">
        <v>20</v>
      </c>
      <c r="Q1159" s="91">
        <v>540</v>
      </c>
      <c r="R1159" s="76">
        <v>7.81</v>
      </c>
      <c r="S1159" s="76">
        <v>1.97</v>
      </c>
      <c r="T1159" s="76">
        <f>STOCK[[#This Row],[Costo Unitario (USD)]]+STOCK[[#This Row],[Costo Envío (USD)]]+STOCK[[#This Row],[Comisión 10%]]</f>
        <v>25.47</v>
      </c>
      <c r="U1159" s="76">
        <f>STOCK[[#This Row],[Costo total]]*1.5</f>
        <v>38.205</v>
      </c>
      <c r="V1159" s="76">
        <v>35</v>
      </c>
      <c r="W1159" s="76">
        <f>STOCK[[#This Row],[Precio Final]]-STOCK[[#This Row],[Costo total]]</f>
        <v>9.53</v>
      </c>
      <c r="X1159" s="76">
        <f>STOCK[[#This Row],[Ganancia Unitaria]]*STOCK[[#This Row],[Salidas]]</f>
        <v>19.06</v>
      </c>
      <c r="Y1159" s="76" t="s">
        <v>2449</v>
      </c>
      <c r="Z1159" s="76"/>
      <c r="AA1159" s="76">
        <f>STOCK[[#This Row],[Costo total]]*STOCK[[#This Row],[Entradas]]</f>
        <v>50.94</v>
      </c>
      <c r="AB1159" s="76">
        <f>STOCK[[#This Row],[Stock Actual]]*STOCK[[#This Row],[Costo total]]</f>
        <v>0</v>
      </c>
      <c r="AC1159" s="76"/>
    </row>
    <row r="1160" s="76" customFormat="1" ht="50" hidden="1" customHeight="1" spans="1:28">
      <c r="A1160" s="76" t="s">
        <v>2457</v>
      </c>
      <c r="B1160" s="6"/>
      <c r="C1160" s="76" t="s">
        <v>30</v>
      </c>
      <c r="D1160" s="76" t="s">
        <v>1480</v>
      </c>
      <c r="E1160" s="76" t="s">
        <v>2458</v>
      </c>
      <c r="F1160" s="76" t="s">
        <v>762</v>
      </c>
      <c r="G1160" s="76" t="s">
        <v>2448</v>
      </c>
      <c r="H1160" s="76">
        <f>STOCK[[#This Row],[Precio Final]]</f>
        <v>45</v>
      </c>
      <c r="I1160" s="76">
        <f>STOCK[[#This Row],[Precio Venta Ideal (x1.5)]]</f>
        <v>43.455</v>
      </c>
      <c r="J1160" s="91">
        <v>2</v>
      </c>
      <c r="K1160" s="91">
        <f>SUMIFS(VENTAS[Cantidad],VENTAS[Código del producto Vendido],STOCK[[#This Row],[Code]])</f>
        <v>0</v>
      </c>
      <c r="L1160" s="91">
        <f>STOCK[[#This Row],[Entradas]]-STOCK[[#This Row],[Salidas]]</f>
        <v>2</v>
      </c>
      <c r="M1160" s="76">
        <f>STOCK[[#This Row],[Precio Final]]*10%</f>
        <v>4.5</v>
      </c>
      <c r="N1160" s="76">
        <v>0</v>
      </c>
      <c r="O1160" s="76">
        <v>0</v>
      </c>
      <c r="P1160" s="76">
        <v>22.5</v>
      </c>
      <c r="Q1160" s="91">
        <v>0</v>
      </c>
      <c r="R1160" s="76">
        <v>7.81</v>
      </c>
      <c r="S1160" s="76">
        <v>1.97</v>
      </c>
      <c r="T1160" s="76">
        <f>STOCK[[#This Row],[Costo Unitario (USD)]]+STOCK[[#This Row],[Costo Envío (USD)]]+STOCK[[#This Row],[Comisión 10%]]</f>
        <v>28.97</v>
      </c>
      <c r="U1160" s="76">
        <f>STOCK[[#This Row],[Costo total]]*1.5</f>
        <v>43.455</v>
      </c>
      <c r="V1160" s="76">
        <v>45</v>
      </c>
      <c r="W1160" s="76">
        <f>STOCK[[#This Row],[Precio Final]]-STOCK[[#This Row],[Costo total]]</f>
        <v>16.03</v>
      </c>
      <c r="X1160" s="76">
        <f>STOCK[[#This Row],[Ganancia Unitaria]]*STOCK[[#This Row],[Salidas]]</f>
        <v>0</v>
      </c>
      <c r="Y1160" s="76" t="s">
        <v>2449</v>
      </c>
      <c r="AA1160" s="76">
        <f>STOCK[[#This Row],[Costo total]]*STOCK[[#This Row],[Entradas]]</f>
        <v>57.94</v>
      </c>
      <c r="AB1160" s="76">
        <f>STOCK[[#This Row],[Stock Actual]]*STOCK[[#This Row],[Costo total]]</f>
        <v>57.94</v>
      </c>
    </row>
    <row r="1161" s="77" customFormat="1" ht="50" hidden="1" customHeight="1" spans="1:28">
      <c r="A1161" s="77" t="s">
        <v>2459</v>
      </c>
      <c r="B1161" s="6"/>
      <c r="C1161" s="77" t="s">
        <v>30</v>
      </c>
      <c r="D1161" s="76" t="s">
        <v>1480</v>
      </c>
      <c r="E1161" s="77" t="s">
        <v>2458</v>
      </c>
      <c r="F1161" s="77" t="s">
        <v>757</v>
      </c>
      <c r="G1161" s="77" t="s">
        <v>2448</v>
      </c>
      <c r="H1161" s="77">
        <f>STOCK[[#This Row],[Precio Final]]</f>
        <v>45</v>
      </c>
      <c r="I1161" s="77">
        <f>STOCK[[#This Row],[Precio Venta Ideal (x1.5)]]</f>
        <v>43.455</v>
      </c>
      <c r="J1161" s="92">
        <v>2</v>
      </c>
      <c r="K1161" s="92">
        <f>SUMIFS(VENTAS[Cantidad],VENTAS[Código del producto Vendido],STOCK[[#This Row],[Code]])</f>
        <v>0</v>
      </c>
      <c r="L1161" s="92">
        <f>STOCK[[#This Row],[Entradas]]-STOCK[[#This Row],[Salidas]]</f>
        <v>2</v>
      </c>
      <c r="M1161" s="77">
        <f>STOCK[[#This Row],[Precio Final]]*10%</f>
        <v>4.5</v>
      </c>
      <c r="N1161" s="77">
        <v>0</v>
      </c>
      <c r="O1161" s="77">
        <v>0</v>
      </c>
      <c r="P1161" s="77">
        <v>22.5</v>
      </c>
      <c r="Q1161" s="92">
        <v>0</v>
      </c>
      <c r="R1161" s="77">
        <v>7.81</v>
      </c>
      <c r="S1161" s="76">
        <v>1.97</v>
      </c>
      <c r="T1161" s="76">
        <f>STOCK[[#This Row],[Costo Unitario (USD)]]+STOCK[[#This Row],[Costo Envío (USD)]]+STOCK[[#This Row],[Comisión 10%]]</f>
        <v>28.97</v>
      </c>
      <c r="U1161" s="77">
        <f>STOCK[[#This Row],[Costo total]]*1.5</f>
        <v>43.455</v>
      </c>
      <c r="V1161" s="77">
        <v>45</v>
      </c>
      <c r="W1161" s="77">
        <f>STOCK[[#This Row],[Precio Final]]-STOCK[[#This Row],[Costo total]]</f>
        <v>16.03</v>
      </c>
      <c r="X1161" s="77">
        <f>STOCK[[#This Row],[Ganancia Unitaria]]*STOCK[[#This Row],[Salidas]]</f>
        <v>0</v>
      </c>
      <c r="Y1161" s="77" t="s">
        <v>2449</v>
      </c>
      <c r="AA1161" s="77">
        <f>STOCK[[#This Row],[Costo total]]*STOCK[[#This Row],[Entradas]]</f>
        <v>57.94</v>
      </c>
      <c r="AB1161" s="77">
        <f>STOCK[[#This Row],[Stock Actual]]*STOCK[[#This Row],[Costo total]]</f>
        <v>57.94</v>
      </c>
    </row>
    <row r="1162" s="76" customFormat="1" ht="50" hidden="1" customHeight="1" spans="1:28">
      <c r="A1162" s="76" t="s">
        <v>2460</v>
      </c>
      <c r="B1162" s="6"/>
      <c r="C1162" s="76" t="s">
        <v>30</v>
      </c>
      <c r="D1162" s="76" t="s">
        <v>1480</v>
      </c>
      <c r="E1162" s="76" t="s">
        <v>2461</v>
      </c>
      <c r="F1162" s="76" t="s">
        <v>762</v>
      </c>
      <c r="G1162" s="76" t="s">
        <v>2448</v>
      </c>
      <c r="H1162" s="76">
        <f>STOCK[[#This Row],[Precio Final]]</f>
        <v>35</v>
      </c>
      <c r="I1162" s="76">
        <f>STOCK[[#This Row],[Precio Venta Ideal (x1.5)]]</f>
        <v>38.205</v>
      </c>
      <c r="J1162" s="91">
        <v>2</v>
      </c>
      <c r="K1162" s="91">
        <f>SUMIFS(VENTAS[Cantidad],VENTAS[Código del producto Vendido],STOCK[[#This Row],[Code]])</f>
        <v>2</v>
      </c>
      <c r="L1162" s="91">
        <f>STOCK[[#This Row],[Entradas]]-STOCK[[#This Row],[Salidas]]</f>
        <v>0</v>
      </c>
      <c r="M1162" s="76">
        <f>STOCK[[#This Row],[Precio Final]]*10%</f>
        <v>3.5</v>
      </c>
      <c r="N1162" s="76">
        <v>0</v>
      </c>
      <c r="O1162" s="76">
        <v>0</v>
      </c>
      <c r="P1162" s="76">
        <v>20</v>
      </c>
      <c r="Q1162" s="91">
        <v>0</v>
      </c>
      <c r="R1162" s="76">
        <v>7.81</v>
      </c>
      <c r="S1162" s="76">
        <v>1.97</v>
      </c>
      <c r="T1162" s="76">
        <f>STOCK[[#This Row],[Costo Unitario (USD)]]+STOCK[[#This Row],[Costo Envío (USD)]]+STOCK[[#This Row],[Comisión 10%]]</f>
        <v>25.47</v>
      </c>
      <c r="U1162" s="76">
        <f>STOCK[[#This Row],[Costo total]]*1.5</f>
        <v>38.205</v>
      </c>
      <c r="V1162" s="76">
        <v>35</v>
      </c>
      <c r="W1162" s="76">
        <f>STOCK[[#This Row],[Precio Final]]-STOCK[[#This Row],[Costo total]]</f>
        <v>9.53</v>
      </c>
      <c r="X1162" s="76">
        <f>STOCK[[#This Row],[Ganancia Unitaria]]*STOCK[[#This Row],[Salidas]]</f>
        <v>19.06</v>
      </c>
      <c r="Y1162" s="76" t="s">
        <v>2449</v>
      </c>
      <c r="AA1162" s="76">
        <f>STOCK[[#This Row],[Costo total]]*STOCK[[#This Row],[Entradas]]</f>
        <v>50.94</v>
      </c>
      <c r="AB1162" s="76">
        <f>STOCK[[#This Row],[Stock Actual]]*STOCK[[#This Row],[Costo total]]</f>
        <v>0</v>
      </c>
    </row>
    <row r="1163" s="77" customFormat="1" ht="50" hidden="1" customHeight="1" spans="1:28">
      <c r="A1163" s="77" t="s">
        <v>2462</v>
      </c>
      <c r="B1163" s="6"/>
      <c r="C1163" s="77" t="s">
        <v>30</v>
      </c>
      <c r="D1163" s="76" t="s">
        <v>1480</v>
      </c>
      <c r="E1163" s="77" t="s">
        <v>2461</v>
      </c>
      <c r="F1163" s="77" t="s">
        <v>516</v>
      </c>
      <c r="G1163" s="77" t="s">
        <v>2448</v>
      </c>
      <c r="H1163" s="77">
        <f>STOCK[[#This Row],[Precio Final]]</f>
        <v>35</v>
      </c>
      <c r="I1163" s="77">
        <f>STOCK[[#This Row],[Precio Venta Ideal (x1.5)]]</f>
        <v>38.205</v>
      </c>
      <c r="J1163" s="92">
        <v>2</v>
      </c>
      <c r="K1163" s="92">
        <f>SUMIFS(VENTAS[Cantidad],VENTAS[Código del producto Vendido],STOCK[[#This Row],[Code]])</f>
        <v>2</v>
      </c>
      <c r="L1163" s="92">
        <f>STOCK[[#This Row],[Entradas]]-STOCK[[#This Row],[Salidas]]</f>
        <v>0</v>
      </c>
      <c r="M1163" s="77">
        <f>STOCK[[#This Row],[Precio Final]]*10%</f>
        <v>3.5</v>
      </c>
      <c r="N1163" s="77">
        <v>0</v>
      </c>
      <c r="O1163" s="77">
        <v>0</v>
      </c>
      <c r="P1163" s="77">
        <v>20</v>
      </c>
      <c r="Q1163" s="92">
        <v>0</v>
      </c>
      <c r="R1163" s="77">
        <v>7.81</v>
      </c>
      <c r="S1163" s="77">
        <v>1.97</v>
      </c>
      <c r="T1163" s="76">
        <f>STOCK[[#This Row],[Costo Unitario (USD)]]+STOCK[[#This Row],[Costo Envío (USD)]]+STOCK[[#This Row],[Comisión 10%]]</f>
        <v>25.47</v>
      </c>
      <c r="U1163" s="77">
        <f>STOCK[[#This Row],[Costo total]]*1.5</f>
        <v>38.205</v>
      </c>
      <c r="V1163" s="77">
        <v>35</v>
      </c>
      <c r="W1163" s="77">
        <f>STOCK[[#This Row],[Precio Final]]-STOCK[[#This Row],[Costo total]]</f>
        <v>9.53</v>
      </c>
      <c r="X1163" s="77">
        <f>STOCK[[#This Row],[Ganancia Unitaria]]*STOCK[[#This Row],[Salidas]]</f>
        <v>19.06</v>
      </c>
      <c r="Y1163" s="77" t="s">
        <v>2449</v>
      </c>
      <c r="AA1163" s="77">
        <f>STOCK[[#This Row],[Costo total]]*STOCK[[#This Row],[Entradas]]</f>
        <v>50.94</v>
      </c>
      <c r="AB1163" s="77">
        <f>STOCK[[#This Row],[Stock Actual]]*STOCK[[#This Row],[Costo total]]</f>
        <v>0</v>
      </c>
    </row>
    <row r="1164" s="76" customFormat="1" ht="50" hidden="1" customHeight="1" spans="1:28">
      <c r="A1164" s="76" t="s">
        <v>2463</v>
      </c>
      <c r="B1164" s="6"/>
      <c r="C1164" s="76" t="s">
        <v>30</v>
      </c>
      <c r="D1164" s="76" t="s">
        <v>1480</v>
      </c>
      <c r="E1164" s="76" t="s">
        <v>2461</v>
      </c>
      <c r="F1164" s="76" t="s">
        <v>539</v>
      </c>
      <c r="G1164" s="76" t="s">
        <v>2448</v>
      </c>
      <c r="H1164" s="76">
        <f>STOCK[[#This Row],[Precio Final]]</f>
        <v>35</v>
      </c>
      <c r="I1164" s="76">
        <f>STOCK[[#This Row],[Precio Venta Ideal (x1.5)]]</f>
        <v>38.205</v>
      </c>
      <c r="J1164" s="91">
        <v>2</v>
      </c>
      <c r="K1164" s="91">
        <f>SUMIFS(VENTAS[Cantidad],VENTAS[Código del producto Vendido],STOCK[[#This Row],[Code]])</f>
        <v>2</v>
      </c>
      <c r="L1164" s="91">
        <f>STOCK[[#This Row],[Entradas]]-STOCK[[#This Row],[Salidas]]</f>
        <v>0</v>
      </c>
      <c r="M1164" s="76">
        <f>STOCK[[#This Row],[Precio Final]]*10%</f>
        <v>3.5</v>
      </c>
      <c r="N1164" s="76">
        <v>0</v>
      </c>
      <c r="O1164" s="76">
        <v>0</v>
      </c>
      <c r="P1164" s="76">
        <v>20</v>
      </c>
      <c r="Q1164" s="91">
        <v>0</v>
      </c>
      <c r="R1164" s="76">
        <v>7.81</v>
      </c>
      <c r="S1164" s="76">
        <v>1.97</v>
      </c>
      <c r="T1164" s="76">
        <f>STOCK[[#This Row],[Costo Unitario (USD)]]+STOCK[[#This Row],[Costo Envío (USD)]]+STOCK[[#This Row],[Comisión 10%]]</f>
        <v>25.47</v>
      </c>
      <c r="U1164" s="76">
        <f>STOCK[[#This Row],[Costo total]]*1.5</f>
        <v>38.205</v>
      </c>
      <c r="V1164" s="76">
        <v>35</v>
      </c>
      <c r="W1164" s="76">
        <f>STOCK[[#This Row],[Precio Final]]-STOCK[[#This Row],[Costo total]]</f>
        <v>9.53</v>
      </c>
      <c r="X1164" s="76">
        <f>STOCK[[#This Row],[Ganancia Unitaria]]*STOCK[[#This Row],[Salidas]]</f>
        <v>19.06</v>
      </c>
      <c r="Y1164" s="76" t="s">
        <v>2449</v>
      </c>
      <c r="AA1164" s="76">
        <f>STOCK[[#This Row],[Costo total]]*STOCK[[#This Row],[Entradas]]</f>
        <v>50.94</v>
      </c>
      <c r="AB1164" s="76">
        <f>STOCK[[#This Row],[Stock Actual]]*STOCK[[#This Row],[Costo total]]</f>
        <v>0</v>
      </c>
    </row>
    <row r="1165" s="77" customFormat="1" ht="50" hidden="1" customHeight="1" spans="1:28">
      <c r="A1165" s="77" t="s">
        <v>2464</v>
      </c>
      <c r="B1165" s="6"/>
      <c r="C1165" s="77" t="s">
        <v>30</v>
      </c>
      <c r="D1165" s="76" t="s">
        <v>1480</v>
      </c>
      <c r="E1165" s="77" t="s">
        <v>2461</v>
      </c>
      <c r="F1165" s="77" t="s">
        <v>764</v>
      </c>
      <c r="G1165" s="77" t="s">
        <v>2448</v>
      </c>
      <c r="H1165" s="77">
        <f>STOCK[[#This Row],[Precio Final]]</f>
        <v>35</v>
      </c>
      <c r="I1165" s="77">
        <f>STOCK[[#This Row],[Precio Venta Ideal (x1.5)]]</f>
        <v>38.205</v>
      </c>
      <c r="J1165" s="92">
        <v>2</v>
      </c>
      <c r="K1165" s="92">
        <f>SUMIFS(VENTAS[Cantidad],VENTAS[Código del producto Vendido],STOCK[[#This Row],[Code]])</f>
        <v>2</v>
      </c>
      <c r="L1165" s="92">
        <f>STOCK[[#This Row],[Entradas]]-STOCK[[#This Row],[Salidas]]</f>
        <v>0</v>
      </c>
      <c r="M1165" s="77">
        <f>STOCK[[#This Row],[Precio Final]]*10%</f>
        <v>3.5</v>
      </c>
      <c r="N1165" s="77">
        <v>0</v>
      </c>
      <c r="O1165" s="77">
        <v>0</v>
      </c>
      <c r="P1165" s="77">
        <v>20</v>
      </c>
      <c r="Q1165" s="92">
        <v>0</v>
      </c>
      <c r="R1165" s="77">
        <v>7.81</v>
      </c>
      <c r="S1165" s="77">
        <v>1.97</v>
      </c>
      <c r="T1165" s="76">
        <f>STOCK[[#This Row],[Costo Unitario (USD)]]+STOCK[[#This Row],[Costo Envío (USD)]]+STOCK[[#This Row],[Comisión 10%]]</f>
        <v>25.47</v>
      </c>
      <c r="U1165" s="77">
        <f>STOCK[[#This Row],[Costo total]]*1.5</f>
        <v>38.205</v>
      </c>
      <c r="V1165" s="77">
        <v>35</v>
      </c>
      <c r="W1165" s="77">
        <f>STOCK[[#This Row],[Precio Final]]-STOCK[[#This Row],[Costo total]]</f>
        <v>9.53</v>
      </c>
      <c r="X1165" s="77">
        <f>STOCK[[#This Row],[Ganancia Unitaria]]*STOCK[[#This Row],[Salidas]]</f>
        <v>19.06</v>
      </c>
      <c r="Y1165" s="77" t="s">
        <v>2449</v>
      </c>
      <c r="AA1165" s="77">
        <f>STOCK[[#This Row],[Costo total]]*STOCK[[#This Row],[Entradas]]</f>
        <v>50.94</v>
      </c>
      <c r="AB1165" s="77">
        <f>STOCK[[#This Row],[Stock Actual]]*STOCK[[#This Row],[Costo total]]</f>
        <v>0</v>
      </c>
    </row>
    <row r="1166" s="76" customFormat="1" ht="50" hidden="1" customHeight="1" spans="1:28">
      <c r="A1166" s="76" t="s">
        <v>2465</v>
      </c>
      <c r="B1166" s="6"/>
      <c r="C1166" s="76" t="s">
        <v>30</v>
      </c>
      <c r="D1166" s="76" t="s">
        <v>1480</v>
      </c>
      <c r="E1166" s="76" t="s">
        <v>2466</v>
      </c>
      <c r="F1166" s="76" t="s">
        <v>764</v>
      </c>
      <c r="G1166" s="76" t="s">
        <v>2448</v>
      </c>
      <c r="H1166" s="76">
        <f>STOCK[[#This Row],[Precio Final]]</f>
        <v>40</v>
      </c>
      <c r="I1166" s="76">
        <f>STOCK[[#This Row],[Precio Venta Ideal (x1.5)]]</f>
        <v>35.13105</v>
      </c>
      <c r="J1166" s="91">
        <v>1</v>
      </c>
      <c r="K1166" s="91">
        <f>SUMIFS(VENTAS[Cantidad],VENTAS[Código del producto Vendido],STOCK[[#This Row],[Code]])</f>
        <v>0</v>
      </c>
      <c r="L1166" s="91">
        <f>STOCK[[#This Row],[Entradas]]-STOCK[[#This Row],[Salidas]]</f>
        <v>1</v>
      </c>
      <c r="M1166" s="76">
        <f>STOCK[[#This Row],[Precio Final]]*10%</f>
        <v>4</v>
      </c>
      <c r="N1166" s="76">
        <v>0</v>
      </c>
      <c r="O1166" s="76">
        <v>0</v>
      </c>
      <c r="P1166" s="76">
        <v>15.75</v>
      </c>
      <c r="Q1166" s="91">
        <v>470</v>
      </c>
      <c r="R1166" s="76">
        <v>7.81</v>
      </c>
      <c r="S1166" s="76">
        <v>3.6707</v>
      </c>
      <c r="T1166" s="76">
        <f>STOCK[[#This Row],[Costo Unitario (USD)]]+STOCK[[#This Row],[Costo Envío (USD)]]+STOCK[[#This Row],[Comisión 10%]]</f>
        <v>23.4207</v>
      </c>
      <c r="U1166" s="76">
        <f>STOCK[[#This Row],[Costo total]]*1.5</f>
        <v>35.13105</v>
      </c>
      <c r="V1166" s="76">
        <v>40</v>
      </c>
      <c r="W1166" s="76">
        <f>STOCK[[#This Row],[Precio Final]]-STOCK[[#This Row],[Costo total]]</f>
        <v>16.5793</v>
      </c>
      <c r="X1166" s="76">
        <f>STOCK[[#This Row],[Ganancia Unitaria]]*STOCK[[#This Row],[Salidas]]</f>
        <v>0</v>
      </c>
      <c r="Y1166" s="76" t="s">
        <v>2449</v>
      </c>
      <c r="AA1166" s="76">
        <f>STOCK[[#This Row],[Costo total]]*STOCK[[#This Row],[Entradas]]</f>
        <v>23.4207</v>
      </c>
      <c r="AB1166" s="76">
        <f>STOCK[[#This Row],[Stock Actual]]*STOCK[[#This Row],[Costo total]]</f>
        <v>23.4207</v>
      </c>
    </row>
    <row r="1167" s="77" customFormat="1" ht="50" hidden="1" customHeight="1" spans="1:28">
      <c r="A1167" s="77" t="s">
        <v>2467</v>
      </c>
      <c r="B1167" s="6"/>
      <c r="C1167" s="77" t="s">
        <v>30</v>
      </c>
      <c r="D1167" s="76" t="s">
        <v>1480</v>
      </c>
      <c r="E1167" s="77" t="s">
        <v>2468</v>
      </c>
      <c r="F1167" s="77" t="s">
        <v>764</v>
      </c>
      <c r="G1167" s="77" t="s">
        <v>2448</v>
      </c>
      <c r="H1167" s="77">
        <f>STOCK[[#This Row],[Precio Final]]</f>
        <v>35</v>
      </c>
      <c r="I1167" s="77">
        <f>STOCK[[#This Row],[Precio Venta Ideal (x1.5)]]</f>
        <v>36.947475</v>
      </c>
      <c r="J1167" s="92">
        <v>1</v>
      </c>
      <c r="K1167" s="92">
        <f>SUMIFS(VENTAS[Cantidad],VENTAS[Código del producto Vendido],STOCK[[#This Row],[Code]])</f>
        <v>0</v>
      </c>
      <c r="L1167" s="92">
        <f>STOCK[[#This Row],[Entradas]]-STOCK[[#This Row],[Salidas]]</f>
        <v>1</v>
      </c>
      <c r="M1167" s="77">
        <f>STOCK[[#This Row],[Precio Final]]*10%</f>
        <v>3.5</v>
      </c>
      <c r="N1167" s="77">
        <v>0</v>
      </c>
      <c r="O1167" s="77">
        <v>0</v>
      </c>
      <c r="P1167" s="77">
        <v>17.5</v>
      </c>
      <c r="Q1167" s="92">
        <v>465</v>
      </c>
      <c r="R1167" s="77">
        <v>7.81</v>
      </c>
      <c r="S1167" s="77">
        <v>3.63165</v>
      </c>
      <c r="T1167" s="76">
        <f>STOCK[[#This Row],[Costo Unitario (USD)]]+STOCK[[#This Row],[Costo Envío (USD)]]+STOCK[[#This Row],[Comisión 10%]]</f>
        <v>24.63165</v>
      </c>
      <c r="U1167" s="77">
        <f>STOCK[[#This Row],[Costo total]]*1.5</f>
        <v>36.947475</v>
      </c>
      <c r="V1167" s="77">
        <v>35</v>
      </c>
      <c r="W1167" s="77">
        <f>STOCK[[#This Row],[Precio Final]]-STOCK[[#This Row],[Costo total]]</f>
        <v>10.36835</v>
      </c>
      <c r="X1167" s="77">
        <f>STOCK[[#This Row],[Ganancia Unitaria]]*STOCK[[#This Row],[Salidas]]</f>
        <v>0</v>
      </c>
      <c r="Y1167" s="77" t="s">
        <v>2449</v>
      </c>
      <c r="AA1167" s="77">
        <f>STOCK[[#This Row],[Costo total]]*STOCK[[#This Row],[Entradas]]</f>
        <v>24.63165</v>
      </c>
      <c r="AB1167" s="77">
        <f>STOCK[[#This Row],[Stock Actual]]*STOCK[[#This Row],[Costo total]]</f>
        <v>24.63165</v>
      </c>
    </row>
    <row r="1168" s="76" customFormat="1" ht="50" hidden="1" customHeight="1" spans="1:28">
      <c r="A1168" s="76" t="s">
        <v>2469</v>
      </c>
      <c r="B1168" s="6"/>
      <c r="C1168" s="76" t="s">
        <v>30</v>
      </c>
      <c r="D1168" s="76" t="s">
        <v>1480</v>
      </c>
      <c r="E1168" s="76" t="s">
        <v>2468</v>
      </c>
      <c r="F1168" s="76" t="s">
        <v>516</v>
      </c>
      <c r="G1168" s="76" t="s">
        <v>2448</v>
      </c>
      <c r="H1168" s="76">
        <f>STOCK[[#This Row],[Precio Final]]</f>
        <v>35</v>
      </c>
      <c r="I1168" s="76">
        <f>STOCK[[#This Row],[Precio Venta Ideal (x1.5)]]</f>
        <v>36.947475</v>
      </c>
      <c r="J1168" s="91">
        <v>1</v>
      </c>
      <c r="K1168" s="91">
        <f>SUMIFS(VENTAS[Cantidad],VENTAS[Código del producto Vendido],STOCK[[#This Row],[Code]])</f>
        <v>0</v>
      </c>
      <c r="L1168" s="91">
        <f>STOCK[[#This Row],[Entradas]]-STOCK[[#This Row],[Salidas]]</f>
        <v>1</v>
      </c>
      <c r="M1168" s="76">
        <f>STOCK[[#This Row],[Precio Final]]*10%</f>
        <v>3.5</v>
      </c>
      <c r="N1168" s="76">
        <v>0</v>
      </c>
      <c r="O1168" s="76">
        <v>0</v>
      </c>
      <c r="P1168" s="76">
        <v>17.5</v>
      </c>
      <c r="Q1168" s="91">
        <v>465</v>
      </c>
      <c r="R1168" s="76">
        <v>7.81</v>
      </c>
      <c r="S1168" s="76">
        <v>3.63165</v>
      </c>
      <c r="T1168" s="76">
        <f>STOCK[[#This Row],[Costo Unitario (USD)]]+STOCK[[#This Row],[Costo Envío (USD)]]+STOCK[[#This Row],[Comisión 10%]]</f>
        <v>24.63165</v>
      </c>
      <c r="U1168" s="76">
        <f>STOCK[[#This Row],[Costo total]]*1.5</f>
        <v>36.947475</v>
      </c>
      <c r="V1168" s="76">
        <v>35</v>
      </c>
      <c r="W1168" s="76">
        <f>STOCK[[#This Row],[Precio Final]]-STOCK[[#This Row],[Costo total]]</f>
        <v>10.36835</v>
      </c>
      <c r="X1168" s="76">
        <f>STOCK[[#This Row],[Ganancia Unitaria]]*STOCK[[#This Row],[Salidas]]</f>
        <v>0</v>
      </c>
      <c r="Y1168" s="76" t="s">
        <v>2449</v>
      </c>
      <c r="AA1168" s="76">
        <f>STOCK[[#This Row],[Costo total]]*STOCK[[#This Row],[Entradas]]</f>
        <v>24.63165</v>
      </c>
      <c r="AB1168" s="76">
        <f>STOCK[[#This Row],[Stock Actual]]*STOCK[[#This Row],[Costo total]]</f>
        <v>24.63165</v>
      </c>
    </row>
    <row r="1169" s="77" customFormat="1" ht="50" hidden="1" customHeight="1" spans="1:28">
      <c r="A1169" s="77" t="s">
        <v>2470</v>
      </c>
      <c r="B1169" s="6"/>
      <c r="C1169" s="77" t="s">
        <v>30</v>
      </c>
      <c r="D1169" s="76" t="s">
        <v>1480</v>
      </c>
      <c r="E1169" s="77" t="s">
        <v>2471</v>
      </c>
      <c r="F1169" s="77" t="s">
        <v>539</v>
      </c>
      <c r="G1169" s="77" t="s">
        <v>2448</v>
      </c>
      <c r="H1169" s="77">
        <f>STOCK[[#This Row],[Precio Final]]</f>
        <v>30</v>
      </c>
      <c r="I1169" s="77">
        <f>STOCK[[#This Row],[Precio Venta Ideal (x1.5)]]</f>
        <v>50</v>
      </c>
      <c r="J1169" s="92">
        <v>1</v>
      </c>
      <c r="K1169" s="92">
        <f>SUMIFS(VENTAS[Cantidad],VENTAS[Código del producto Vendido],STOCK[[#This Row],[Code]])</f>
        <v>1</v>
      </c>
      <c r="L1169" s="92">
        <f>STOCK[[#This Row],[Entradas]]-STOCK[[#This Row],[Salidas]]</f>
        <v>0</v>
      </c>
      <c r="M1169" s="77">
        <f>STOCK[[#This Row],[Precio Final]]*10%</f>
        <v>3</v>
      </c>
      <c r="N1169" s="77">
        <v>0</v>
      </c>
      <c r="O1169" s="77">
        <v>0</v>
      </c>
      <c r="P1169" s="77">
        <v>27.5</v>
      </c>
      <c r="Q1169" s="92">
        <v>0</v>
      </c>
      <c r="R1169" s="77">
        <v>7.81</v>
      </c>
      <c r="S1169" s="77">
        <v>1.97</v>
      </c>
      <c r="T1169" s="76">
        <f>STOCK[[#This Row],[Costo Unitario (USD)]]+STOCK[[#This Row],[Costo Envío (USD)]]+STOCK[[#This Row],[Comisión 10%]]</f>
        <v>32.47</v>
      </c>
      <c r="U1169" s="77">
        <v>50</v>
      </c>
      <c r="V1169" s="77">
        <v>30</v>
      </c>
      <c r="W1169" s="77">
        <f>STOCK[[#This Row],[Precio Final]]-STOCK[[#This Row],[Costo total]]</f>
        <v>-2.47</v>
      </c>
      <c r="X1169" s="77">
        <f>STOCK[[#This Row],[Ganancia Unitaria]]*STOCK[[#This Row],[Salidas]]</f>
        <v>-2.47</v>
      </c>
      <c r="Y1169" s="77" t="s">
        <v>2449</v>
      </c>
      <c r="AA1169" s="77">
        <f>STOCK[[#This Row],[Costo total]]*STOCK[[#This Row],[Entradas]]</f>
        <v>32.47</v>
      </c>
      <c r="AB1169" s="77">
        <f>STOCK[[#This Row],[Stock Actual]]*STOCK[[#This Row],[Costo total]]</f>
        <v>0</v>
      </c>
    </row>
    <row r="1170" s="76" customFormat="1" ht="50" hidden="1" customHeight="1" spans="1:28">
      <c r="A1170" s="76" t="s">
        <v>2472</v>
      </c>
      <c r="B1170" s="6"/>
      <c r="C1170" s="76" t="s">
        <v>30</v>
      </c>
      <c r="D1170" s="76" t="s">
        <v>1480</v>
      </c>
      <c r="E1170" s="76" t="s">
        <v>2473</v>
      </c>
      <c r="F1170" s="76" t="s">
        <v>764</v>
      </c>
      <c r="G1170" s="76" t="s">
        <v>2448</v>
      </c>
      <c r="H1170" s="76">
        <f>STOCK[[#This Row],[Precio Final]]</f>
        <v>45</v>
      </c>
      <c r="I1170" s="76">
        <f>STOCK[[#This Row],[Precio Venta Ideal (x1.5)]]</f>
        <v>54.67755</v>
      </c>
      <c r="J1170" s="91">
        <v>1</v>
      </c>
      <c r="K1170" s="91">
        <f>SUMIFS(VENTAS[Cantidad],VENTAS[Código del producto Vendido],STOCK[[#This Row],[Code]])</f>
        <v>1</v>
      </c>
      <c r="L1170" s="91">
        <f>STOCK[[#This Row],[Entradas]]-STOCK[[#This Row],[Salidas]]</f>
        <v>0</v>
      </c>
      <c r="M1170" s="76">
        <f>STOCK[[#This Row],[Precio Final]]*10%</f>
        <v>4.5</v>
      </c>
      <c r="N1170" s="76">
        <v>0</v>
      </c>
      <c r="O1170" s="76">
        <v>0</v>
      </c>
      <c r="P1170" s="76">
        <v>27.5</v>
      </c>
      <c r="Q1170" s="91">
        <v>570</v>
      </c>
      <c r="R1170" s="76">
        <v>7.81</v>
      </c>
      <c r="S1170" s="76">
        <v>4.4517</v>
      </c>
      <c r="T1170" s="76">
        <f>STOCK[[#This Row],[Costo Unitario (USD)]]+STOCK[[#This Row],[Costo Envío (USD)]]+STOCK[[#This Row],[Comisión 10%]]</f>
        <v>36.4517</v>
      </c>
      <c r="U1170" s="76">
        <f>STOCK[[#This Row],[Costo total]]*1.5</f>
        <v>54.67755</v>
      </c>
      <c r="V1170" s="76">
        <v>45</v>
      </c>
      <c r="W1170" s="76">
        <f>STOCK[[#This Row],[Precio Final]]-STOCK[[#This Row],[Costo total]]</f>
        <v>8.5483</v>
      </c>
      <c r="X1170" s="76">
        <f>STOCK[[#This Row],[Ganancia Unitaria]]*STOCK[[#This Row],[Salidas]]</f>
        <v>8.5483</v>
      </c>
      <c r="Y1170" s="76" t="s">
        <v>2449</v>
      </c>
      <c r="AA1170" s="76">
        <f>STOCK[[#This Row],[Costo total]]*STOCK[[#This Row],[Entradas]]</f>
        <v>36.4517</v>
      </c>
      <c r="AB1170" s="76">
        <f>STOCK[[#This Row],[Stock Actual]]*STOCK[[#This Row],[Costo total]]</f>
        <v>0</v>
      </c>
    </row>
    <row r="1171" s="77" customFormat="1" ht="50" hidden="1" customHeight="1" spans="1:28">
      <c r="A1171" s="77" t="s">
        <v>2474</v>
      </c>
      <c r="B1171" s="6"/>
      <c r="C1171" s="77" t="s">
        <v>30</v>
      </c>
      <c r="D1171" s="76" t="s">
        <v>1480</v>
      </c>
      <c r="E1171" s="77" t="s">
        <v>2473</v>
      </c>
      <c r="F1171" s="77" t="s">
        <v>539</v>
      </c>
      <c r="G1171" s="77" t="s">
        <v>2448</v>
      </c>
      <c r="H1171" s="77">
        <f>STOCK[[#This Row],[Precio Final]]</f>
        <v>45</v>
      </c>
      <c r="I1171" s="77">
        <f>STOCK[[#This Row],[Precio Venta Ideal (x1.5)]]</f>
        <v>54.67755</v>
      </c>
      <c r="J1171" s="92">
        <v>2</v>
      </c>
      <c r="K1171" s="92">
        <f>SUMIFS(VENTAS[Cantidad],VENTAS[Código del producto Vendido],STOCK[[#This Row],[Code]])</f>
        <v>2</v>
      </c>
      <c r="L1171" s="92">
        <f>STOCK[[#This Row],[Entradas]]-STOCK[[#This Row],[Salidas]]</f>
        <v>0</v>
      </c>
      <c r="M1171" s="77">
        <f>STOCK[[#This Row],[Precio Final]]*10%</f>
        <v>4.5</v>
      </c>
      <c r="N1171" s="77">
        <v>0</v>
      </c>
      <c r="O1171" s="77">
        <v>0</v>
      </c>
      <c r="P1171" s="77">
        <v>27.5</v>
      </c>
      <c r="Q1171" s="92">
        <v>570</v>
      </c>
      <c r="R1171" s="77">
        <v>7.81</v>
      </c>
      <c r="S1171" s="77">
        <v>4.4517</v>
      </c>
      <c r="T1171" s="76">
        <f>STOCK[[#This Row],[Costo Unitario (USD)]]+STOCK[[#This Row],[Costo Envío (USD)]]+STOCK[[#This Row],[Comisión 10%]]</f>
        <v>36.4517</v>
      </c>
      <c r="U1171" s="77">
        <f>STOCK[[#This Row],[Costo total]]*1.5</f>
        <v>54.67755</v>
      </c>
      <c r="V1171" s="77">
        <v>45</v>
      </c>
      <c r="W1171" s="77">
        <f>STOCK[[#This Row],[Precio Final]]-STOCK[[#This Row],[Costo total]]</f>
        <v>8.5483</v>
      </c>
      <c r="X1171" s="77">
        <f>STOCK[[#This Row],[Ganancia Unitaria]]*STOCK[[#This Row],[Salidas]]</f>
        <v>17.0966</v>
      </c>
      <c r="Y1171" s="77" t="s">
        <v>2449</v>
      </c>
      <c r="AA1171" s="77">
        <f>STOCK[[#This Row],[Costo total]]*STOCK[[#This Row],[Entradas]]</f>
        <v>72.9034</v>
      </c>
      <c r="AB1171" s="77">
        <f>STOCK[[#This Row],[Stock Actual]]*STOCK[[#This Row],[Costo total]]</f>
        <v>0</v>
      </c>
    </row>
    <row r="1172" s="76" customFormat="1" ht="50" hidden="1" customHeight="1" spans="1:28">
      <c r="A1172" s="76" t="s">
        <v>2475</v>
      </c>
      <c r="B1172" s="6"/>
      <c r="C1172" s="76" t="s">
        <v>30</v>
      </c>
      <c r="D1172" s="76" t="s">
        <v>1480</v>
      </c>
      <c r="E1172" s="76" t="s">
        <v>2476</v>
      </c>
      <c r="F1172" s="76" t="s">
        <v>539</v>
      </c>
      <c r="G1172" s="76" t="s">
        <v>2448</v>
      </c>
      <c r="H1172" s="76">
        <f>STOCK[[#This Row],[Precio Final]]</f>
        <v>35</v>
      </c>
      <c r="I1172" s="76">
        <f>STOCK[[#This Row],[Precio Venta Ideal (x1.5)]]</f>
        <v>27.279</v>
      </c>
      <c r="J1172" s="91">
        <v>1</v>
      </c>
      <c r="K1172" s="91">
        <f>SUMIFS(VENTAS[Cantidad],VENTAS[Código del producto Vendido],STOCK[[#This Row],[Code]])</f>
        <v>0</v>
      </c>
      <c r="L1172" s="91">
        <f>STOCK[[#This Row],[Entradas]]-STOCK[[#This Row],[Salidas]]</f>
        <v>1</v>
      </c>
      <c r="M1172" s="76">
        <f>STOCK[[#This Row],[Precio Final]]*10%</f>
        <v>3.5</v>
      </c>
      <c r="N1172" s="76">
        <v>0</v>
      </c>
      <c r="O1172" s="76">
        <v>0</v>
      </c>
      <c r="P1172" s="76">
        <v>10</v>
      </c>
      <c r="Q1172" s="91">
        <v>600</v>
      </c>
      <c r="R1172" s="76">
        <v>7.81</v>
      </c>
      <c r="S1172" s="76">
        <v>4.686</v>
      </c>
      <c r="T1172" s="76">
        <f>STOCK[[#This Row],[Costo Unitario (USD)]]+STOCK[[#This Row],[Costo Envío (USD)]]+STOCK[[#This Row],[Comisión 10%]]</f>
        <v>18.186</v>
      </c>
      <c r="U1172" s="76">
        <f>STOCK[[#This Row],[Costo total]]*1.5</f>
        <v>27.279</v>
      </c>
      <c r="V1172" s="76">
        <v>35</v>
      </c>
      <c r="W1172" s="76">
        <f>STOCK[[#This Row],[Precio Final]]-STOCK[[#This Row],[Costo total]]</f>
        <v>16.814</v>
      </c>
      <c r="X1172" s="76">
        <f>STOCK[[#This Row],[Ganancia Unitaria]]*STOCK[[#This Row],[Salidas]]</f>
        <v>0</v>
      </c>
      <c r="Y1172" s="76" t="s">
        <v>2449</v>
      </c>
      <c r="AA1172" s="76">
        <f>STOCK[[#This Row],[Costo total]]*STOCK[[#This Row],[Entradas]]</f>
        <v>18.186</v>
      </c>
      <c r="AB1172" s="76">
        <f>STOCK[[#This Row],[Stock Actual]]*STOCK[[#This Row],[Costo total]]</f>
        <v>18.186</v>
      </c>
    </row>
    <row r="1173" s="77" customFormat="1" ht="50" hidden="1" customHeight="1" spans="1:28">
      <c r="A1173" s="77" t="s">
        <v>2477</v>
      </c>
      <c r="B1173" s="6"/>
      <c r="C1173" s="77" t="s">
        <v>30</v>
      </c>
      <c r="D1173" s="76" t="s">
        <v>1480</v>
      </c>
      <c r="E1173" s="77" t="s">
        <v>2478</v>
      </c>
      <c r="F1173" s="77" t="s">
        <v>516</v>
      </c>
      <c r="G1173" s="77" t="s">
        <v>2448</v>
      </c>
      <c r="H1173" s="77">
        <f>STOCK[[#This Row],[Precio Final]]</f>
        <v>40</v>
      </c>
      <c r="I1173" s="77">
        <f>STOCK[[#This Row],[Precio Venta Ideal (x1.5)]]</f>
        <v>37.228875</v>
      </c>
      <c r="J1173" s="92">
        <v>1</v>
      </c>
      <c r="K1173" s="92">
        <f>SUMIFS(VENTAS[Cantidad],VENTAS[Código del producto Vendido],STOCK[[#This Row],[Code]])</f>
        <v>1</v>
      </c>
      <c r="L1173" s="92">
        <f>STOCK[[#This Row],[Entradas]]-STOCK[[#This Row],[Salidas]]</f>
        <v>0</v>
      </c>
      <c r="M1173" s="77">
        <f>STOCK[[#This Row],[Precio Final]]*10%</f>
        <v>4</v>
      </c>
      <c r="N1173" s="77">
        <v>0</v>
      </c>
      <c r="O1173" s="77">
        <v>0</v>
      </c>
      <c r="P1173" s="77">
        <v>17.5</v>
      </c>
      <c r="Q1173" s="92">
        <v>425</v>
      </c>
      <c r="R1173" s="77">
        <v>7.81</v>
      </c>
      <c r="S1173" s="77">
        <v>3.31925</v>
      </c>
      <c r="T1173" s="76">
        <f>STOCK[[#This Row],[Costo Unitario (USD)]]+STOCK[[#This Row],[Costo Envío (USD)]]+STOCK[[#This Row],[Comisión 10%]]</f>
        <v>24.81925</v>
      </c>
      <c r="U1173" s="77">
        <f>STOCK[[#This Row],[Costo total]]*1.5</f>
        <v>37.228875</v>
      </c>
      <c r="V1173" s="77">
        <v>40</v>
      </c>
      <c r="W1173" s="77">
        <f>STOCK[[#This Row],[Precio Final]]-STOCK[[#This Row],[Costo total]]</f>
        <v>15.18075</v>
      </c>
      <c r="X1173" s="77">
        <f>STOCK[[#This Row],[Ganancia Unitaria]]*STOCK[[#This Row],[Salidas]]</f>
        <v>15.18075</v>
      </c>
      <c r="Y1173" s="77" t="s">
        <v>2449</v>
      </c>
      <c r="AA1173" s="77">
        <f>STOCK[[#This Row],[Costo total]]*STOCK[[#This Row],[Entradas]]</f>
        <v>24.81925</v>
      </c>
      <c r="AB1173" s="77">
        <f>STOCK[[#This Row],[Stock Actual]]*STOCK[[#This Row],[Costo total]]</f>
        <v>0</v>
      </c>
    </row>
    <row r="1174" s="76" customFormat="1" ht="50" hidden="1" customHeight="1" spans="1:28">
      <c r="A1174" s="76" t="s">
        <v>2479</v>
      </c>
      <c r="B1174" s="6"/>
      <c r="C1174" s="76" t="s">
        <v>30</v>
      </c>
      <c r="D1174" s="76" t="s">
        <v>1480</v>
      </c>
      <c r="E1174" s="76" t="s">
        <v>2478</v>
      </c>
      <c r="F1174" s="76" t="s">
        <v>764</v>
      </c>
      <c r="G1174" s="76" t="s">
        <v>2448</v>
      </c>
      <c r="H1174" s="76">
        <f>STOCK[[#This Row],[Precio Final]]</f>
        <v>40</v>
      </c>
      <c r="I1174" s="76">
        <f>STOCK[[#This Row],[Precio Venta Ideal (x1.5)]]</f>
        <v>37.228875</v>
      </c>
      <c r="J1174" s="91">
        <v>1</v>
      </c>
      <c r="K1174" s="91">
        <f>SUMIFS(VENTAS[Cantidad],VENTAS[Código del producto Vendido],STOCK[[#This Row],[Code]])</f>
        <v>1</v>
      </c>
      <c r="L1174" s="91">
        <f>STOCK[[#This Row],[Entradas]]-STOCK[[#This Row],[Salidas]]</f>
        <v>0</v>
      </c>
      <c r="M1174" s="76">
        <f>STOCK[[#This Row],[Precio Final]]*10%</f>
        <v>4</v>
      </c>
      <c r="N1174" s="76">
        <v>0</v>
      </c>
      <c r="O1174" s="76">
        <v>0</v>
      </c>
      <c r="P1174" s="76">
        <v>17.5</v>
      </c>
      <c r="Q1174" s="91">
        <v>425</v>
      </c>
      <c r="R1174" s="76">
        <v>7.81</v>
      </c>
      <c r="S1174" s="76">
        <v>3.31925</v>
      </c>
      <c r="T1174" s="76">
        <f>STOCK[[#This Row],[Costo Unitario (USD)]]+STOCK[[#This Row],[Costo Envío (USD)]]+STOCK[[#This Row],[Comisión 10%]]</f>
        <v>24.81925</v>
      </c>
      <c r="U1174" s="76">
        <f>STOCK[[#This Row],[Costo total]]*1.5</f>
        <v>37.228875</v>
      </c>
      <c r="V1174" s="76">
        <v>40</v>
      </c>
      <c r="W1174" s="76">
        <f>STOCK[[#This Row],[Precio Final]]-STOCK[[#This Row],[Costo total]]</f>
        <v>15.18075</v>
      </c>
      <c r="X1174" s="76">
        <f>STOCK[[#This Row],[Ganancia Unitaria]]*STOCK[[#This Row],[Salidas]]</f>
        <v>15.18075</v>
      </c>
      <c r="Y1174" s="76" t="s">
        <v>2449</v>
      </c>
      <c r="AA1174" s="76">
        <f>STOCK[[#This Row],[Costo total]]*STOCK[[#This Row],[Entradas]]</f>
        <v>24.81925</v>
      </c>
      <c r="AB1174" s="76">
        <f>STOCK[[#This Row],[Stock Actual]]*STOCK[[#This Row],[Costo total]]</f>
        <v>0</v>
      </c>
    </row>
    <row r="1175" s="77" customFormat="1" ht="50" hidden="1" customHeight="1" spans="1:28">
      <c r="A1175" s="77" t="s">
        <v>2480</v>
      </c>
      <c r="B1175" s="6"/>
      <c r="C1175" s="77" t="s">
        <v>30</v>
      </c>
      <c r="D1175" s="76" t="s">
        <v>1480</v>
      </c>
      <c r="E1175" s="77" t="s">
        <v>2481</v>
      </c>
      <c r="F1175" s="77" t="s">
        <v>539</v>
      </c>
      <c r="G1175" s="77" t="s">
        <v>2448</v>
      </c>
      <c r="H1175" s="77">
        <f>STOCK[[#This Row],[Precio Final]]</f>
        <v>50</v>
      </c>
      <c r="I1175" s="77">
        <f>STOCK[[#This Row],[Precio Venta Ideal (x1.5)]]</f>
        <v>52.416075</v>
      </c>
      <c r="J1175" s="92">
        <v>1</v>
      </c>
      <c r="K1175" s="92">
        <f>SUMIFS(VENTAS[Cantidad],VENTAS[Código del producto Vendido],STOCK[[#This Row],[Code]])</f>
        <v>0</v>
      </c>
      <c r="L1175" s="92">
        <f>STOCK[[#This Row],[Entradas]]-STOCK[[#This Row],[Salidas]]</f>
        <v>1</v>
      </c>
      <c r="M1175" s="77">
        <f>STOCK[[#This Row],[Precio Final]]*10%</f>
        <v>5</v>
      </c>
      <c r="N1175" s="77">
        <v>0</v>
      </c>
      <c r="O1175" s="77">
        <v>0</v>
      </c>
      <c r="P1175" s="77">
        <v>26</v>
      </c>
      <c r="Q1175" s="92">
        <v>505</v>
      </c>
      <c r="R1175" s="77">
        <v>7.81</v>
      </c>
      <c r="S1175" s="77">
        <v>3.94405</v>
      </c>
      <c r="T1175" s="76">
        <f>STOCK[[#This Row],[Costo Unitario (USD)]]+STOCK[[#This Row],[Costo Envío (USD)]]+STOCK[[#This Row],[Comisión 10%]]</f>
        <v>34.94405</v>
      </c>
      <c r="U1175" s="77">
        <f>STOCK[[#This Row],[Costo total]]*1.5</f>
        <v>52.416075</v>
      </c>
      <c r="V1175" s="77">
        <v>50</v>
      </c>
      <c r="W1175" s="77">
        <f>STOCK[[#This Row],[Precio Final]]-STOCK[[#This Row],[Costo total]]</f>
        <v>15.05595</v>
      </c>
      <c r="X1175" s="77">
        <f>STOCK[[#This Row],[Ganancia Unitaria]]*STOCK[[#This Row],[Salidas]]</f>
        <v>0</v>
      </c>
      <c r="Y1175" s="77" t="s">
        <v>2449</v>
      </c>
      <c r="AA1175" s="77">
        <f>STOCK[[#This Row],[Costo total]]*STOCK[[#This Row],[Entradas]]</f>
        <v>34.94405</v>
      </c>
      <c r="AB1175" s="77">
        <f>STOCK[[#This Row],[Stock Actual]]*STOCK[[#This Row],[Costo total]]</f>
        <v>34.94405</v>
      </c>
    </row>
    <row r="1176" s="76" customFormat="1" ht="50" hidden="1" customHeight="1" spans="1:28">
      <c r="A1176" s="76" t="s">
        <v>2482</v>
      </c>
      <c r="B1176" s="6"/>
      <c r="C1176" s="76" t="s">
        <v>30</v>
      </c>
      <c r="D1176" s="76" t="s">
        <v>1480</v>
      </c>
      <c r="E1176" s="76" t="s">
        <v>2483</v>
      </c>
      <c r="F1176" s="76" t="s">
        <v>539</v>
      </c>
      <c r="G1176" s="76" t="s">
        <v>2448</v>
      </c>
      <c r="H1176" s="76">
        <f>STOCK[[#This Row],[Precio Final]]</f>
        <v>40</v>
      </c>
      <c r="I1176" s="76">
        <f>STOCK[[#This Row],[Precio Venta Ideal (x1.5)]]</f>
        <v>37.671075</v>
      </c>
      <c r="J1176" s="91">
        <v>1</v>
      </c>
      <c r="K1176" s="91">
        <f>SUMIFS(VENTAS[Cantidad],VENTAS[Código del producto Vendido],STOCK[[#This Row],[Code]])</f>
        <v>1</v>
      </c>
      <c r="L1176" s="91">
        <f>STOCK[[#This Row],[Entradas]]-STOCK[[#This Row],[Salidas]]</f>
        <v>0</v>
      </c>
      <c r="M1176" s="76">
        <f>STOCK[[#This Row],[Precio Final]]*10%</f>
        <v>4</v>
      </c>
      <c r="N1176" s="76">
        <v>0</v>
      </c>
      <c r="O1176" s="76">
        <v>0</v>
      </c>
      <c r="P1176" s="76">
        <v>17.17</v>
      </c>
      <c r="Q1176" s="91">
        <v>505</v>
      </c>
      <c r="R1176" s="76">
        <v>7.81</v>
      </c>
      <c r="S1176" s="76">
        <v>3.94405</v>
      </c>
      <c r="T1176" s="76">
        <f>STOCK[[#This Row],[Costo Unitario (USD)]]+STOCK[[#This Row],[Costo Envío (USD)]]+STOCK[[#This Row],[Comisión 10%]]</f>
        <v>25.11405</v>
      </c>
      <c r="U1176" s="76">
        <f>STOCK[[#This Row],[Costo total]]*1.5</f>
        <v>37.671075</v>
      </c>
      <c r="V1176" s="76">
        <v>40</v>
      </c>
      <c r="W1176" s="76">
        <f>STOCK[[#This Row],[Precio Final]]-STOCK[[#This Row],[Costo total]]</f>
        <v>14.88595</v>
      </c>
      <c r="X1176" s="76">
        <f>STOCK[[#This Row],[Ganancia Unitaria]]*STOCK[[#This Row],[Salidas]]</f>
        <v>14.88595</v>
      </c>
      <c r="Y1176" s="76" t="s">
        <v>2449</v>
      </c>
      <c r="AA1176" s="76">
        <f>STOCK[[#This Row],[Costo total]]*STOCK[[#This Row],[Entradas]]</f>
        <v>25.11405</v>
      </c>
      <c r="AB1176" s="76">
        <f>STOCK[[#This Row],[Stock Actual]]*STOCK[[#This Row],[Costo total]]</f>
        <v>0</v>
      </c>
    </row>
    <row r="1177" s="77" customFormat="1" ht="50" hidden="1" customHeight="1" spans="1:28">
      <c r="A1177" s="77" t="s">
        <v>2484</v>
      </c>
      <c r="B1177" s="6"/>
      <c r="C1177" s="77" t="s">
        <v>30</v>
      </c>
      <c r="D1177" s="76" t="s">
        <v>1480</v>
      </c>
      <c r="E1177" s="77" t="s">
        <v>2485</v>
      </c>
      <c r="F1177" s="77" t="s">
        <v>516</v>
      </c>
      <c r="G1177" s="77" t="s">
        <v>2448</v>
      </c>
      <c r="H1177" s="77">
        <f>STOCK[[#This Row],[Precio Final]]</f>
        <v>35</v>
      </c>
      <c r="I1177" s="77">
        <f>STOCK[[#This Row],[Precio Venta Ideal (x1.5)]]</f>
        <v>41.5761</v>
      </c>
      <c r="J1177" s="92">
        <v>2</v>
      </c>
      <c r="K1177" s="92">
        <f>SUMIFS(VENTAS[Cantidad],VENTAS[Código del producto Vendido],STOCK[[#This Row],[Code]])</f>
        <v>1</v>
      </c>
      <c r="L1177" s="92">
        <f>STOCK[[#This Row],[Entradas]]-STOCK[[#This Row],[Salidas]]</f>
        <v>1</v>
      </c>
      <c r="M1177" s="77">
        <f>STOCK[[#This Row],[Precio Final]]*10%</f>
        <v>3.5</v>
      </c>
      <c r="N1177" s="77">
        <v>0</v>
      </c>
      <c r="O1177" s="77">
        <v>0</v>
      </c>
      <c r="P1177" s="77">
        <v>20</v>
      </c>
      <c r="Q1177" s="92">
        <v>540</v>
      </c>
      <c r="R1177" s="77">
        <v>7.81</v>
      </c>
      <c r="S1177" s="77">
        <v>4.2174</v>
      </c>
      <c r="T1177" s="76">
        <f>STOCK[[#This Row],[Costo Unitario (USD)]]+STOCK[[#This Row],[Costo Envío (USD)]]+STOCK[[#This Row],[Comisión 10%]]</f>
        <v>27.7174</v>
      </c>
      <c r="U1177" s="77">
        <f>STOCK[[#This Row],[Costo total]]*1.5</f>
        <v>41.5761</v>
      </c>
      <c r="V1177" s="77">
        <v>35</v>
      </c>
      <c r="W1177" s="77">
        <f>STOCK[[#This Row],[Precio Final]]-STOCK[[#This Row],[Costo total]]</f>
        <v>7.2826</v>
      </c>
      <c r="X1177" s="77">
        <f>STOCK[[#This Row],[Ganancia Unitaria]]*STOCK[[#This Row],[Salidas]]</f>
        <v>7.2826</v>
      </c>
      <c r="Y1177" s="77" t="s">
        <v>2449</v>
      </c>
      <c r="AA1177" s="77">
        <f>STOCK[[#This Row],[Costo total]]*STOCK[[#This Row],[Entradas]]</f>
        <v>55.4348</v>
      </c>
      <c r="AB1177" s="77">
        <f>STOCK[[#This Row],[Stock Actual]]*STOCK[[#This Row],[Costo total]]</f>
        <v>27.7174</v>
      </c>
    </row>
    <row r="1178" s="76" customFormat="1" ht="50" hidden="1" customHeight="1" spans="1:28">
      <c r="A1178" s="76" t="s">
        <v>2486</v>
      </c>
      <c r="B1178" s="6"/>
      <c r="C1178" s="76" t="s">
        <v>30</v>
      </c>
      <c r="D1178" s="76" t="s">
        <v>1480</v>
      </c>
      <c r="E1178" s="76" t="s">
        <v>2485</v>
      </c>
      <c r="F1178" s="76" t="s">
        <v>764</v>
      </c>
      <c r="G1178" s="76" t="s">
        <v>2448</v>
      </c>
      <c r="H1178" s="76">
        <f>STOCK[[#This Row],[Precio Final]]</f>
        <v>35</v>
      </c>
      <c r="I1178" s="76">
        <f>STOCK[[#This Row],[Precio Venta Ideal (x1.5)]]</f>
        <v>41.5761</v>
      </c>
      <c r="J1178" s="91">
        <v>2</v>
      </c>
      <c r="K1178" s="91">
        <f>SUMIFS(VENTAS[Cantidad],VENTAS[Código del producto Vendido],STOCK[[#This Row],[Code]])</f>
        <v>2</v>
      </c>
      <c r="L1178" s="91">
        <f>STOCK[[#This Row],[Entradas]]-STOCK[[#This Row],[Salidas]]</f>
        <v>0</v>
      </c>
      <c r="M1178" s="76">
        <f>STOCK[[#This Row],[Precio Final]]*10%</f>
        <v>3.5</v>
      </c>
      <c r="N1178" s="76">
        <v>0</v>
      </c>
      <c r="O1178" s="76">
        <v>0</v>
      </c>
      <c r="P1178" s="76">
        <v>20</v>
      </c>
      <c r="Q1178" s="91">
        <v>540</v>
      </c>
      <c r="R1178" s="76">
        <v>7.81</v>
      </c>
      <c r="S1178" s="76">
        <v>4.2174</v>
      </c>
      <c r="T1178" s="76">
        <f>STOCK[[#This Row],[Costo Unitario (USD)]]+STOCK[[#This Row],[Costo Envío (USD)]]+STOCK[[#This Row],[Comisión 10%]]</f>
        <v>27.7174</v>
      </c>
      <c r="U1178" s="76">
        <f>STOCK[[#This Row],[Costo total]]*1.5</f>
        <v>41.5761</v>
      </c>
      <c r="V1178" s="76">
        <v>35</v>
      </c>
      <c r="W1178" s="76">
        <f>STOCK[[#This Row],[Precio Final]]-STOCK[[#This Row],[Costo total]]</f>
        <v>7.2826</v>
      </c>
      <c r="X1178" s="76">
        <f>STOCK[[#This Row],[Ganancia Unitaria]]*STOCK[[#This Row],[Salidas]]</f>
        <v>14.5652</v>
      </c>
      <c r="Y1178" s="76" t="s">
        <v>2449</v>
      </c>
      <c r="AA1178" s="76">
        <f>STOCK[[#This Row],[Costo total]]*STOCK[[#This Row],[Entradas]]</f>
        <v>55.4348</v>
      </c>
      <c r="AB1178" s="76">
        <f>STOCK[[#This Row],[Stock Actual]]*STOCK[[#This Row],[Costo total]]</f>
        <v>0</v>
      </c>
    </row>
    <row r="1179" s="77" customFormat="1" ht="50" hidden="1" customHeight="1" spans="1:28">
      <c r="A1179" s="77" t="s">
        <v>2487</v>
      </c>
      <c r="B1179" s="6"/>
      <c r="C1179" s="77" t="s">
        <v>30</v>
      </c>
      <c r="D1179" s="76" t="s">
        <v>1480</v>
      </c>
      <c r="E1179" s="77" t="s">
        <v>2485</v>
      </c>
      <c r="F1179" s="77" t="s">
        <v>539</v>
      </c>
      <c r="G1179" s="77" t="s">
        <v>2448</v>
      </c>
      <c r="H1179" s="77">
        <f>STOCK[[#This Row],[Precio Final]]</f>
        <v>35</v>
      </c>
      <c r="I1179" s="77">
        <f>STOCK[[#This Row],[Precio Venta Ideal (x1.5)]]</f>
        <v>41.5761</v>
      </c>
      <c r="J1179" s="92">
        <v>2</v>
      </c>
      <c r="K1179" s="92">
        <f>SUMIFS(VENTAS[Cantidad],VENTAS[Código del producto Vendido],STOCK[[#This Row],[Code]])</f>
        <v>1</v>
      </c>
      <c r="L1179" s="92">
        <f>STOCK[[#This Row],[Entradas]]-STOCK[[#This Row],[Salidas]]</f>
        <v>1</v>
      </c>
      <c r="M1179" s="77">
        <f>STOCK[[#This Row],[Precio Final]]*10%</f>
        <v>3.5</v>
      </c>
      <c r="N1179" s="77">
        <v>0</v>
      </c>
      <c r="O1179" s="77">
        <v>0</v>
      </c>
      <c r="P1179" s="77">
        <v>20</v>
      </c>
      <c r="Q1179" s="92">
        <v>540</v>
      </c>
      <c r="R1179" s="77">
        <v>7.81</v>
      </c>
      <c r="S1179" s="77">
        <v>4.2174</v>
      </c>
      <c r="T1179" s="76">
        <f>STOCK[[#This Row],[Costo Unitario (USD)]]+STOCK[[#This Row],[Costo Envío (USD)]]+STOCK[[#This Row],[Comisión 10%]]</f>
        <v>27.7174</v>
      </c>
      <c r="U1179" s="77">
        <f>STOCK[[#This Row],[Costo total]]*1.5</f>
        <v>41.5761</v>
      </c>
      <c r="V1179" s="77">
        <v>35</v>
      </c>
      <c r="W1179" s="77">
        <f>STOCK[[#This Row],[Precio Final]]-STOCK[[#This Row],[Costo total]]</f>
        <v>7.2826</v>
      </c>
      <c r="X1179" s="77">
        <f>STOCK[[#This Row],[Ganancia Unitaria]]*STOCK[[#This Row],[Salidas]]</f>
        <v>7.2826</v>
      </c>
      <c r="Y1179" s="77" t="s">
        <v>2449</v>
      </c>
      <c r="AA1179" s="77">
        <f>STOCK[[#This Row],[Costo total]]*STOCK[[#This Row],[Entradas]]</f>
        <v>55.4348</v>
      </c>
      <c r="AB1179" s="77">
        <f>STOCK[[#This Row],[Stock Actual]]*STOCK[[#This Row],[Costo total]]</f>
        <v>27.7174</v>
      </c>
    </row>
    <row r="1180" s="76" customFormat="1" ht="50" hidden="1" customHeight="1" spans="1:28">
      <c r="A1180" s="76" t="s">
        <v>2488</v>
      </c>
      <c r="B1180" s="6"/>
      <c r="C1180" s="76" t="s">
        <v>30</v>
      </c>
      <c r="D1180" s="76" t="s">
        <v>1480</v>
      </c>
      <c r="E1180" s="76" t="s">
        <v>2485</v>
      </c>
      <c r="F1180" s="76" t="s">
        <v>762</v>
      </c>
      <c r="G1180" s="76" t="s">
        <v>2448</v>
      </c>
      <c r="H1180" s="76">
        <f>STOCK[[#This Row],[Precio Final]]</f>
        <v>35</v>
      </c>
      <c r="I1180" s="76">
        <f>STOCK[[#This Row],[Precio Venta Ideal (x1.5)]]</f>
        <v>41.5761</v>
      </c>
      <c r="J1180" s="91">
        <v>2</v>
      </c>
      <c r="K1180" s="91">
        <f>SUMIFS(VENTAS[Cantidad],VENTAS[Código del producto Vendido],STOCK[[#This Row],[Code]])</f>
        <v>1</v>
      </c>
      <c r="L1180" s="91">
        <f>STOCK[[#This Row],[Entradas]]-STOCK[[#This Row],[Salidas]]</f>
        <v>1</v>
      </c>
      <c r="M1180" s="76">
        <f>STOCK[[#This Row],[Precio Final]]*10%</f>
        <v>3.5</v>
      </c>
      <c r="N1180" s="76">
        <v>0</v>
      </c>
      <c r="O1180" s="76">
        <v>0</v>
      </c>
      <c r="P1180" s="76">
        <v>20</v>
      </c>
      <c r="Q1180" s="91">
        <v>540</v>
      </c>
      <c r="R1180" s="76">
        <v>7.81</v>
      </c>
      <c r="S1180" s="76">
        <v>4.2174</v>
      </c>
      <c r="T1180" s="76">
        <f>STOCK[[#This Row],[Costo Unitario (USD)]]+STOCK[[#This Row],[Costo Envío (USD)]]+STOCK[[#This Row],[Comisión 10%]]</f>
        <v>27.7174</v>
      </c>
      <c r="U1180" s="76">
        <f>STOCK[[#This Row],[Costo total]]*1.5</f>
        <v>41.5761</v>
      </c>
      <c r="V1180" s="76">
        <v>35</v>
      </c>
      <c r="W1180" s="76">
        <f>STOCK[[#This Row],[Precio Final]]-STOCK[[#This Row],[Costo total]]</f>
        <v>7.2826</v>
      </c>
      <c r="X1180" s="76">
        <f>STOCK[[#This Row],[Ganancia Unitaria]]*STOCK[[#This Row],[Salidas]]</f>
        <v>7.2826</v>
      </c>
      <c r="Y1180" s="76" t="s">
        <v>2449</v>
      </c>
      <c r="AA1180" s="76">
        <f>STOCK[[#This Row],[Costo total]]*STOCK[[#This Row],[Entradas]]</f>
        <v>55.4348</v>
      </c>
      <c r="AB1180" s="76">
        <f>STOCK[[#This Row],[Stock Actual]]*STOCK[[#This Row],[Costo total]]</f>
        <v>27.7174</v>
      </c>
    </row>
    <row r="1181" s="77" customFormat="1" ht="50" hidden="1" customHeight="1" spans="1:28">
      <c r="A1181" s="77" t="s">
        <v>2489</v>
      </c>
      <c r="B1181" s="6"/>
      <c r="C1181" s="77" t="s">
        <v>30</v>
      </c>
      <c r="D1181" s="77" t="s">
        <v>173</v>
      </c>
      <c r="E1181" s="77" t="s">
        <v>2490</v>
      </c>
      <c r="F1181" s="77" t="s">
        <v>38</v>
      </c>
      <c r="G1181" s="77" t="s">
        <v>34</v>
      </c>
      <c r="H1181" s="77">
        <f>STOCK[[#This Row],[Precio Final]]</f>
        <v>18</v>
      </c>
      <c r="I1181" s="77">
        <f>STOCK[[#This Row],[Precio Venta Ideal (x1.5)]]</f>
        <v>19.11</v>
      </c>
      <c r="J1181" s="92">
        <v>2</v>
      </c>
      <c r="K1181" s="92">
        <f>SUMIFS(VENTAS[Cantidad],VENTAS[Código del producto Vendido],STOCK[[#This Row],[Code]])</f>
        <v>0</v>
      </c>
      <c r="L1181" s="92">
        <f>STOCK[[#This Row],[Entradas]]-STOCK[[#This Row],[Salidas]]</f>
        <v>2</v>
      </c>
      <c r="M1181" s="77">
        <f>STOCK[[#This Row],[Precio Final]]*10%</f>
        <v>1.8</v>
      </c>
      <c r="N1181" s="77">
        <v>0</v>
      </c>
      <c r="O1181" s="77">
        <v>0</v>
      </c>
      <c r="P1181" s="77">
        <v>8.97</v>
      </c>
      <c r="Q1181" s="92">
        <v>0</v>
      </c>
      <c r="R1181" s="77">
        <v>0</v>
      </c>
      <c r="S1181" s="77">
        <v>1.97</v>
      </c>
      <c r="T1181" s="76">
        <f>STOCK[[#This Row],[Costo Unitario (USD)]]+STOCK[[#This Row],[Costo Envío (USD)]]+STOCK[[#This Row],[Comisión 10%]]</f>
        <v>12.74</v>
      </c>
      <c r="U1181" s="77">
        <f>STOCK[[#This Row],[Costo total]]*1.5</f>
        <v>19.11</v>
      </c>
      <c r="V1181" s="77">
        <v>18</v>
      </c>
      <c r="W1181" s="77">
        <f>STOCK[[#This Row],[Precio Final]]-STOCK[[#This Row],[Costo total]]</f>
        <v>5.26</v>
      </c>
      <c r="X1181" s="77">
        <f>STOCK[[#This Row],[Ganancia Unitaria]]*STOCK[[#This Row],[Salidas]]</f>
        <v>0</v>
      </c>
      <c r="AA1181" s="77">
        <f>STOCK[[#This Row],[Costo total]]*STOCK[[#This Row],[Entradas]]</f>
        <v>25.48</v>
      </c>
      <c r="AB1181" s="77">
        <f>STOCK[[#This Row],[Stock Actual]]*STOCK[[#This Row],[Costo total]]</f>
        <v>25.48</v>
      </c>
    </row>
    <row r="1182" s="76" customFormat="1" ht="50" hidden="1" customHeight="1" spans="1:28">
      <c r="A1182" s="76" t="s">
        <v>2491</v>
      </c>
      <c r="B1182" s="6"/>
      <c r="C1182" s="76" t="s">
        <v>30</v>
      </c>
      <c r="D1182" s="76" t="s">
        <v>173</v>
      </c>
      <c r="E1182" s="76" t="s">
        <v>2490</v>
      </c>
      <c r="F1182" s="76" t="s">
        <v>47</v>
      </c>
      <c r="G1182" s="76" t="s">
        <v>34</v>
      </c>
      <c r="H1182" s="76">
        <f>STOCK[[#This Row],[Precio Final]]</f>
        <v>18</v>
      </c>
      <c r="I1182" s="76">
        <f>STOCK[[#This Row],[Precio Venta Ideal (x1.5)]]</f>
        <v>19.11</v>
      </c>
      <c r="J1182" s="91">
        <v>2</v>
      </c>
      <c r="K1182" s="91">
        <f>SUMIFS(VENTAS[Cantidad],VENTAS[Código del producto Vendido],STOCK[[#This Row],[Code]])</f>
        <v>2</v>
      </c>
      <c r="L1182" s="91">
        <f>STOCK[[#This Row],[Entradas]]-STOCK[[#This Row],[Salidas]]</f>
        <v>0</v>
      </c>
      <c r="M1182" s="76">
        <f>STOCK[[#This Row],[Precio Final]]*10%</f>
        <v>1.8</v>
      </c>
      <c r="N1182" s="76">
        <v>0</v>
      </c>
      <c r="O1182" s="76">
        <v>0</v>
      </c>
      <c r="P1182" s="76">
        <v>8.97</v>
      </c>
      <c r="Q1182" s="91">
        <v>0</v>
      </c>
      <c r="R1182" s="76">
        <v>0</v>
      </c>
      <c r="S1182" s="76">
        <v>1.97</v>
      </c>
      <c r="T1182" s="76">
        <f>STOCK[[#This Row],[Costo Unitario (USD)]]+STOCK[[#This Row],[Costo Envío (USD)]]+STOCK[[#This Row],[Comisión 10%]]</f>
        <v>12.74</v>
      </c>
      <c r="U1182" s="76">
        <f>STOCK[[#This Row],[Costo total]]*1.5</f>
        <v>19.11</v>
      </c>
      <c r="V1182" s="76">
        <v>18</v>
      </c>
      <c r="W1182" s="76">
        <f>STOCK[[#This Row],[Precio Final]]-STOCK[[#This Row],[Costo total]]</f>
        <v>5.26</v>
      </c>
      <c r="X1182" s="76">
        <f>STOCK[[#This Row],[Ganancia Unitaria]]*STOCK[[#This Row],[Salidas]]</f>
        <v>10.52</v>
      </c>
      <c r="AA1182" s="76">
        <f>STOCK[[#This Row],[Costo total]]*STOCK[[#This Row],[Entradas]]</f>
        <v>25.48</v>
      </c>
      <c r="AB1182" s="76">
        <f>STOCK[[#This Row],[Stock Actual]]*STOCK[[#This Row],[Costo total]]</f>
        <v>0</v>
      </c>
    </row>
    <row r="1183" s="77" customFormat="1" ht="50" hidden="1" customHeight="1" spans="1:28">
      <c r="A1183" s="77" t="s">
        <v>2492</v>
      </c>
      <c r="B1183" s="6"/>
      <c r="C1183" s="77" t="s">
        <v>30</v>
      </c>
      <c r="D1183" s="77" t="s">
        <v>173</v>
      </c>
      <c r="E1183" s="77" t="s">
        <v>2490</v>
      </c>
      <c r="F1183" s="77" t="s">
        <v>60</v>
      </c>
      <c r="G1183" s="77" t="s">
        <v>34</v>
      </c>
      <c r="H1183" s="77">
        <f>STOCK[[#This Row],[Precio Final]]</f>
        <v>18</v>
      </c>
      <c r="I1183" s="77">
        <f>STOCK[[#This Row],[Precio Venta Ideal (x1.5)]]</f>
        <v>19.11</v>
      </c>
      <c r="J1183" s="92">
        <v>3</v>
      </c>
      <c r="K1183" s="92">
        <f>SUMIFS(VENTAS[Cantidad],VENTAS[Código del producto Vendido],STOCK[[#This Row],[Code]])</f>
        <v>1</v>
      </c>
      <c r="L1183" s="92">
        <f>STOCK[[#This Row],[Entradas]]-STOCK[[#This Row],[Salidas]]</f>
        <v>2</v>
      </c>
      <c r="M1183" s="77">
        <f>STOCK[[#This Row],[Precio Final]]*10%</f>
        <v>1.8</v>
      </c>
      <c r="N1183" s="77">
        <v>0</v>
      </c>
      <c r="O1183" s="77">
        <v>0</v>
      </c>
      <c r="P1183" s="77">
        <v>8.97</v>
      </c>
      <c r="Q1183" s="92">
        <v>0</v>
      </c>
      <c r="R1183" s="77">
        <v>0</v>
      </c>
      <c r="S1183" s="77">
        <v>1.97</v>
      </c>
      <c r="T1183" s="76">
        <f>STOCK[[#This Row],[Costo Unitario (USD)]]+STOCK[[#This Row],[Costo Envío (USD)]]+STOCK[[#This Row],[Comisión 10%]]</f>
        <v>12.74</v>
      </c>
      <c r="U1183" s="77">
        <f>STOCK[[#This Row],[Costo total]]*1.5</f>
        <v>19.11</v>
      </c>
      <c r="V1183" s="77">
        <v>18</v>
      </c>
      <c r="W1183" s="77">
        <f>STOCK[[#This Row],[Precio Final]]-STOCK[[#This Row],[Costo total]]</f>
        <v>5.26</v>
      </c>
      <c r="X1183" s="77">
        <f>STOCK[[#This Row],[Ganancia Unitaria]]*STOCK[[#This Row],[Salidas]]</f>
        <v>5.26</v>
      </c>
      <c r="AA1183" s="77">
        <f>STOCK[[#This Row],[Costo total]]*STOCK[[#This Row],[Entradas]]</f>
        <v>38.22</v>
      </c>
      <c r="AB1183" s="77">
        <f>STOCK[[#This Row],[Stock Actual]]*STOCK[[#This Row],[Costo total]]</f>
        <v>25.48</v>
      </c>
    </row>
    <row r="1184" s="76" customFormat="1" ht="50" hidden="1" customHeight="1" spans="1:28">
      <c r="A1184" s="76" t="s">
        <v>2493</v>
      </c>
      <c r="B1184" s="6"/>
      <c r="C1184" s="76" t="s">
        <v>30</v>
      </c>
      <c r="D1184" s="76" t="s">
        <v>487</v>
      </c>
      <c r="E1184" s="76" t="s">
        <v>2494</v>
      </c>
      <c r="F1184" s="76" t="s">
        <v>2495</v>
      </c>
      <c r="G1184" s="76" t="s">
        <v>34</v>
      </c>
      <c r="H1184" s="76">
        <f>STOCK[[#This Row],[Precio Final]]</f>
        <v>25</v>
      </c>
      <c r="I1184" s="76">
        <f>STOCK[[#This Row],[Precio Venta Ideal (x1.5)]]</f>
        <v>20.835</v>
      </c>
      <c r="J1184" s="91">
        <v>3</v>
      </c>
      <c r="K1184" s="91">
        <f>SUMIFS(VENTAS[Cantidad],VENTAS[Código del producto Vendido],STOCK[[#This Row],[Code]])</f>
        <v>2</v>
      </c>
      <c r="L1184" s="91">
        <f>STOCK[[#This Row],[Entradas]]-STOCK[[#This Row],[Salidas]]</f>
        <v>1</v>
      </c>
      <c r="M1184" s="76">
        <f>STOCK[[#This Row],[Precio Final]]*10%</f>
        <v>2.5</v>
      </c>
      <c r="N1184" s="76">
        <v>0</v>
      </c>
      <c r="O1184" s="76">
        <v>0</v>
      </c>
      <c r="P1184" s="76">
        <v>9.42</v>
      </c>
      <c r="Q1184" s="91">
        <v>0</v>
      </c>
      <c r="R1184" s="76">
        <v>0</v>
      </c>
      <c r="S1184" s="76">
        <v>1.97</v>
      </c>
      <c r="T1184" s="76">
        <f>STOCK[[#This Row],[Costo Unitario (USD)]]+STOCK[[#This Row],[Costo Envío (USD)]]+STOCK[[#This Row],[Comisión 10%]]</f>
        <v>13.89</v>
      </c>
      <c r="U1184" s="76">
        <f>STOCK[[#This Row],[Costo total]]*1.5</f>
        <v>20.835</v>
      </c>
      <c r="V1184" s="76">
        <v>25</v>
      </c>
      <c r="W1184" s="76">
        <f>STOCK[[#This Row],[Precio Final]]-STOCK[[#This Row],[Costo total]]</f>
        <v>11.11</v>
      </c>
      <c r="X1184" s="76">
        <f>STOCK[[#This Row],[Ganancia Unitaria]]*STOCK[[#This Row],[Salidas]]</f>
        <v>22.22</v>
      </c>
      <c r="AA1184" s="76">
        <f>STOCK[[#This Row],[Costo total]]*STOCK[[#This Row],[Entradas]]</f>
        <v>41.67</v>
      </c>
      <c r="AB1184" s="76">
        <f>STOCK[[#This Row],[Stock Actual]]*STOCK[[#This Row],[Costo total]]</f>
        <v>13.89</v>
      </c>
    </row>
    <row r="1185" s="77" customFormat="1" ht="50" hidden="1" customHeight="1" spans="1:28">
      <c r="A1185" s="77" t="s">
        <v>2496</v>
      </c>
      <c r="B1185" s="6"/>
      <c r="C1185" s="77" t="s">
        <v>30</v>
      </c>
      <c r="D1185" s="77" t="s">
        <v>487</v>
      </c>
      <c r="E1185" s="77" t="s">
        <v>2497</v>
      </c>
      <c r="G1185" s="77" t="s">
        <v>34</v>
      </c>
      <c r="H1185" s="77">
        <f>STOCK[[#This Row],[Precio Final]]</f>
        <v>25</v>
      </c>
      <c r="I1185" s="77">
        <f>STOCK[[#This Row],[Precio Venta Ideal (x1.5)]]</f>
        <v>21.255</v>
      </c>
      <c r="J1185" s="92">
        <v>4</v>
      </c>
      <c r="K1185" s="92">
        <f>SUMIFS(VENTAS[Cantidad],VENTAS[Código del producto Vendido],STOCK[[#This Row],[Code]])</f>
        <v>4</v>
      </c>
      <c r="L1185" s="92">
        <f>STOCK[[#This Row],[Entradas]]-STOCK[[#This Row],[Salidas]]</f>
        <v>0</v>
      </c>
      <c r="M1185" s="77">
        <f>STOCK[[#This Row],[Precio Final]]*10%</f>
        <v>2.5</v>
      </c>
      <c r="N1185" s="77">
        <v>0</v>
      </c>
      <c r="O1185" s="77">
        <v>0</v>
      </c>
      <c r="P1185" s="77">
        <v>9.7</v>
      </c>
      <c r="Q1185" s="92">
        <v>0</v>
      </c>
      <c r="R1185" s="77">
        <v>0</v>
      </c>
      <c r="S1185" s="77">
        <v>1.97</v>
      </c>
      <c r="T1185" s="76">
        <f>STOCK[[#This Row],[Costo Unitario (USD)]]+STOCK[[#This Row],[Costo Envío (USD)]]+STOCK[[#This Row],[Comisión 10%]]</f>
        <v>14.17</v>
      </c>
      <c r="U1185" s="77">
        <f>STOCK[[#This Row],[Costo total]]*1.5</f>
        <v>21.255</v>
      </c>
      <c r="V1185" s="77">
        <v>25</v>
      </c>
      <c r="W1185" s="77">
        <f>STOCK[[#This Row],[Precio Final]]-STOCK[[#This Row],[Costo total]]</f>
        <v>10.83</v>
      </c>
      <c r="X1185" s="77">
        <f>STOCK[[#This Row],[Ganancia Unitaria]]*STOCK[[#This Row],[Salidas]]</f>
        <v>43.32</v>
      </c>
      <c r="AA1185" s="77">
        <f>STOCK[[#This Row],[Costo total]]*STOCK[[#This Row],[Entradas]]</f>
        <v>56.68</v>
      </c>
      <c r="AB1185" s="77">
        <f>STOCK[[#This Row],[Stock Actual]]*STOCK[[#This Row],[Costo total]]</f>
        <v>0</v>
      </c>
    </row>
    <row r="1186" s="76" customFormat="1" ht="50" hidden="1" customHeight="1" spans="1:28">
      <c r="A1186" s="76" t="s">
        <v>2498</v>
      </c>
      <c r="B1186" s="6"/>
      <c r="C1186" s="76" t="s">
        <v>30</v>
      </c>
      <c r="D1186" s="76" t="s">
        <v>487</v>
      </c>
      <c r="E1186" s="76" t="s">
        <v>2499</v>
      </c>
      <c r="G1186" s="76" t="s">
        <v>34</v>
      </c>
      <c r="H1186" s="76">
        <f>STOCK[[#This Row],[Precio Final]]</f>
        <v>22</v>
      </c>
      <c r="I1186" s="76">
        <f>STOCK[[#This Row],[Precio Venta Ideal (x1.5)]]</f>
        <v>20.25</v>
      </c>
      <c r="J1186" s="91">
        <v>3</v>
      </c>
      <c r="K1186" s="91">
        <f>SUMIFS(VENTAS[Cantidad],VENTAS[Código del producto Vendido],STOCK[[#This Row],[Code]])</f>
        <v>3</v>
      </c>
      <c r="L1186" s="91">
        <f>STOCK[[#This Row],[Entradas]]-STOCK[[#This Row],[Salidas]]</f>
        <v>0</v>
      </c>
      <c r="M1186" s="76">
        <f>STOCK[[#This Row],[Precio Final]]*10%</f>
        <v>2.2</v>
      </c>
      <c r="N1186" s="76">
        <v>0</v>
      </c>
      <c r="O1186" s="76">
        <v>0</v>
      </c>
      <c r="P1186" s="76">
        <v>9.33</v>
      </c>
      <c r="Q1186" s="91">
        <v>0</v>
      </c>
      <c r="R1186" s="76">
        <v>0</v>
      </c>
      <c r="S1186" s="76">
        <v>1.97</v>
      </c>
      <c r="T1186" s="76">
        <f>STOCK[[#This Row],[Costo Unitario (USD)]]+STOCK[[#This Row],[Costo Envío (USD)]]+STOCK[[#This Row],[Comisión 10%]]</f>
        <v>13.5</v>
      </c>
      <c r="U1186" s="76">
        <f>STOCK[[#This Row],[Costo total]]*1.5</f>
        <v>20.25</v>
      </c>
      <c r="V1186" s="76">
        <v>22</v>
      </c>
      <c r="W1186" s="76">
        <f>STOCK[[#This Row],[Precio Final]]-STOCK[[#This Row],[Costo total]]</f>
        <v>8.5</v>
      </c>
      <c r="X1186" s="76">
        <f>STOCK[[#This Row],[Ganancia Unitaria]]*STOCK[[#This Row],[Salidas]]</f>
        <v>25.5</v>
      </c>
      <c r="AA1186" s="76">
        <f>STOCK[[#This Row],[Costo total]]*STOCK[[#This Row],[Entradas]]</f>
        <v>40.5</v>
      </c>
      <c r="AB1186" s="76">
        <f>STOCK[[#This Row],[Stock Actual]]*STOCK[[#This Row],[Costo total]]</f>
        <v>0</v>
      </c>
    </row>
    <row r="1187" s="77" customFormat="1" ht="50" hidden="1" customHeight="1" spans="1:28">
      <c r="A1187" s="77" t="s">
        <v>2500</v>
      </c>
      <c r="B1187" s="6"/>
      <c r="C1187" s="77" t="s">
        <v>30</v>
      </c>
      <c r="D1187" s="77" t="s">
        <v>173</v>
      </c>
      <c r="E1187" s="77" t="s">
        <v>2501</v>
      </c>
      <c r="F1187" s="77" t="s">
        <v>60</v>
      </c>
      <c r="G1187" s="77" t="s">
        <v>34</v>
      </c>
      <c r="H1187" s="77">
        <f>STOCK[[#This Row],[Precio Final]]</f>
        <v>20</v>
      </c>
      <c r="I1187" s="77">
        <f>STOCK[[#This Row],[Precio Venta Ideal (x1.5)]]</f>
        <v>19.38</v>
      </c>
      <c r="J1187" s="92">
        <v>1</v>
      </c>
      <c r="K1187" s="92">
        <f>SUMIFS(VENTAS[Cantidad],VENTAS[Código del producto Vendido],STOCK[[#This Row],[Code]])</f>
        <v>0</v>
      </c>
      <c r="L1187" s="92">
        <f>STOCK[[#This Row],[Entradas]]-STOCK[[#This Row],[Salidas]]</f>
        <v>1</v>
      </c>
      <c r="M1187" s="77">
        <f>STOCK[[#This Row],[Precio Final]]*10%</f>
        <v>2</v>
      </c>
      <c r="N1187" s="77">
        <v>0</v>
      </c>
      <c r="O1187" s="77">
        <v>0</v>
      </c>
      <c r="P1187" s="77">
        <v>8.95</v>
      </c>
      <c r="Q1187" s="92">
        <v>0</v>
      </c>
      <c r="R1187" s="77">
        <v>0</v>
      </c>
      <c r="S1187" s="77">
        <v>1.97</v>
      </c>
      <c r="T1187" s="76">
        <f>STOCK[[#This Row],[Costo Unitario (USD)]]+STOCK[[#This Row],[Costo Envío (USD)]]+STOCK[[#This Row],[Comisión 10%]]</f>
        <v>12.92</v>
      </c>
      <c r="U1187" s="77">
        <f>STOCK[[#This Row],[Costo total]]*1.5</f>
        <v>19.38</v>
      </c>
      <c r="V1187" s="77">
        <v>20</v>
      </c>
      <c r="W1187" s="77">
        <f>STOCK[[#This Row],[Precio Final]]-STOCK[[#This Row],[Costo total]]</f>
        <v>7.08</v>
      </c>
      <c r="X1187" s="77">
        <f>STOCK[[#This Row],[Ganancia Unitaria]]*STOCK[[#This Row],[Salidas]]</f>
        <v>0</v>
      </c>
      <c r="AA1187" s="77">
        <f>STOCK[[#This Row],[Costo total]]*STOCK[[#This Row],[Entradas]]</f>
        <v>12.92</v>
      </c>
      <c r="AB1187" s="77">
        <f>STOCK[[#This Row],[Stock Actual]]*STOCK[[#This Row],[Costo total]]</f>
        <v>12.92</v>
      </c>
    </row>
    <row r="1188" s="76" customFormat="1" ht="50" hidden="1" customHeight="1" spans="1:28">
      <c r="A1188" s="76" t="s">
        <v>2502</v>
      </c>
      <c r="B1188" s="6"/>
      <c r="C1188" s="76" t="s">
        <v>30</v>
      </c>
      <c r="D1188" s="76" t="s">
        <v>173</v>
      </c>
      <c r="E1188" s="76" t="s">
        <v>2501</v>
      </c>
      <c r="F1188" s="76" t="s">
        <v>47</v>
      </c>
      <c r="G1188" s="76" t="s">
        <v>34</v>
      </c>
      <c r="H1188" s="76">
        <f>STOCK[[#This Row],[Precio Final]]</f>
        <v>20</v>
      </c>
      <c r="I1188" s="76">
        <f>STOCK[[#This Row],[Precio Venta Ideal (x1.5)]]</f>
        <v>19.38</v>
      </c>
      <c r="J1188" s="91">
        <v>1</v>
      </c>
      <c r="K1188" s="91">
        <f>SUMIFS(VENTAS[Cantidad],VENTAS[Código del producto Vendido],STOCK[[#This Row],[Code]])</f>
        <v>0</v>
      </c>
      <c r="L1188" s="91">
        <f>STOCK[[#This Row],[Entradas]]-STOCK[[#This Row],[Salidas]]</f>
        <v>1</v>
      </c>
      <c r="M1188" s="76">
        <f>STOCK[[#This Row],[Precio Final]]*10%</f>
        <v>2</v>
      </c>
      <c r="N1188" s="76">
        <v>0</v>
      </c>
      <c r="O1188" s="76">
        <v>0</v>
      </c>
      <c r="P1188" s="76">
        <v>8.95</v>
      </c>
      <c r="Q1188" s="91">
        <v>0</v>
      </c>
      <c r="R1188" s="76">
        <v>0</v>
      </c>
      <c r="S1188" s="76">
        <v>1.97</v>
      </c>
      <c r="T1188" s="76">
        <f>STOCK[[#This Row],[Costo Unitario (USD)]]+STOCK[[#This Row],[Costo Envío (USD)]]+STOCK[[#This Row],[Comisión 10%]]</f>
        <v>12.92</v>
      </c>
      <c r="U1188" s="76">
        <f>STOCK[[#This Row],[Costo total]]*1.5</f>
        <v>19.38</v>
      </c>
      <c r="V1188" s="76">
        <v>20</v>
      </c>
      <c r="W1188" s="76">
        <f>STOCK[[#This Row],[Precio Final]]-STOCK[[#This Row],[Costo total]]</f>
        <v>7.08</v>
      </c>
      <c r="X1188" s="76">
        <f>STOCK[[#This Row],[Ganancia Unitaria]]*STOCK[[#This Row],[Salidas]]</f>
        <v>0</v>
      </c>
      <c r="AA1188" s="76">
        <f>STOCK[[#This Row],[Costo total]]*STOCK[[#This Row],[Entradas]]</f>
        <v>12.92</v>
      </c>
      <c r="AB1188" s="76">
        <f>STOCK[[#This Row],[Stock Actual]]*STOCK[[#This Row],[Costo total]]</f>
        <v>12.92</v>
      </c>
    </row>
    <row r="1189" s="77" customFormat="1" ht="50" hidden="1" customHeight="1" spans="1:28">
      <c r="A1189" s="77" t="s">
        <v>2503</v>
      </c>
      <c r="B1189" s="6"/>
      <c r="C1189" s="77" t="s">
        <v>30</v>
      </c>
      <c r="D1189" s="77" t="s">
        <v>173</v>
      </c>
      <c r="E1189" s="77" t="s">
        <v>2501</v>
      </c>
      <c r="F1189" s="77" t="s">
        <v>44</v>
      </c>
      <c r="G1189" s="77" t="s">
        <v>34</v>
      </c>
      <c r="H1189" s="77">
        <f>STOCK[[#This Row],[Precio Final]]</f>
        <v>20</v>
      </c>
      <c r="I1189" s="77">
        <f>STOCK[[#This Row],[Precio Venta Ideal (x1.5)]]</f>
        <v>19.38</v>
      </c>
      <c r="J1189" s="92">
        <v>1</v>
      </c>
      <c r="K1189" s="92">
        <f>SUMIFS(VENTAS[Cantidad],VENTAS[Código del producto Vendido],STOCK[[#This Row],[Code]])</f>
        <v>1</v>
      </c>
      <c r="L1189" s="92">
        <f>STOCK[[#This Row],[Entradas]]-STOCK[[#This Row],[Salidas]]</f>
        <v>0</v>
      </c>
      <c r="M1189" s="77">
        <f>STOCK[[#This Row],[Precio Final]]*10%</f>
        <v>2</v>
      </c>
      <c r="N1189" s="77">
        <v>0</v>
      </c>
      <c r="O1189" s="77">
        <v>0</v>
      </c>
      <c r="P1189" s="77">
        <v>8.95</v>
      </c>
      <c r="Q1189" s="92">
        <v>0</v>
      </c>
      <c r="R1189" s="77">
        <v>0</v>
      </c>
      <c r="S1189" s="77">
        <v>1.97</v>
      </c>
      <c r="T1189" s="76">
        <f>STOCK[[#This Row],[Costo Unitario (USD)]]+STOCK[[#This Row],[Costo Envío (USD)]]+STOCK[[#This Row],[Comisión 10%]]</f>
        <v>12.92</v>
      </c>
      <c r="U1189" s="77">
        <f>STOCK[[#This Row],[Costo total]]*1.5</f>
        <v>19.38</v>
      </c>
      <c r="V1189" s="77">
        <v>20</v>
      </c>
      <c r="W1189" s="77">
        <f>STOCK[[#This Row],[Precio Final]]-STOCK[[#This Row],[Costo total]]</f>
        <v>7.08</v>
      </c>
      <c r="X1189" s="77">
        <f>STOCK[[#This Row],[Ganancia Unitaria]]*STOCK[[#This Row],[Salidas]]</f>
        <v>7.08</v>
      </c>
      <c r="AA1189" s="77">
        <f>STOCK[[#This Row],[Costo total]]*STOCK[[#This Row],[Entradas]]</f>
        <v>12.92</v>
      </c>
      <c r="AB1189" s="77">
        <f>STOCK[[#This Row],[Stock Actual]]*STOCK[[#This Row],[Costo total]]</f>
        <v>0</v>
      </c>
    </row>
    <row r="1190" s="76" customFormat="1" ht="50" hidden="1" customHeight="1" spans="1:28">
      <c r="A1190" s="76" t="s">
        <v>2504</v>
      </c>
      <c r="B1190" s="6"/>
      <c r="C1190" s="76" t="s">
        <v>30</v>
      </c>
      <c r="D1190" s="76" t="s">
        <v>151</v>
      </c>
      <c r="E1190" s="76" t="s">
        <v>2505</v>
      </c>
      <c r="F1190" s="76" t="s">
        <v>38</v>
      </c>
      <c r="G1190" s="76" t="s">
        <v>34</v>
      </c>
      <c r="H1190" s="76">
        <f>STOCK[[#This Row],[Precio Final]]</f>
        <v>30</v>
      </c>
      <c r="I1190" s="76">
        <f>STOCK[[#This Row],[Precio Venta Ideal (x1.5)]]</f>
        <v>33.285</v>
      </c>
      <c r="J1190" s="91">
        <v>1</v>
      </c>
      <c r="K1190" s="91">
        <f>SUMIFS(VENTAS[Cantidad],VENTAS[Código del producto Vendido],STOCK[[#This Row],[Code]])</f>
        <v>0</v>
      </c>
      <c r="L1190" s="91">
        <f>STOCK[[#This Row],[Entradas]]-STOCK[[#This Row],[Salidas]]</f>
        <v>1</v>
      </c>
      <c r="M1190" s="76">
        <f>STOCK[[#This Row],[Precio Final]]*10%</f>
        <v>3</v>
      </c>
      <c r="N1190" s="76">
        <v>0</v>
      </c>
      <c r="O1190" s="76">
        <v>0</v>
      </c>
      <c r="P1190" s="76">
        <v>17.22</v>
      </c>
      <c r="Q1190" s="91">
        <v>0</v>
      </c>
      <c r="R1190" s="76">
        <v>0</v>
      </c>
      <c r="S1190" s="76">
        <v>1.97</v>
      </c>
      <c r="T1190" s="76">
        <f>STOCK[[#This Row],[Costo Unitario (USD)]]+STOCK[[#This Row],[Costo Envío (USD)]]+STOCK[[#This Row],[Comisión 10%]]</f>
        <v>22.19</v>
      </c>
      <c r="U1190" s="76">
        <f>STOCK[[#This Row],[Costo total]]*1.5</f>
        <v>33.285</v>
      </c>
      <c r="V1190" s="76">
        <v>30</v>
      </c>
      <c r="W1190" s="76">
        <f>STOCK[[#This Row],[Precio Final]]-STOCK[[#This Row],[Costo total]]</f>
        <v>7.81</v>
      </c>
      <c r="X1190" s="76">
        <f>STOCK[[#This Row],[Ganancia Unitaria]]*STOCK[[#This Row],[Salidas]]</f>
        <v>0</v>
      </c>
      <c r="AA1190" s="76">
        <f>STOCK[[#This Row],[Costo total]]*STOCK[[#This Row],[Entradas]]</f>
        <v>22.19</v>
      </c>
      <c r="AB1190" s="76">
        <f>STOCK[[#This Row],[Stock Actual]]*STOCK[[#This Row],[Costo total]]</f>
        <v>22.19</v>
      </c>
    </row>
    <row r="1191" s="77" customFormat="1" ht="50" hidden="1" customHeight="1" spans="1:28">
      <c r="A1191" s="77" t="s">
        <v>2506</v>
      </c>
      <c r="B1191" s="6"/>
      <c r="C1191" s="77" t="s">
        <v>30</v>
      </c>
      <c r="D1191" s="77" t="s">
        <v>151</v>
      </c>
      <c r="E1191" s="77" t="s">
        <v>2505</v>
      </c>
      <c r="F1191" s="77" t="s">
        <v>60</v>
      </c>
      <c r="G1191" s="77" t="s">
        <v>34</v>
      </c>
      <c r="H1191" s="77">
        <f>STOCK[[#This Row],[Precio Final]]</f>
        <v>30</v>
      </c>
      <c r="I1191" s="77">
        <f>STOCK[[#This Row],[Precio Venta Ideal (x1.5)]]</f>
        <v>33.285</v>
      </c>
      <c r="J1191" s="92">
        <v>1</v>
      </c>
      <c r="K1191" s="92">
        <f>SUMIFS(VENTAS[Cantidad],VENTAS[Código del producto Vendido],STOCK[[#This Row],[Code]])</f>
        <v>1</v>
      </c>
      <c r="L1191" s="92">
        <f>STOCK[[#This Row],[Entradas]]-STOCK[[#This Row],[Salidas]]</f>
        <v>0</v>
      </c>
      <c r="M1191" s="77">
        <f>STOCK[[#This Row],[Precio Final]]*10%</f>
        <v>3</v>
      </c>
      <c r="N1191" s="77">
        <v>0</v>
      </c>
      <c r="O1191" s="77">
        <v>0</v>
      </c>
      <c r="P1191" s="77">
        <v>17.22</v>
      </c>
      <c r="Q1191" s="92">
        <v>0</v>
      </c>
      <c r="R1191" s="77">
        <v>0</v>
      </c>
      <c r="S1191" s="77">
        <v>1.97</v>
      </c>
      <c r="T1191" s="76">
        <f>STOCK[[#This Row],[Costo Unitario (USD)]]+STOCK[[#This Row],[Costo Envío (USD)]]+STOCK[[#This Row],[Comisión 10%]]</f>
        <v>22.19</v>
      </c>
      <c r="U1191" s="77">
        <f>STOCK[[#This Row],[Costo total]]*1.5</f>
        <v>33.285</v>
      </c>
      <c r="V1191" s="77">
        <v>30</v>
      </c>
      <c r="W1191" s="77">
        <f>STOCK[[#This Row],[Precio Final]]-STOCK[[#This Row],[Costo total]]</f>
        <v>7.81</v>
      </c>
      <c r="X1191" s="77">
        <f>STOCK[[#This Row],[Ganancia Unitaria]]*STOCK[[#This Row],[Salidas]]</f>
        <v>7.81</v>
      </c>
      <c r="AA1191" s="77">
        <f>STOCK[[#This Row],[Costo total]]*STOCK[[#This Row],[Entradas]]</f>
        <v>22.19</v>
      </c>
      <c r="AB1191" s="77">
        <f>STOCK[[#This Row],[Stock Actual]]*STOCK[[#This Row],[Costo total]]</f>
        <v>0</v>
      </c>
    </row>
    <row r="1192" s="76" customFormat="1" ht="50" hidden="1" customHeight="1" spans="1:28">
      <c r="A1192" s="76" t="s">
        <v>2507</v>
      </c>
      <c r="B1192" s="6"/>
      <c r="C1192" s="76" t="s">
        <v>30</v>
      </c>
      <c r="D1192" s="76" t="s">
        <v>151</v>
      </c>
      <c r="E1192" s="76" t="s">
        <v>2505</v>
      </c>
      <c r="F1192" s="76" t="s">
        <v>47</v>
      </c>
      <c r="G1192" s="76" t="s">
        <v>34</v>
      </c>
      <c r="H1192" s="76">
        <f>STOCK[[#This Row],[Precio Final]]</f>
        <v>30</v>
      </c>
      <c r="I1192" s="76">
        <f>STOCK[[#This Row],[Precio Venta Ideal (x1.5)]]</f>
        <v>33.285</v>
      </c>
      <c r="J1192" s="91">
        <v>1</v>
      </c>
      <c r="K1192" s="91">
        <f>SUMIFS(VENTAS[Cantidad],VENTAS[Código del producto Vendido],STOCK[[#This Row],[Code]])</f>
        <v>1</v>
      </c>
      <c r="L1192" s="91">
        <f>STOCK[[#This Row],[Entradas]]-STOCK[[#This Row],[Salidas]]</f>
        <v>0</v>
      </c>
      <c r="M1192" s="76">
        <f>STOCK[[#This Row],[Precio Final]]*10%</f>
        <v>3</v>
      </c>
      <c r="N1192" s="76">
        <v>0</v>
      </c>
      <c r="O1192" s="76">
        <v>0</v>
      </c>
      <c r="P1192" s="76">
        <v>17.22</v>
      </c>
      <c r="Q1192" s="91">
        <v>0</v>
      </c>
      <c r="R1192" s="76">
        <v>0</v>
      </c>
      <c r="S1192" s="76">
        <v>1.97</v>
      </c>
      <c r="T1192" s="76">
        <f>STOCK[[#This Row],[Costo Unitario (USD)]]+STOCK[[#This Row],[Costo Envío (USD)]]+STOCK[[#This Row],[Comisión 10%]]</f>
        <v>22.19</v>
      </c>
      <c r="U1192" s="76">
        <f>STOCK[[#This Row],[Costo total]]*1.5</f>
        <v>33.285</v>
      </c>
      <c r="V1192" s="76">
        <v>30</v>
      </c>
      <c r="W1192" s="76">
        <f>STOCK[[#This Row],[Precio Final]]-STOCK[[#This Row],[Costo total]]</f>
        <v>7.81</v>
      </c>
      <c r="X1192" s="76">
        <f>STOCK[[#This Row],[Ganancia Unitaria]]*STOCK[[#This Row],[Salidas]]</f>
        <v>7.81</v>
      </c>
      <c r="AA1192" s="76">
        <f>STOCK[[#This Row],[Costo total]]*STOCK[[#This Row],[Entradas]]</f>
        <v>22.19</v>
      </c>
      <c r="AB1192" s="76">
        <f>STOCK[[#This Row],[Stock Actual]]*STOCK[[#This Row],[Costo total]]</f>
        <v>0</v>
      </c>
    </row>
    <row r="1193" s="77" customFormat="1" ht="50" hidden="1" customHeight="1" spans="1:28">
      <c r="A1193" s="77" t="s">
        <v>2508</v>
      </c>
      <c r="B1193" s="6"/>
      <c r="C1193" s="77" t="s">
        <v>30</v>
      </c>
      <c r="D1193" s="77" t="s">
        <v>173</v>
      </c>
      <c r="E1193" s="77" t="s">
        <v>2509</v>
      </c>
      <c r="F1193" s="77" t="s">
        <v>60</v>
      </c>
      <c r="G1193" s="77" t="s">
        <v>34</v>
      </c>
      <c r="H1193" s="77">
        <f>STOCK[[#This Row],[Precio Final]]</f>
        <v>22</v>
      </c>
      <c r="I1193" s="77">
        <f>STOCK[[#This Row],[Precio Venta Ideal (x1.5)]]</f>
        <v>20.25</v>
      </c>
      <c r="J1193" s="92">
        <v>2</v>
      </c>
      <c r="K1193" s="92">
        <f>SUMIFS(VENTAS[Cantidad],VENTAS[Código del producto Vendido],STOCK[[#This Row],[Code]])</f>
        <v>2</v>
      </c>
      <c r="L1193" s="92">
        <f>STOCK[[#This Row],[Entradas]]-STOCK[[#This Row],[Salidas]]</f>
        <v>0</v>
      </c>
      <c r="M1193" s="77">
        <f>STOCK[[#This Row],[Precio Final]]*10%</f>
        <v>2.2</v>
      </c>
      <c r="N1193" s="77">
        <v>0</v>
      </c>
      <c r="O1193" s="77">
        <v>0</v>
      </c>
      <c r="P1193" s="77">
        <v>9.33</v>
      </c>
      <c r="Q1193" s="92">
        <v>0</v>
      </c>
      <c r="R1193" s="77">
        <v>0</v>
      </c>
      <c r="S1193" s="77">
        <v>1.97</v>
      </c>
      <c r="T1193" s="76">
        <f>STOCK[[#This Row],[Costo Unitario (USD)]]+STOCK[[#This Row],[Costo Envío (USD)]]+STOCK[[#This Row],[Comisión 10%]]</f>
        <v>13.5</v>
      </c>
      <c r="U1193" s="77">
        <f>STOCK[[#This Row],[Costo total]]*1.5</f>
        <v>20.25</v>
      </c>
      <c r="V1193" s="77">
        <v>22</v>
      </c>
      <c r="W1193" s="77">
        <f>STOCK[[#This Row],[Precio Final]]-STOCK[[#This Row],[Costo total]]</f>
        <v>8.5</v>
      </c>
      <c r="X1193" s="77">
        <f>STOCK[[#This Row],[Ganancia Unitaria]]*STOCK[[#This Row],[Salidas]]</f>
        <v>17</v>
      </c>
      <c r="AA1193" s="77">
        <f>STOCK[[#This Row],[Costo total]]*STOCK[[#This Row],[Entradas]]</f>
        <v>27</v>
      </c>
      <c r="AB1193" s="77">
        <f>STOCK[[#This Row],[Stock Actual]]*STOCK[[#This Row],[Costo total]]</f>
        <v>0</v>
      </c>
    </row>
    <row r="1194" s="76" customFormat="1" ht="50" hidden="1" customHeight="1" spans="1:28">
      <c r="A1194" s="76" t="s">
        <v>2510</v>
      </c>
      <c r="B1194" s="6"/>
      <c r="C1194" s="76" t="s">
        <v>30</v>
      </c>
      <c r="D1194" s="76" t="s">
        <v>173</v>
      </c>
      <c r="E1194" s="76" t="s">
        <v>2509</v>
      </c>
      <c r="F1194" s="76" t="s">
        <v>47</v>
      </c>
      <c r="G1194" s="76" t="s">
        <v>34</v>
      </c>
      <c r="H1194" s="76">
        <f>STOCK[[#This Row],[Precio Final]]</f>
        <v>22</v>
      </c>
      <c r="I1194" s="76">
        <f>STOCK[[#This Row],[Precio Venta Ideal (x1.5)]]</f>
        <v>20.25</v>
      </c>
      <c r="J1194" s="91">
        <v>2</v>
      </c>
      <c r="K1194" s="91">
        <f>SUMIFS(VENTAS[Cantidad],VENTAS[Código del producto Vendido],STOCK[[#This Row],[Code]])</f>
        <v>0</v>
      </c>
      <c r="L1194" s="91">
        <f>STOCK[[#This Row],[Entradas]]-STOCK[[#This Row],[Salidas]]</f>
        <v>2</v>
      </c>
      <c r="M1194" s="76">
        <f>STOCK[[#This Row],[Precio Final]]*10%</f>
        <v>2.2</v>
      </c>
      <c r="N1194" s="76">
        <v>0</v>
      </c>
      <c r="O1194" s="76">
        <v>0</v>
      </c>
      <c r="P1194" s="76">
        <v>9.33</v>
      </c>
      <c r="Q1194" s="91">
        <v>0</v>
      </c>
      <c r="R1194" s="76">
        <v>0</v>
      </c>
      <c r="S1194" s="76">
        <v>1.97</v>
      </c>
      <c r="T1194" s="76">
        <f>STOCK[[#This Row],[Costo Unitario (USD)]]+STOCK[[#This Row],[Costo Envío (USD)]]+STOCK[[#This Row],[Comisión 10%]]</f>
        <v>13.5</v>
      </c>
      <c r="U1194" s="76">
        <f>STOCK[[#This Row],[Costo total]]*1.5</f>
        <v>20.25</v>
      </c>
      <c r="V1194" s="76">
        <v>22</v>
      </c>
      <c r="W1194" s="76">
        <f>STOCK[[#This Row],[Precio Final]]-STOCK[[#This Row],[Costo total]]</f>
        <v>8.5</v>
      </c>
      <c r="X1194" s="76">
        <f>STOCK[[#This Row],[Ganancia Unitaria]]*STOCK[[#This Row],[Salidas]]</f>
        <v>0</v>
      </c>
      <c r="AA1194" s="76">
        <f>STOCK[[#This Row],[Costo total]]*STOCK[[#This Row],[Entradas]]</f>
        <v>27</v>
      </c>
      <c r="AB1194" s="76">
        <f>STOCK[[#This Row],[Stock Actual]]*STOCK[[#This Row],[Costo total]]</f>
        <v>27</v>
      </c>
    </row>
    <row r="1195" s="77" customFormat="1" ht="50" hidden="1" customHeight="1" spans="1:28">
      <c r="A1195" s="77" t="s">
        <v>2511</v>
      </c>
      <c r="B1195" s="6"/>
      <c r="C1195" s="77" t="s">
        <v>30</v>
      </c>
      <c r="D1195" s="77" t="s">
        <v>173</v>
      </c>
      <c r="E1195" s="77" t="s">
        <v>2509</v>
      </c>
      <c r="F1195" s="77" t="s">
        <v>44</v>
      </c>
      <c r="G1195" s="77" t="s">
        <v>34</v>
      </c>
      <c r="H1195" s="77">
        <f>STOCK[[#This Row],[Precio Final]]</f>
        <v>22</v>
      </c>
      <c r="I1195" s="77">
        <f>STOCK[[#This Row],[Precio Venta Ideal (x1.5)]]</f>
        <v>20.25</v>
      </c>
      <c r="J1195" s="92">
        <v>2</v>
      </c>
      <c r="K1195" s="92">
        <f>SUMIFS(VENTAS[Cantidad],VENTAS[Código del producto Vendido],STOCK[[#This Row],[Code]])</f>
        <v>0</v>
      </c>
      <c r="L1195" s="92">
        <f>STOCK[[#This Row],[Entradas]]-STOCK[[#This Row],[Salidas]]</f>
        <v>2</v>
      </c>
      <c r="M1195" s="77">
        <f>STOCK[[#This Row],[Precio Final]]*10%</f>
        <v>2.2</v>
      </c>
      <c r="N1195" s="77">
        <v>0</v>
      </c>
      <c r="O1195" s="77">
        <v>0</v>
      </c>
      <c r="P1195" s="77">
        <v>9.33</v>
      </c>
      <c r="Q1195" s="92">
        <v>0</v>
      </c>
      <c r="R1195" s="77">
        <v>0</v>
      </c>
      <c r="S1195" s="77">
        <v>1.97</v>
      </c>
      <c r="T1195" s="76">
        <f>STOCK[[#This Row],[Costo Unitario (USD)]]+STOCK[[#This Row],[Costo Envío (USD)]]+STOCK[[#This Row],[Comisión 10%]]</f>
        <v>13.5</v>
      </c>
      <c r="U1195" s="77">
        <f>STOCK[[#This Row],[Costo total]]*1.5</f>
        <v>20.25</v>
      </c>
      <c r="V1195" s="77">
        <v>22</v>
      </c>
      <c r="W1195" s="77">
        <f>STOCK[[#This Row],[Precio Final]]-STOCK[[#This Row],[Costo total]]</f>
        <v>8.5</v>
      </c>
      <c r="X1195" s="77">
        <f>STOCK[[#This Row],[Ganancia Unitaria]]*STOCK[[#This Row],[Salidas]]</f>
        <v>0</v>
      </c>
      <c r="AA1195" s="77">
        <f>STOCK[[#This Row],[Costo total]]*STOCK[[#This Row],[Entradas]]</f>
        <v>27</v>
      </c>
      <c r="AB1195" s="77">
        <f>STOCK[[#This Row],[Stock Actual]]*STOCK[[#This Row],[Costo total]]</f>
        <v>27</v>
      </c>
    </row>
    <row r="1196" s="76" customFormat="1" ht="50" hidden="1" customHeight="1" spans="1:28">
      <c r="A1196" s="76" t="s">
        <v>2512</v>
      </c>
      <c r="B1196" s="6"/>
      <c r="C1196" s="76" t="s">
        <v>30</v>
      </c>
      <c r="D1196" s="76" t="s">
        <v>487</v>
      </c>
      <c r="E1196" s="76" t="s">
        <v>2513</v>
      </c>
      <c r="F1196" s="76" t="s">
        <v>2214</v>
      </c>
      <c r="G1196" s="76" t="s">
        <v>34</v>
      </c>
      <c r="H1196" s="76">
        <f>STOCK[[#This Row],[Precio Final]]</f>
        <v>20</v>
      </c>
      <c r="I1196" s="76">
        <f>STOCK[[#This Row],[Precio Venta Ideal (x1.5)]]</f>
        <v>20.235</v>
      </c>
      <c r="J1196" s="91">
        <v>3</v>
      </c>
      <c r="K1196" s="91">
        <f>SUMIFS(VENTAS[Cantidad],VENTAS[Código del producto Vendido],STOCK[[#This Row],[Code]])</f>
        <v>3</v>
      </c>
      <c r="L1196" s="91">
        <f>STOCK[[#This Row],[Entradas]]-STOCK[[#This Row],[Salidas]]</f>
        <v>0</v>
      </c>
      <c r="M1196" s="76">
        <f>STOCK[[#This Row],[Precio Final]]*10%</f>
        <v>2</v>
      </c>
      <c r="N1196" s="76">
        <v>0</v>
      </c>
      <c r="O1196" s="76">
        <v>0</v>
      </c>
      <c r="P1196" s="76">
        <v>9.52</v>
      </c>
      <c r="Q1196" s="91">
        <v>0</v>
      </c>
      <c r="R1196" s="76">
        <v>0</v>
      </c>
      <c r="S1196" s="76">
        <v>1.97</v>
      </c>
      <c r="T1196" s="76">
        <f>STOCK[[#This Row],[Costo Unitario (USD)]]+STOCK[[#This Row],[Costo Envío (USD)]]+STOCK[[#This Row],[Comisión 10%]]</f>
        <v>13.49</v>
      </c>
      <c r="U1196" s="76">
        <f>STOCK[[#This Row],[Costo total]]*1.5</f>
        <v>20.235</v>
      </c>
      <c r="V1196" s="76">
        <v>20</v>
      </c>
      <c r="W1196" s="76">
        <f>STOCK[[#This Row],[Precio Final]]-STOCK[[#This Row],[Costo total]]</f>
        <v>6.51</v>
      </c>
      <c r="X1196" s="76">
        <f>STOCK[[#This Row],[Ganancia Unitaria]]*STOCK[[#This Row],[Salidas]]</f>
        <v>19.53</v>
      </c>
      <c r="AA1196" s="76">
        <f>STOCK[[#This Row],[Costo total]]*STOCK[[#This Row],[Entradas]]</f>
        <v>40.47</v>
      </c>
      <c r="AB1196" s="76">
        <f>STOCK[[#This Row],[Stock Actual]]*STOCK[[#This Row],[Costo total]]</f>
        <v>0</v>
      </c>
    </row>
    <row r="1197" s="77" customFormat="1" ht="50" hidden="1" customHeight="1" spans="1:28">
      <c r="A1197" s="77" t="s">
        <v>2514</v>
      </c>
      <c r="B1197" s="6"/>
      <c r="C1197" s="77" t="s">
        <v>30</v>
      </c>
      <c r="D1197" s="77" t="s">
        <v>487</v>
      </c>
      <c r="E1197" s="77" t="s">
        <v>2515</v>
      </c>
      <c r="F1197" s="77" t="s">
        <v>1532</v>
      </c>
      <c r="G1197" s="77" t="s">
        <v>34</v>
      </c>
      <c r="H1197" s="77">
        <f>STOCK[[#This Row],[Precio Final]]</f>
        <v>22</v>
      </c>
      <c r="I1197" s="77">
        <f>STOCK[[#This Row],[Precio Venta Ideal (x1.5)]]</f>
        <v>22.545</v>
      </c>
      <c r="J1197" s="92">
        <v>2</v>
      </c>
      <c r="K1197" s="92">
        <f>SUMIFS(VENTAS[Cantidad],VENTAS[Código del producto Vendido],STOCK[[#This Row],[Code]])</f>
        <v>2</v>
      </c>
      <c r="L1197" s="92">
        <f>STOCK[[#This Row],[Entradas]]-STOCK[[#This Row],[Salidas]]</f>
        <v>0</v>
      </c>
      <c r="M1197" s="77">
        <f>STOCK[[#This Row],[Precio Final]]*10%</f>
        <v>2.2</v>
      </c>
      <c r="N1197" s="77">
        <v>0</v>
      </c>
      <c r="O1197" s="77">
        <v>0</v>
      </c>
      <c r="P1197" s="77">
        <v>10.86</v>
      </c>
      <c r="Q1197" s="92">
        <v>0</v>
      </c>
      <c r="R1197" s="77">
        <v>0</v>
      </c>
      <c r="S1197" s="77">
        <v>1.97</v>
      </c>
      <c r="T1197" s="76">
        <f>STOCK[[#This Row],[Costo Unitario (USD)]]+STOCK[[#This Row],[Costo Envío (USD)]]+STOCK[[#This Row],[Comisión 10%]]</f>
        <v>15.03</v>
      </c>
      <c r="U1197" s="77">
        <f>STOCK[[#This Row],[Costo total]]*1.5</f>
        <v>22.545</v>
      </c>
      <c r="V1197" s="77">
        <v>22</v>
      </c>
      <c r="W1197" s="77">
        <f>STOCK[[#This Row],[Precio Final]]-STOCK[[#This Row],[Costo total]]</f>
        <v>6.97</v>
      </c>
      <c r="X1197" s="77">
        <f>STOCK[[#This Row],[Ganancia Unitaria]]*STOCK[[#This Row],[Salidas]]</f>
        <v>13.94</v>
      </c>
      <c r="AA1197" s="77">
        <f>STOCK[[#This Row],[Costo total]]*STOCK[[#This Row],[Entradas]]</f>
        <v>30.06</v>
      </c>
      <c r="AB1197" s="77">
        <f>STOCK[[#This Row],[Stock Actual]]*STOCK[[#This Row],[Costo total]]</f>
        <v>0</v>
      </c>
    </row>
    <row r="1198" s="76" customFormat="1" ht="50" hidden="1" customHeight="1" spans="1:28">
      <c r="A1198" s="76" t="s">
        <v>2516</v>
      </c>
      <c r="B1198" s="6"/>
      <c r="C1198" s="76" t="s">
        <v>30</v>
      </c>
      <c r="D1198" s="76" t="s">
        <v>151</v>
      </c>
      <c r="E1198" s="76" t="s">
        <v>2517</v>
      </c>
      <c r="F1198" s="76" t="s">
        <v>60</v>
      </c>
      <c r="G1198" s="76" t="s">
        <v>34</v>
      </c>
      <c r="H1198" s="76">
        <f>STOCK[[#This Row],[Precio Final]]</f>
        <v>25</v>
      </c>
      <c r="I1198" s="76">
        <f>STOCK[[#This Row],[Precio Venta Ideal (x1.5)]]</f>
        <v>27.435</v>
      </c>
      <c r="J1198" s="91">
        <v>2</v>
      </c>
      <c r="K1198" s="91">
        <f>SUMIFS(VENTAS[Cantidad],VENTAS[Código del producto Vendido],STOCK[[#This Row],[Code]])</f>
        <v>0</v>
      </c>
      <c r="L1198" s="91">
        <f>STOCK[[#This Row],[Entradas]]-STOCK[[#This Row],[Salidas]]</f>
        <v>2</v>
      </c>
      <c r="M1198" s="76">
        <f>STOCK[[#This Row],[Precio Final]]*10%</f>
        <v>2.5</v>
      </c>
      <c r="N1198" s="76">
        <v>0</v>
      </c>
      <c r="O1198" s="76">
        <v>0</v>
      </c>
      <c r="P1198" s="76">
        <v>13.82</v>
      </c>
      <c r="Q1198" s="91">
        <v>0</v>
      </c>
      <c r="R1198" s="76">
        <v>0</v>
      </c>
      <c r="S1198" s="76">
        <v>1.97</v>
      </c>
      <c r="T1198" s="76">
        <f>STOCK[[#This Row],[Costo Unitario (USD)]]+STOCK[[#This Row],[Costo Envío (USD)]]+STOCK[[#This Row],[Comisión 10%]]</f>
        <v>18.29</v>
      </c>
      <c r="U1198" s="76">
        <f>STOCK[[#This Row],[Costo total]]*1.5</f>
        <v>27.435</v>
      </c>
      <c r="V1198" s="76">
        <v>25</v>
      </c>
      <c r="W1198" s="76">
        <f>STOCK[[#This Row],[Precio Final]]-STOCK[[#This Row],[Costo total]]</f>
        <v>6.71</v>
      </c>
      <c r="X1198" s="76">
        <f>STOCK[[#This Row],[Ganancia Unitaria]]*STOCK[[#This Row],[Salidas]]</f>
        <v>0</v>
      </c>
      <c r="AA1198" s="76">
        <f>STOCK[[#This Row],[Costo total]]*STOCK[[#This Row],[Entradas]]</f>
        <v>36.58</v>
      </c>
      <c r="AB1198" s="76">
        <f>STOCK[[#This Row],[Stock Actual]]*STOCK[[#This Row],[Costo total]]</f>
        <v>36.58</v>
      </c>
    </row>
    <row r="1199" s="77" customFormat="1" ht="50" hidden="1" customHeight="1" spans="1:28">
      <c r="A1199" s="77" t="s">
        <v>2518</v>
      </c>
      <c r="B1199" s="6"/>
      <c r="C1199" s="77" t="s">
        <v>30</v>
      </c>
      <c r="D1199" s="77" t="s">
        <v>151</v>
      </c>
      <c r="E1199" s="77" t="s">
        <v>2517</v>
      </c>
      <c r="F1199" s="77" t="s">
        <v>47</v>
      </c>
      <c r="G1199" s="77" t="s">
        <v>34</v>
      </c>
      <c r="H1199" s="77">
        <f>STOCK[[#This Row],[Precio Final]]</f>
        <v>25</v>
      </c>
      <c r="I1199" s="77">
        <f>STOCK[[#This Row],[Precio Venta Ideal (x1.5)]]</f>
        <v>27.435</v>
      </c>
      <c r="J1199" s="92">
        <v>2</v>
      </c>
      <c r="K1199" s="92">
        <f>SUMIFS(VENTAS[Cantidad],VENTAS[Código del producto Vendido],STOCK[[#This Row],[Code]])</f>
        <v>1</v>
      </c>
      <c r="L1199" s="92">
        <f>STOCK[[#This Row],[Entradas]]-STOCK[[#This Row],[Salidas]]</f>
        <v>1</v>
      </c>
      <c r="M1199" s="77">
        <f>STOCK[[#This Row],[Precio Final]]*10%</f>
        <v>2.5</v>
      </c>
      <c r="N1199" s="77">
        <v>0</v>
      </c>
      <c r="O1199" s="77">
        <v>0</v>
      </c>
      <c r="P1199" s="77">
        <v>13.82</v>
      </c>
      <c r="Q1199" s="92">
        <v>0</v>
      </c>
      <c r="R1199" s="77">
        <v>0</v>
      </c>
      <c r="S1199" s="77">
        <v>1.97</v>
      </c>
      <c r="T1199" s="76">
        <f>STOCK[[#This Row],[Costo Unitario (USD)]]+STOCK[[#This Row],[Costo Envío (USD)]]+STOCK[[#This Row],[Comisión 10%]]</f>
        <v>18.29</v>
      </c>
      <c r="U1199" s="77">
        <f>STOCK[[#This Row],[Costo total]]*1.5</f>
        <v>27.435</v>
      </c>
      <c r="V1199" s="77">
        <v>25</v>
      </c>
      <c r="W1199" s="77">
        <f>STOCK[[#This Row],[Precio Final]]-STOCK[[#This Row],[Costo total]]</f>
        <v>6.71</v>
      </c>
      <c r="X1199" s="77">
        <f>STOCK[[#This Row],[Ganancia Unitaria]]*STOCK[[#This Row],[Salidas]]</f>
        <v>6.71</v>
      </c>
      <c r="AA1199" s="77">
        <f>STOCK[[#This Row],[Costo total]]*STOCK[[#This Row],[Entradas]]</f>
        <v>36.58</v>
      </c>
      <c r="AB1199" s="77">
        <f>STOCK[[#This Row],[Stock Actual]]*STOCK[[#This Row],[Costo total]]</f>
        <v>18.29</v>
      </c>
    </row>
    <row r="1200" s="76" customFormat="1" ht="50" hidden="1" customHeight="1" spans="1:28">
      <c r="A1200" s="76" t="s">
        <v>2519</v>
      </c>
      <c r="B1200" s="6"/>
      <c r="C1200" s="76" t="s">
        <v>30</v>
      </c>
      <c r="D1200" s="76" t="s">
        <v>151</v>
      </c>
      <c r="E1200" s="76" t="s">
        <v>2517</v>
      </c>
      <c r="F1200" s="76" t="s">
        <v>44</v>
      </c>
      <c r="G1200" s="76" t="s">
        <v>34</v>
      </c>
      <c r="H1200" s="76">
        <f>STOCK[[#This Row],[Precio Final]]</f>
        <v>25</v>
      </c>
      <c r="I1200" s="76">
        <f>STOCK[[#This Row],[Precio Venta Ideal (x1.5)]]</f>
        <v>27.435</v>
      </c>
      <c r="J1200" s="91">
        <v>2</v>
      </c>
      <c r="K1200" s="91">
        <f>SUMIFS(VENTAS[Cantidad],VENTAS[Código del producto Vendido],STOCK[[#This Row],[Code]])</f>
        <v>0</v>
      </c>
      <c r="L1200" s="91">
        <f>STOCK[[#This Row],[Entradas]]-STOCK[[#This Row],[Salidas]]</f>
        <v>2</v>
      </c>
      <c r="M1200" s="76">
        <f>STOCK[[#This Row],[Precio Final]]*10%</f>
        <v>2.5</v>
      </c>
      <c r="N1200" s="76">
        <v>0</v>
      </c>
      <c r="O1200" s="76">
        <v>0</v>
      </c>
      <c r="P1200" s="76">
        <v>13.82</v>
      </c>
      <c r="Q1200" s="91">
        <v>0</v>
      </c>
      <c r="R1200" s="76">
        <v>0</v>
      </c>
      <c r="S1200" s="76">
        <v>1.97</v>
      </c>
      <c r="T1200" s="76">
        <f>STOCK[[#This Row],[Costo Unitario (USD)]]+STOCK[[#This Row],[Costo Envío (USD)]]+STOCK[[#This Row],[Comisión 10%]]</f>
        <v>18.29</v>
      </c>
      <c r="U1200" s="76">
        <f>STOCK[[#This Row],[Costo total]]*1.5</f>
        <v>27.435</v>
      </c>
      <c r="V1200" s="76">
        <v>25</v>
      </c>
      <c r="W1200" s="76">
        <f>STOCK[[#This Row],[Precio Final]]-STOCK[[#This Row],[Costo total]]</f>
        <v>6.71</v>
      </c>
      <c r="X1200" s="76">
        <f>STOCK[[#This Row],[Ganancia Unitaria]]*STOCK[[#This Row],[Salidas]]</f>
        <v>0</v>
      </c>
      <c r="AA1200" s="76">
        <f>STOCK[[#This Row],[Costo total]]*STOCK[[#This Row],[Entradas]]</f>
        <v>36.58</v>
      </c>
      <c r="AB1200" s="76">
        <f>STOCK[[#This Row],[Stock Actual]]*STOCK[[#This Row],[Costo total]]</f>
        <v>36.58</v>
      </c>
    </row>
    <row r="1201" s="77" customFormat="1" ht="50" hidden="1" customHeight="1" spans="1:28">
      <c r="A1201" s="77" t="s">
        <v>2520</v>
      </c>
      <c r="B1201" s="6"/>
      <c r="C1201" s="77" t="s">
        <v>30</v>
      </c>
      <c r="D1201" s="77" t="s">
        <v>1806</v>
      </c>
      <c r="E1201" s="77" t="s">
        <v>2521</v>
      </c>
      <c r="F1201" s="77" t="s">
        <v>524</v>
      </c>
      <c r="G1201" s="77" t="s">
        <v>34</v>
      </c>
      <c r="H1201" s="77">
        <f>STOCK[[#This Row],[Precio Final]]</f>
        <v>12</v>
      </c>
      <c r="I1201" s="77">
        <f>STOCK[[#This Row],[Precio Venta Ideal (x1.5)]]</f>
        <v>9.495</v>
      </c>
      <c r="J1201" s="92">
        <v>5</v>
      </c>
      <c r="K1201" s="92">
        <f>SUMIFS(VENTAS[Cantidad],VENTAS[Código del producto Vendido],STOCK[[#This Row],[Code]])</f>
        <v>2</v>
      </c>
      <c r="L1201" s="92">
        <f>STOCK[[#This Row],[Entradas]]-STOCK[[#This Row],[Salidas]]</f>
        <v>3</v>
      </c>
      <c r="M1201" s="77">
        <f>STOCK[[#This Row],[Precio Final]]*10%</f>
        <v>1.2</v>
      </c>
      <c r="N1201" s="77">
        <v>0</v>
      </c>
      <c r="O1201" s="77">
        <v>0</v>
      </c>
      <c r="P1201" s="77">
        <v>3.16</v>
      </c>
      <c r="Q1201" s="92">
        <v>0</v>
      </c>
      <c r="R1201" s="77">
        <v>0</v>
      </c>
      <c r="S1201" s="77">
        <v>1.97</v>
      </c>
      <c r="T1201" s="76">
        <f>STOCK[[#This Row],[Costo Unitario (USD)]]+STOCK[[#This Row],[Costo Envío (USD)]]+STOCK[[#This Row],[Comisión 10%]]</f>
        <v>6.33</v>
      </c>
      <c r="U1201" s="77">
        <f>STOCK[[#This Row],[Costo total]]*1.5</f>
        <v>9.495</v>
      </c>
      <c r="V1201" s="77">
        <v>12</v>
      </c>
      <c r="W1201" s="77">
        <f>STOCK[[#This Row],[Precio Final]]-STOCK[[#This Row],[Costo total]]</f>
        <v>5.67</v>
      </c>
      <c r="X1201" s="77">
        <f>STOCK[[#This Row],[Ganancia Unitaria]]*STOCK[[#This Row],[Salidas]]</f>
        <v>11.34</v>
      </c>
      <c r="AA1201" s="77">
        <f>STOCK[[#This Row],[Costo total]]*STOCK[[#This Row],[Entradas]]</f>
        <v>31.65</v>
      </c>
      <c r="AB1201" s="77">
        <f>STOCK[[#This Row],[Stock Actual]]*STOCK[[#This Row],[Costo total]]</f>
        <v>18.99</v>
      </c>
    </row>
    <row r="1202" s="76" customFormat="1" ht="50" hidden="1" customHeight="1" spans="1:28">
      <c r="A1202" s="76" t="s">
        <v>2522</v>
      </c>
      <c r="B1202" s="6"/>
      <c r="C1202" s="76" t="s">
        <v>30</v>
      </c>
      <c r="D1202" s="76" t="s">
        <v>1806</v>
      </c>
      <c r="E1202" s="76" t="s">
        <v>2523</v>
      </c>
      <c r="F1202" s="76" t="s">
        <v>524</v>
      </c>
      <c r="G1202" s="76" t="s">
        <v>34</v>
      </c>
      <c r="H1202" s="76">
        <f>STOCK[[#This Row],[Precio Final]]</f>
        <v>12</v>
      </c>
      <c r="I1202" s="76">
        <f>STOCK[[#This Row],[Precio Venta Ideal (x1.5)]]</f>
        <v>9.495</v>
      </c>
      <c r="J1202" s="91">
        <v>5</v>
      </c>
      <c r="K1202" s="91">
        <f>SUMIFS(VENTAS[Cantidad],VENTAS[Código del producto Vendido],STOCK[[#This Row],[Code]])</f>
        <v>1</v>
      </c>
      <c r="L1202" s="91">
        <f>STOCK[[#This Row],[Entradas]]-STOCK[[#This Row],[Salidas]]</f>
        <v>4</v>
      </c>
      <c r="M1202" s="76">
        <f>STOCK[[#This Row],[Precio Final]]*10%</f>
        <v>1.2</v>
      </c>
      <c r="N1202" s="76">
        <v>0</v>
      </c>
      <c r="O1202" s="76">
        <v>0</v>
      </c>
      <c r="P1202" s="76">
        <v>3.16</v>
      </c>
      <c r="Q1202" s="91">
        <v>0</v>
      </c>
      <c r="R1202" s="76">
        <v>0</v>
      </c>
      <c r="S1202" s="76">
        <v>1.97</v>
      </c>
      <c r="T1202" s="76">
        <f>STOCK[[#This Row],[Costo Unitario (USD)]]+STOCK[[#This Row],[Costo Envío (USD)]]+STOCK[[#This Row],[Comisión 10%]]</f>
        <v>6.33</v>
      </c>
      <c r="U1202" s="76">
        <f>STOCK[[#This Row],[Costo total]]*1.5</f>
        <v>9.495</v>
      </c>
      <c r="V1202" s="76">
        <v>12</v>
      </c>
      <c r="W1202" s="76">
        <f>STOCK[[#This Row],[Precio Final]]-STOCK[[#This Row],[Costo total]]</f>
        <v>5.67</v>
      </c>
      <c r="X1202" s="76">
        <f>STOCK[[#This Row],[Ganancia Unitaria]]*STOCK[[#This Row],[Salidas]]</f>
        <v>5.67</v>
      </c>
      <c r="AA1202" s="76">
        <f>STOCK[[#This Row],[Costo total]]*STOCK[[#This Row],[Entradas]]</f>
        <v>31.65</v>
      </c>
      <c r="AB1202" s="76">
        <f>STOCK[[#This Row],[Stock Actual]]*STOCK[[#This Row],[Costo total]]</f>
        <v>25.32</v>
      </c>
    </row>
    <row r="1203" s="77" customFormat="1" ht="50" hidden="1" customHeight="1" spans="1:28">
      <c r="A1203" s="77" t="s">
        <v>2524</v>
      </c>
      <c r="B1203" s="6"/>
      <c r="C1203" s="77" t="s">
        <v>30</v>
      </c>
      <c r="D1203" s="77" t="s">
        <v>173</v>
      </c>
      <c r="E1203" s="77" t="s">
        <v>2525</v>
      </c>
      <c r="F1203" s="77" t="s">
        <v>60</v>
      </c>
      <c r="G1203" s="77" t="s">
        <v>34</v>
      </c>
      <c r="H1203" s="77">
        <f>STOCK[[#This Row],[Precio Final]]</f>
        <v>18</v>
      </c>
      <c r="I1203" s="77">
        <f>STOCK[[#This Row],[Precio Venta Ideal (x1.5)]]</f>
        <v>18.03</v>
      </c>
      <c r="J1203" s="92">
        <v>1</v>
      </c>
      <c r="K1203" s="92">
        <f>SUMIFS(VENTAS[Cantidad],VENTAS[Código del producto Vendido],STOCK[[#This Row],[Code]])</f>
        <v>1</v>
      </c>
      <c r="L1203" s="92">
        <f>STOCK[[#This Row],[Entradas]]-STOCK[[#This Row],[Salidas]]</f>
        <v>0</v>
      </c>
      <c r="M1203" s="77">
        <f>STOCK[[#This Row],[Precio Final]]*10%</f>
        <v>1.8</v>
      </c>
      <c r="N1203" s="77">
        <v>0</v>
      </c>
      <c r="O1203" s="77">
        <v>0</v>
      </c>
      <c r="P1203" s="77">
        <v>8.25</v>
      </c>
      <c r="Q1203" s="92">
        <v>0</v>
      </c>
      <c r="R1203" s="77">
        <v>0</v>
      </c>
      <c r="S1203" s="77">
        <v>1.97</v>
      </c>
      <c r="T1203" s="76">
        <f>STOCK[[#This Row],[Costo Unitario (USD)]]+STOCK[[#This Row],[Costo Envío (USD)]]+STOCK[[#This Row],[Comisión 10%]]</f>
        <v>12.02</v>
      </c>
      <c r="U1203" s="77">
        <f>STOCK[[#This Row],[Costo total]]*1.5</f>
        <v>18.03</v>
      </c>
      <c r="V1203" s="77">
        <v>18</v>
      </c>
      <c r="W1203" s="77">
        <f>STOCK[[#This Row],[Precio Final]]-STOCK[[#This Row],[Costo total]]</f>
        <v>5.98</v>
      </c>
      <c r="X1203" s="77">
        <f>STOCK[[#This Row],[Ganancia Unitaria]]*STOCK[[#This Row],[Salidas]]</f>
        <v>5.98</v>
      </c>
      <c r="AA1203" s="77">
        <f>STOCK[[#This Row],[Costo total]]*STOCK[[#This Row],[Entradas]]</f>
        <v>12.02</v>
      </c>
      <c r="AB1203" s="77">
        <f>STOCK[[#This Row],[Stock Actual]]*STOCK[[#This Row],[Costo total]]</f>
        <v>0</v>
      </c>
    </row>
    <row r="1204" s="76" customFormat="1" ht="50" hidden="1" customHeight="1" spans="1:28">
      <c r="A1204" s="76" t="s">
        <v>2526</v>
      </c>
      <c r="B1204" s="6"/>
      <c r="C1204" s="76" t="s">
        <v>30</v>
      </c>
      <c r="D1204" s="76" t="s">
        <v>173</v>
      </c>
      <c r="E1204" s="76" t="s">
        <v>2525</v>
      </c>
      <c r="F1204" s="76" t="s">
        <v>47</v>
      </c>
      <c r="G1204" s="76" t="s">
        <v>34</v>
      </c>
      <c r="H1204" s="76">
        <f>STOCK[[#This Row],[Precio Final]]</f>
        <v>18</v>
      </c>
      <c r="I1204" s="76">
        <f>STOCK[[#This Row],[Precio Venta Ideal (x1.5)]]</f>
        <v>18.03</v>
      </c>
      <c r="J1204" s="91">
        <v>1</v>
      </c>
      <c r="K1204" s="91">
        <f>SUMIFS(VENTAS[Cantidad],VENTAS[Código del producto Vendido],STOCK[[#This Row],[Code]])</f>
        <v>1</v>
      </c>
      <c r="L1204" s="91">
        <f>STOCK[[#This Row],[Entradas]]-STOCK[[#This Row],[Salidas]]</f>
        <v>0</v>
      </c>
      <c r="M1204" s="76">
        <f>STOCK[[#This Row],[Precio Final]]*10%</f>
        <v>1.8</v>
      </c>
      <c r="N1204" s="76">
        <v>0</v>
      </c>
      <c r="O1204" s="76">
        <v>0</v>
      </c>
      <c r="P1204" s="76">
        <v>8.25</v>
      </c>
      <c r="Q1204" s="91">
        <v>0</v>
      </c>
      <c r="R1204" s="76">
        <v>0</v>
      </c>
      <c r="S1204" s="76">
        <v>1.97</v>
      </c>
      <c r="T1204" s="76">
        <f>STOCK[[#This Row],[Costo Unitario (USD)]]+STOCK[[#This Row],[Costo Envío (USD)]]+STOCK[[#This Row],[Comisión 10%]]</f>
        <v>12.02</v>
      </c>
      <c r="U1204" s="76">
        <f>STOCK[[#This Row],[Costo total]]*1.5</f>
        <v>18.03</v>
      </c>
      <c r="V1204" s="76">
        <v>18</v>
      </c>
      <c r="W1204" s="76">
        <f>STOCK[[#This Row],[Precio Final]]-STOCK[[#This Row],[Costo total]]</f>
        <v>5.98</v>
      </c>
      <c r="X1204" s="76">
        <f>STOCK[[#This Row],[Ganancia Unitaria]]*STOCK[[#This Row],[Salidas]]</f>
        <v>5.98</v>
      </c>
      <c r="AA1204" s="76">
        <f>STOCK[[#This Row],[Costo total]]*STOCK[[#This Row],[Entradas]]</f>
        <v>12.02</v>
      </c>
      <c r="AB1204" s="76">
        <f>STOCK[[#This Row],[Stock Actual]]*STOCK[[#This Row],[Costo total]]</f>
        <v>0</v>
      </c>
    </row>
    <row r="1205" s="77" customFormat="1" ht="50" hidden="1" customHeight="1" spans="1:28">
      <c r="A1205" s="77" t="s">
        <v>2527</v>
      </c>
      <c r="B1205" s="6"/>
      <c r="C1205" s="77" t="s">
        <v>30</v>
      </c>
      <c r="D1205" s="77" t="s">
        <v>173</v>
      </c>
      <c r="E1205" s="77" t="s">
        <v>2525</v>
      </c>
      <c r="F1205" s="77" t="s">
        <v>44</v>
      </c>
      <c r="G1205" s="77" t="s">
        <v>34</v>
      </c>
      <c r="H1205" s="77">
        <f>STOCK[[#This Row],[Precio Final]]</f>
        <v>18</v>
      </c>
      <c r="I1205" s="77">
        <f>STOCK[[#This Row],[Precio Venta Ideal (x1.5)]]</f>
        <v>18.03</v>
      </c>
      <c r="J1205" s="92">
        <v>1</v>
      </c>
      <c r="K1205" s="92">
        <f>SUMIFS(VENTAS[Cantidad],VENTAS[Código del producto Vendido],STOCK[[#This Row],[Code]])</f>
        <v>1</v>
      </c>
      <c r="L1205" s="92">
        <f>STOCK[[#This Row],[Entradas]]-STOCK[[#This Row],[Salidas]]</f>
        <v>0</v>
      </c>
      <c r="M1205" s="77">
        <f>STOCK[[#This Row],[Precio Final]]*10%</f>
        <v>1.8</v>
      </c>
      <c r="N1205" s="77">
        <v>0</v>
      </c>
      <c r="O1205" s="77">
        <v>0</v>
      </c>
      <c r="P1205" s="77">
        <v>8.25</v>
      </c>
      <c r="Q1205" s="92">
        <v>0</v>
      </c>
      <c r="R1205" s="77">
        <v>0</v>
      </c>
      <c r="S1205" s="77">
        <v>1.97</v>
      </c>
      <c r="T1205" s="76">
        <f>STOCK[[#This Row],[Costo Unitario (USD)]]+STOCK[[#This Row],[Costo Envío (USD)]]+STOCK[[#This Row],[Comisión 10%]]</f>
        <v>12.02</v>
      </c>
      <c r="U1205" s="77">
        <f>STOCK[[#This Row],[Costo total]]*1.5</f>
        <v>18.03</v>
      </c>
      <c r="V1205" s="77">
        <v>18</v>
      </c>
      <c r="W1205" s="77">
        <f>STOCK[[#This Row],[Precio Final]]-STOCK[[#This Row],[Costo total]]</f>
        <v>5.98</v>
      </c>
      <c r="X1205" s="77">
        <f>STOCK[[#This Row],[Ganancia Unitaria]]*STOCK[[#This Row],[Salidas]]</f>
        <v>5.98</v>
      </c>
      <c r="AA1205" s="77">
        <f>STOCK[[#This Row],[Costo total]]*STOCK[[#This Row],[Entradas]]</f>
        <v>12.02</v>
      </c>
      <c r="AB1205" s="77">
        <f>STOCK[[#This Row],[Stock Actual]]*STOCK[[#This Row],[Costo total]]</f>
        <v>0</v>
      </c>
    </row>
    <row r="1206" s="76" customFormat="1" ht="50" hidden="1" customHeight="1" spans="1:28">
      <c r="A1206" s="76" t="s">
        <v>2528</v>
      </c>
      <c r="B1206" s="6"/>
      <c r="C1206" s="76" t="s">
        <v>30</v>
      </c>
      <c r="D1206" s="76" t="s">
        <v>173</v>
      </c>
      <c r="E1206" s="76" t="s">
        <v>2529</v>
      </c>
      <c r="F1206" s="76" t="s">
        <v>60</v>
      </c>
      <c r="G1206" s="76" t="s">
        <v>34</v>
      </c>
      <c r="H1206" s="76">
        <f>STOCK[[#This Row],[Precio Final]]</f>
        <v>10</v>
      </c>
      <c r="I1206" s="76">
        <f>STOCK[[#This Row],[Precio Venta Ideal (x1.5)]]</f>
        <v>7.98</v>
      </c>
      <c r="J1206" s="91">
        <v>2</v>
      </c>
      <c r="K1206" s="91">
        <f>SUMIFS(VENTAS[Cantidad],VENTAS[Código del producto Vendido],STOCK[[#This Row],[Code]])</f>
        <v>0</v>
      </c>
      <c r="L1206" s="91">
        <f>STOCK[[#This Row],[Entradas]]-STOCK[[#This Row],[Salidas]]</f>
        <v>2</v>
      </c>
      <c r="M1206" s="76">
        <f>STOCK[[#This Row],[Precio Final]]*10%</f>
        <v>1</v>
      </c>
      <c r="N1206" s="76">
        <v>0</v>
      </c>
      <c r="O1206" s="76">
        <v>0</v>
      </c>
      <c r="P1206" s="76">
        <v>2.35</v>
      </c>
      <c r="Q1206" s="91">
        <v>0</v>
      </c>
      <c r="R1206" s="76">
        <v>0</v>
      </c>
      <c r="S1206" s="76">
        <v>1.97</v>
      </c>
      <c r="T1206" s="76">
        <f>STOCK[[#This Row],[Costo Unitario (USD)]]+STOCK[[#This Row],[Costo Envío (USD)]]+STOCK[[#This Row],[Comisión 10%]]</f>
        <v>5.32</v>
      </c>
      <c r="U1206" s="76">
        <f>STOCK[[#This Row],[Costo total]]*1.5</f>
        <v>7.98</v>
      </c>
      <c r="V1206" s="76">
        <v>10</v>
      </c>
      <c r="W1206" s="76">
        <f>STOCK[[#This Row],[Precio Final]]-STOCK[[#This Row],[Costo total]]</f>
        <v>4.68</v>
      </c>
      <c r="X1206" s="76">
        <f>STOCK[[#This Row],[Ganancia Unitaria]]*STOCK[[#This Row],[Salidas]]</f>
        <v>0</v>
      </c>
      <c r="AA1206" s="76">
        <f>STOCK[[#This Row],[Costo total]]*STOCK[[#This Row],[Entradas]]</f>
        <v>10.64</v>
      </c>
      <c r="AB1206" s="76">
        <f>STOCK[[#This Row],[Stock Actual]]*STOCK[[#This Row],[Costo total]]</f>
        <v>10.64</v>
      </c>
    </row>
    <row r="1207" s="77" customFormat="1" ht="50" hidden="1" customHeight="1" spans="1:28">
      <c r="A1207" s="77" t="s">
        <v>2530</v>
      </c>
      <c r="B1207" s="6"/>
      <c r="C1207" s="77" t="s">
        <v>30</v>
      </c>
      <c r="D1207" s="77" t="s">
        <v>173</v>
      </c>
      <c r="E1207" s="77" t="s">
        <v>2529</v>
      </c>
      <c r="F1207" s="77" t="s">
        <v>47</v>
      </c>
      <c r="G1207" s="77" t="s">
        <v>34</v>
      </c>
      <c r="H1207" s="77">
        <f>STOCK[[#This Row],[Precio Final]]</f>
        <v>10</v>
      </c>
      <c r="I1207" s="77">
        <f>STOCK[[#This Row],[Precio Venta Ideal (x1.5)]]</f>
        <v>7.98</v>
      </c>
      <c r="J1207" s="92">
        <v>3</v>
      </c>
      <c r="K1207" s="92">
        <f>SUMIFS(VENTAS[Cantidad],VENTAS[Código del producto Vendido],STOCK[[#This Row],[Code]])</f>
        <v>3</v>
      </c>
      <c r="L1207" s="92">
        <f>STOCK[[#This Row],[Entradas]]-STOCK[[#This Row],[Salidas]]</f>
        <v>0</v>
      </c>
      <c r="M1207" s="77">
        <f>STOCK[[#This Row],[Precio Final]]*10%</f>
        <v>1</v>
      </c>
      <c r="N1207" s="77">
        <v>0</v>
      </c>
      <c r="O1207" s="77">
        <v>0</v>
      </c>
      <c r="P1207" s="77">
        <v>2.35</v>
      </c>
      <c r="Q1207" s="92">
        <v>0</v>
      </c>
      <c r="R1207" s="77">
        <v>0</v>
      </c>
      <c r="S1207" s="77">
        <v>1.97</v>
      </c>
      <c r="T1207" s="76">
        <f>STOCK[[#This Row],[Costo Unitario (USD)]]+STOCK[[#This Row],[Costo Envío (USD)]]+STOCK[[#This Row],[Comisión 10%]]</f>
        <v>5.32</v>
      </c>
      <c r="U1207" s="77">
        <f>STOCK[[#This Row],[Costo total]]*1.5</f>
        <v>7.98</v>
      </c>
      <c r="V1207" s="77">
        <v>10</v>
      </c>
      <c r="W1207" s="77">
        <f>STOCK[[#This Row],[Precio Final]]-STOCK[[#This Row],[Costo total]]</f>
        <v>4.68</v>
      </c>
      <c r="X1207" s="77">
        <f>STOCK[[#This Row],[Ganancia Unitaria]]*STOCK[[#This Row],[Salidas]]</f>
        <v>14.04</v>
      </c>
      <c r="AA1207" s="77">
        <f>STOCK[[#This Row],[Costo total]]*STOCK[[#This Row],[Entradas]]</f>
        <v>15.96</v>
      </c>
      <c r="AB1207" s="77">
        <f>STOCK[[#This Row],[Stock Actual]]*STOCK[[#This Row],[Costo total]]</f>
        <v>0</v>
      </c>
    </row>
    <row r="1208" s="76" customFormat="1" ht="50" hidden="1" customHeight="1" spans="1:28">
      <c r="A1208" s="76" t="s">
        <v>2531</v>
      </c>
      <c r="B1208" s="6"/>
      <c r="C1208" s="76" t="s">
        <v>30</v>
      </c>
      <c r="D1208" s="76" t="s">
        <v>173</v>
      </c>
      <c r="E1208" s="76" t="s">
        <v>2529</v>
      </c>
      <c r="F1208" s="76" t="s">
        <v>44</v>
      </c>
      <c r="G1208" s="76" t="s">
        <v>34</v>
      </c>
      <c r="H1208" s="76">
        <f>STOCK[[#This Row],[Precio Final]]</f>
        <v>10</v>
      </c>
      <c r="I1208" s="76">
        <f>STOCK[[#This Row],[Precio Venta Ideal (x1.5)]]</f>
        <v>7.98</v>
      </c>
      <c r="J1208" s="91">
        <v>2</v>
      </c>
      <c r="K1208" s="91">
        <f>SUMIFS(VENTAS[Cantidad],VENTAS[Código del producto Vendido],STOCK[[#This Row],[Code]])</f>
        <v>1</v>
      </c>
      <c r="L1208" s="91">
        <f>STOCK[[#This Row],[Entradas]]-STOCK[[#This Row],[Salidas]]</f>
        <v>1</v>
      </c>
      <c r="M1208" s="76">
        <f>STOCK[[#This Row],[Precio Final]]*10%</f>
        <v>1</v>
      </c>
      <c r="N1208" s="76">
        <v>0</v>
      </c>
      <c r="O1208" s="76">
        <v>0</v>
      </c>
      <c r="P1208" s="76">
        <v>2.35</v>
      </c>
      <c r="Q1208" s="91">
        <v>0</v>
      </c>
      <c r="R1208" s="76">
        <v>0</v>
      </c>
      <c r="S1208" s="76">
        <v>1.97</v>
      </c>
      <c r="T1208" s="76">
        <f>STOCK[[#This Row],[Costo Unitario (USD)]]+STOCK[[#This Row],[Costo Envío (USD)]]+STOCK[[#This Row],[Comisión 10%]]</f>
        <v>5.32</v>
      </c>
      <c r="U1208" s="76">
        <f>STOCK[[#This Row],[Costo total]]*1.5</f>
        <v>7.98</v>
      </c>
      <c r="V1208" s="76">
        <v>10</v>
      </c>
      <c r="W1208" s="76">
        <f>STOCK[[#This Row],[Precio Final]]-STOCK[[#This Row],[Costo total]]</f>
        <v>4.68</v>
      </c>
      <c r="X1208" s="76">
        <f>STOCK[[#This Row],[Ganancia Unitaria]]*STOCK[[#This Row],[Salidas]]</f>
        <v>4.68</v>
      </c>
      <c r="AA1208" s="76">
        <f>STOCK[[#This Row],[Costo total]]*STOCK[[#This Row],[Entradas]]</f>
        <v>10.64</v>
      </c>
      <c r="AB1208" s="76">
        <f>STOCK[[#This Row],[Stock Actual]]*STOCK[[#This Row],[Costo total]]</f>
        <v>5.32</v>
      </c>
    </row>
    <row r="1209" s="77" customFormat="1" ht="50" hidden="1" customHeight="1" spans="1:28">
      <c r="A1209" s="77" t="s">
        <v>2532</v>
      </c>
      <c r="B1209" s="6"/>
      <c r="C1209" s="77" t="s">
        <v>30</v>
      </c>
      <c r="D1209" s="77" t="s">
        <v>173</v>
      </c>
      <c r="E1209" s="77" t="s">
        <v>2533</v>
      </c>
      <c r="F1209" s="77" t="s">
        <v>60</v>
      </c>
      <c r="G1209" s="77" t="s">
        <v>34</v>
      </c>
      <c r="H1209" s="77">
        <f>STOCK[[#This Row],[Precio Final]]</f>
        <v>10</v>
      </c>
      <c r="I1209" s="77">
        <f>STOCK[[#This Row],[Precio Venta Ideal (x1.5)]]</f>
        <v>7.98</v>
      </c>
      <c r="J1209" s="92">
        <v>2</v>
      </c>
      <c r="K1209" s="92">
        <f>SUMIFS(VENTAS[Cantidad],VENTAS[Código del producto Vendido],STOCK[[#This Row],[Code]])</f>
        <v>1</v>
      </c>
      <c r="L1209" s="92">
        <f>STOCK[[#This Row],[Entradas]]-STOCK[[#This Row],[Salidas]]</f>
        <v>1</v>
      </c>
      <c r="M1209" s="77">
        <f>STOCK[[#This Row],[Precio Final]]*10%</f>
        <v>1</v>
      </c>
      <c r="N1209" s="77">
        <v>0</v>
      </c>
      <c r="O1209" s="77">
        <v>0</v>
      </c>
      <c r="P1209" s="77">
        <v>2.35</v>
      </c>
      <c r="Q1209" s="92">
        <v>0</v>
      </c>
      <c r="R1209" s="77">
        <v>0</v>
      </c>
      <c r="S1209" s="77">
        <v>1.97</v>
      </c>
      <c r="T1209" s="76">
        <f>STOCK[[#This Row],[Costo Unitario (USD)]]+STOCK[[#This Row],[Costo Envío (USD)]]+STOCK[[#This Row],[Comisión 10%]]</f>
        <v>5.32</v>
      </c>
      <c r="U1209" s="77">
        <f>STOCK[[#This Row],[Costo total]]*1.5</f>
        <v>7.98</v>
      </c>
      <c r="V1209" s="77">
        <v>10</v>
      </c>
      <c r="W1209" s="77">
        <f>STOCK[[#This Row],[Precio Final]]-STOCK[[#This Row],[Costo total]]</f>
        <v>4.68</v>
      </c>
      <c r="X1209" s="77">
        <f>STOCK[[#This Row],[Ganancia Unitaria]]*STOCK[[#This Row],[Salidas]]</f>
        <v>4.68</v>
      </c>
      <c r="AA1209" s="77">
        <f>STOCK[[#This Row],[Costo total]]*STOCK[[#This Row],[Entradas]]</f>
        <v>10.64</v>
      </c>
      <c r="AB1209" s="77">
        <f>STOCK[[#This Row],[Stock Actual]]*STOCK[[#This Row],[Costo total]]</f>
        <v>5.32</v>
      </c>
    </row>
    <row r="1210" s="76" customFormat="1" ht="50" hidden="1" customHeight="1" spans="1:28">
      <c r="A1210" s="76" t="s">
        <v>2534</v>
      </c>
      <c r="B1210" s="6"/>
      <c r="C1210" s="76" t="s">
        <v>30</v>
      </c>
      <c r="D1210" s="76" t="s">
        <v>173</v>
      </c>
      <c r="E1210" s="76" t="s">
        <v>2533</v>
      </c>
      <c r="F1210" s="76" t="s">
        <v>47</v>
      </c>
      <c r="G1210" s="76" t="s">
        <v>34</v>
      </c>
      <c r="H1210" s="76">
        <f>STOCK[[#This Row],[Precio Final]]</f>
        <v>10</v>
      </c>
      <c r="I1210" s="76">
        <f>STOCK[[#This Row],[Precio Venta Ideal (x1.5)]]</f>
        <v>7.98</v>
      </c>
      <c r="J1210" s="91">
        <v>2</v>
      </c>
      <c r="K1210" s="91">
        <f>SUMIFS(VENTAS[Cantidad],VENTAS[Código del producto Vendido],STOCK[[#This Row],[Code]])</f>
        <v>2</v>
      </c>
      <c r="L1210" s="91">
        <f>STOCK[[#This Row],[Entradas]]-STOCK[[#This Row],[Salidas]]</f>
        <v>0</v>
      </c>
      <c r="M1210" s="76">
        <f>STOCK[[#This Row],[Precio Final]]*10%</f>
        <v>1</v>
      </c>
      <c r="N1210" s="76">
        <v>0</v>
      </c>
      <c r="O1210" s="76">
        <v>0</v>
      </c>
      <c r="P1210" s="76">
        <v>2.35</v>
      </c>
      <c r="Q1210" s="91">
        <v>0</v>
      </c>
      <c r="R1210" s="76">
        <v>0</v>
      </c>
      <c r="S1210" s="76">
        <v>1.97</v>
      </c>
      <c r="T1210" s="76">
        <f>STOCK[[#This Row],[Costo Unitario (USD)]]+STOCK[[#This Row],[Costo Envío (USD)]]+STOCK[[#This Row],[Comisión 10%]]</f>
        <v>5.32</v>
      </c>
      <c r="U1210" s="76">
        <f>STOCK[[#This Row],[Costo total]]*1.5</f>
        <v>7.98</v>
      </c>
      <c r="V1210" s="76">
        <v>10</v>
      </c>
      <c r="W1210" s="76">
        <f>STOCK[[#This Row],[Precio Final]]-STOCK[[#This Row],[Costo total]]</f>
        <v>4.68</v>
      </c>
      <c r="X1210" s="76">
        <f>STOCK[[#This Row],[Ganancia Unitaria]]*STOCK[[#This Row],[Salidas]]</f>
        <v>9.36</v>
      </c>
      <c r="AA1210" s="76">
        <f>STOCK[[#This Row],[Costo total]]*STOCK[[#This Row],[Entradas]]</f>
        <v>10.64</v>
      </c>
      <c r="AB1210" s="76">
        <f>STOCK[[#This Row],[Stock Actual]]*STOCK[[#This Row],[Costo total]]</f>
        <v>0</v>
      </c>
    </row>
    <row r="1211" s="77" customFormat="1" ht="50" hidden="1" customHeight="1" spans="1:28">
      <c r="A1211" s="77" t="s">
        <v>2535</v>
      </c>
      <c r="B1211" s="6"/>
      <c r="C1211" s="77" t="s">
        <v>30</v>
      </c>
      <c r="D1211" s="77" t="s">
        <v>173</v>
      </c>
      <c r="E1211" s="77" t="s">
        <v>2533</v>
      </c>
      <c r="F1211" s="77" t="s">
        <v>44</v>
      </c>
      <c r="G1211" s="77" t="s">
        <v>34</v>
      </c>
      <c r="H1211" s="77">
        <f>STOCK[[#This Row],[Precio Final]]</f>
        <v>10</v>
      </c>
      <c r="I1211" s="77">
        <f>STOCK[[#This Row],[Precio Venta Ideal (x1.5)]]</f>
        <v>7.98</v>
      </c>
      <c r="J1211" s="92">
        <v>2</v>
      </c>
      <c r="K1211" s="92">
        <f>SUMIFS(VENTAS[Cantidad],VENTAS[Código del producto Vendido],STOCK[[#This Row],[Code]])</f>
        <v>2</v>
      </c>
      <c r="L1211" s="92">
        <f>STOCK[[#This Row],[Entradas]]-STOCK[[#This Row],[Salidas]]</f>
        <v>0</v>
      </c>
      <c r="M1211" s="77">
        <f>STOCK[[#This Row],[Precio Final]]*10%</f>
        <v>1</v>
      </c>
      <c r="N1211" s="77">
        <v>0</v>
      </c>
      <c r="O1211" s="77">
        <v>0</v>
      </c>
      <c r="P1211" s="77">
        <v>2.35</v>
      </c>
      <c r="Q1211" s="92">
        <v>0</v>
      </c>
      <c r="R1211" s="77">
        <v>0</v>
      </c>
      <c r="S1211" s="77">
        <v>1.97</v>
      </c>
      <c r="T1211" s="76">
        <f>STOCK[[#This Row],[Costo Unitario (USD)]]+STOCK[[#This Row],[Costo Envío (USD)]]+STOCK[[#This Row],[Comisión 10%]]</f>
        <v>5.32</v>
      </c>
      <c r="U1211" s="77">
        <f>STOCK[[#This Row],[Costo total]]*1.5</f>
        <v>7.98</v>
      </c>
      <c r="V1211" s="77">
        <v>10</v>
      </c>
      <c r="W1211" s="77">
        <f>STOCK[[#This Row],[Precio Final]]-STOCK[[#This Row],[Costo total]]</f>
        <v>4.68</v>
      </c>
      <c r="X1211" s="77">
        <f>STOCK[[#This Row],[Ganancia Unitaria]]*STOCK[[#This Row],[Salidas]]</f>
        <v>9.36</v>
      </c>
      <c r="AA1211" s="77">
        <f>STOCK[[#This Row],[Costo total]]*STOCK[[#This Row],[Entradas]]</f>
        <v>10.64</v>
      </c>
      <c r="AB1211" s="77">
        <f>STOCK[[#This Row],[Stock Actual]]*STOCK[[#This Row],[Costo total]]</f>
        <v>0</v>
      </c>
    </row>
    <row r="1212" s="76" customFormat="1" ht="50" hidden="1" customHeight="1" spans="1:28">
      <c r="A1212" s="76" t="s">
        <v>2536</v>
      </c>
      <c r="B1212" s="6"/>
      <c r="C1212" s="76" t="s">
        <v>30</v>
      </c>
      <c r="D1212" s="76" t="s">
        <v>173</v>
      </c>
      <c r="E1212" s="76" t="s">
        <v>2537</v>
      </c>
      <c r="F1212" s="76" t="s">
        <v>44</v>
      </c>
      <c r="G1212" s="76" t="s">
        <v>34</v>
      </c>
      <c r="H1212" s="76">
        <f>STOCK[[#This Row],[Precio Final]]</f>
        <v>10</v>
      </c>
      <c r="I1212" s="76">
        <f>STOCK[[#This Row],[Precio Venta Ideal (x1.5)]]</f>
        <v>5.025</v>
      </c>
      <c r="J1212" s="91">
        <v>2</v>
      </c>
      <c r="K1212" s="91">
        <f>SUMIFS(VENTAS[Cantidad],VENTAS[Código del producto Vendido],STOCK[[#This Row],[Code]])</f>
        <v>2</v>
      </c>
      <c r="L1212" s="91">
        <f>STOCK[[#This Row],[Entradas]]-STOCK[[#This Row],[Salidas]]</f>
        <v>0</v>
      </c>
      <c r="M1212" s="76">
        <f>STOCK[[#This Row],[Precio Final]]*10%</f>
        <v>1</v>
      </c>
      <c r="N1212" s="76">
        <v>0</v>
      </c>
      <c r="O1212" s="76">
        <v>0</v>
      </c>
      <c r="P1212" s="77">
        <v>2.35</v>
      </c>
      <c r="Q1212" s="91">
        <v>0</v>
      </c>
      <c r="R1212" s="76">
        <v>0</v>
      </c>
      <c r="S1212" s="76">
        <v>0</v>
      </c>
      <c r="T1212" s="76">
        <f>STOCK[[#This Row],[Costo Unitario (USD)]]+STOCK[[#This Row],[Costo Envío (USD)]]+STOCK[[#This Row],[Comisión 10%]]</f>
        <v>3.35</v>
      </c>
      <c r="U1212" s="76">
        <f>STOCK[[#This Row],[Costo total]]*1.5</f>
        <v>5.025</v>
      </c>
      <c r="V1212" s="76">
        <v>10</v>
      </c>
      <c r="W1212" s="76">
        <f>STOCK[[#This Row],[Precio Final]]-STOCK[[#This Row],[Costo total]]</f>
        <v>6.65</v>
      </c>
      <c r="X1212" s="76">
        <f>STOCK[[#This Row],[Ganancia Unitaria]]*STOCK[[#This Row],[Salidas]]</f>
        <v>13.3</v>
      </c>
      <c r="AA1212" s="76">
        <f>STOCK[[#This Row],[Costo total]]*STOCK[[#This Row],[Entradas]]</f>
        <v>6.7</v>
      </c>
      <c r="AB1212" s="76">
        <f>STOCK[[#This Row],[Stock Actual]]*STOCK[[#This Row],[Costo total]]</f>
        <v>0</v>
      </c>
    </row>
    <row r="1213" s="76" customFormat="1" ht="50" hidden="1" customHeight="1" spans="1:28">
      <c r="A1213" s="76" t="s">
        <v>2538</v>
      </c>
      <c r="B1213" s="6"/>
      <c r="C1213" s="76" t="s">
        <v>30</v>
      </c>
      <c r="D1213" s="76" t="s">
        <v>173</v>
      </c>
      <c r="E1213" s="76" t="s">
        <v>2537</v>
      </c>
      <c r="F1213" s="76" t="s">
        <v>60</v>
      </c>
      <c r="G1213" s="76" t="s">
        <v>34</v>
      </c>
      <c r="H1213" s="76">
        <f>STOCK[[#This Row],[Precio Final]]</f>
        <v>10</v>
      </c>
      <c r="I1213" s="76">
        <f>STOCK[[#This Row],[Precio Venta Ideal (x1.5)]]</f>
        <v>4</v>
      </c>
      <c r="J1213" s="91">
        <v>2</v>
      </c>
      <c r="K1213" s="91">
        <f>SUMIFS(VENTAS[Cantidad],VENTAS[Código del producto Vendido],STOCK[[#This Row],[Code]])</f>
        <v>0</v>
      </c>
      <c r="L1213" s="91">
        <f>STOCK[[#This Row],[Entradas]]-STOCK[[#This Row],[Salidas]]</f>
        <v>2</v>
      </c>
      <c r="M1213" s="76">
        <f>STOCK[[#This Row],[Precio Final]]*10%</f>
        <v>1</v>
      </c>
      <c r="N1213" s="76">
        <v>0</v>
      </c>
      <c r="O1213" s="76">
        <v>0</v>
      </c>
      <c r="P1213" s="77">
        <v>2.33</v>
      </c>
      <c r="Q1213" s="91">
        <v>0</v>
      </c>
      <c r="R1213" s="76">
        <v>0</v>
      </c>
      <c r="S1213" s="76">
        <f>STOCK[[#This Row],[Peso (g)]]*STOCK[[#This Row],[Precio Envío Kilogramo (USD)]]/1000</f>
        <v>0</v>
      </c>
      <c r="T1213" s="76">
        <f>STOCK[[#This Row],[Costo Unitario (USD)]]+STOCK[[#This Row],[Costo Envío (USD)]]+STOCK[[#This Row],[Comisión 10%]]</f>
        <v>3.33</v>
      </c>
      <c r="U1213" s="76">
        <f>ROUNDUP(T1213,0)</f>
        <v>4</v>
      </c>
      <c r="V1213" s="76">
        <v>10</v>
      </c>
      <c r="W1213" s="76">
        <f>STOCK[[#This Row],[Precio Final]]-STOCK[[#This Row],[Costo total]]</f>
        <v>6.67</v>
      </c>
      <c r="X1213" s="76">
        <f>STOCK[[#This Row],[Ganancia Unitaria]]*STOCK[[#This Row],[Salidas]]</f>
        <v>0</v>
      </c>
      <c r="AA1213" s="76">
        <f>STOCK[[#This Row],[Costo total]]*STOCK[[#This Row],[Entradas]]</f>
        <v>6.66</v>
      </c>
      <c r="AB1213" s="76">
        <f>STOCK[[#This Row],[Stock Actual]]*STOCK[[#This Row],[Costo total]]</f>
        <v>6.66</v>
      </c>
    </row>
    <row r="1214" s="77" customFormat="1" ht="50" hidden="1" customHeight="1" spans="1:28">
      <c r="A1214" s="77" t="s">
        <v>2539</v>
      </c>
      <c r="B1214" s="6"/>
      <c r="C1214" s="77" t="s">
        <v>30</v>
      </c>
      <c r="D1214" s="77" t="s">
        <v>173</v>
      </c>
      <c r="E1214" s="77" t="s">
        <v>2537</v>
      </c>
      <c r="F1214" s="77" t="s">
        <v>47</v>
      </c>
      <c r="G1214" s="77" t="s">
        <v>34</v>
      </c>
      <c r="H1214" s="77">
        <f>STOCK[[#This Row],[Precio Final]]</f>
        <v>10</v>
      </c>
      <c r="I1214" s="77">
        <f>STOCK[[#This Row],[Precio Venta Ideal (x1.5)]]</f>
        <v>7.98</v>
      </c>
      <c r="J1214" s="92">
        <v>2</v>
      </c>
      <c r="K1214" s="92">
        <f>SUMIFS(VENTAS[Cantidad],VENTAS[Código del producto Vendido],STOCK[[#This Row],[Code]])</f>
        <v>2</v>
      </c>
      <c r="L1214" s="92">
        <f>STOCK[[#This Row],[Entradas]]-STOCK[[#This Row],[Salidas]]</f>
        <v>0</v>
      </c>
      <c r="M1214" s="77">
        <f>STOCK[[#This Row],[Precio Final]]*10%</f>
        <v>1</v>
      </c>
      <c r="N1214" s="77">
        <v>0</v>
      </c>
      <c r="O1214" s="77">
        <v>0</v>
      </c>
      <c r="P1214" s="77">
        <v>2.35</v>
      </c>
      <c r="Q1214" s="92">
        <v>0</v>
      </c>
      <c r="R1214" s="77">
        <v>0</v>
      </c>
      <c r="S1214" s="77">
        <v>1.97</v>
      </c>
      <c r="T1214" s="76">
        <f>STOCK[[#This Row],[Costo Unitario (USD)]]+STOCK[[#This Row],[Costo Envío (USD)]]+STOCK[[#This Row],[Comisión 10%]]</f>
        <v>5.32</v>
      </c>
      <c r="U1214" s="77">
        <f>STOCK[[#This Row],[Costo total]]*1.5</f>
        <v>7.98</v>
      </c>
      <c r="V1214" s="77">
        <v>10</v>
      </c>
      <c r="W1214" s="77">
        <f>STOCK[[#This Row],[Precio Final]]-STOCK[[#This Row],[Costo total]]</f>
        <v>4.68</v>
      </c>
      <c r="X1214" s="77">
        <f>STOCK[[#This Row],[Ganancia Unitaria]]*STOCK[[#This Row],[Salidas]]</f>
        <v>9.36</v>
      </c>
      <c r="AA1214" s="77">
        <f>STOCK[[#This Row],[Costo total]]*STOCK[[#This Row],[Entradas]]</f>
        <v>10.64</v>
      </c>
      <c r="AB1214" s="77">
        <f>STOCK[[#This Row],[Stock Actual]]*STOCK[[#This Row],[Costo total]]</f>
        <v>0</v>
      </c>
    </row>
    <row r="1215" s="76" customFormat="1" ht="50" hidden="1" customHeight="1" spans="1:28">
      <c r="A1215" s="76" t="s">
        <v>2540</v>
      </c>
      <c r="B1215" s="6"/>
      <c r="C1215" s="76" t="s">
        <v>30</v>
      </c>
      <c r="D1215" s="76" t="s">
        <v>173</v>
      </c>
      <c r="E1215" s="76" t="s">
        <v>2541</v>
      </c>
      <c r="F1215" s="76" t="s">
        <v>60</v>
      </c>
      <c r="G1215" s="76" t="s">
        <v>34</v>
      </c>
      <c r="H1215" s="76">
        <f>STOCK[[#This Row],[Precio Final]]</f>
        <v>10</v>
      </c>
      <c r="I1215" s="76">
        <f>STOCK[[#This Row],[Precio Venta Ideal (x1.5)]]</f>
        <v>7.98</v>
      </c>
      <c r="J1215" s="91">
        <v>2</v>
      </c>
      <c r="K1215" s="91">
        <f>SUMIFS(VENTAS[Cantidad],VENTAS[Código del producto Vendido],STOCK[[#This Row],[Code]])</f>
        <v>0</v>
      </c>
      <c r="L1215" s="91">
        <f>STOCK[[#This Row],[Entradas]]-STOCK[[#This Row],[Salidas]]</f>
        <v>2</v>
      </c>
      <c r="M1215" s="76">
        <f>STOCK[[#This Row],[Precio Final]]*10%</f>
        <v>1</v>
      </c>
      <c r="N1215" s="76">
        <v>0</v>
      </c>
      <c r="O1215" s="76">
        <v>0</v>
      </c>
      <c r="P1215" s="76">
        <v>2.35</v>
      </c>
      <c r="Q1215" s="91">
        <v>0</v>
      </c>
      <c r="R1215" s="76">
        <v>0</v>
      </c>
      <c r="S1215" s="76">
        <v>1.97</v>
      </c>
      <c r="T1215" s="76">
        <f>STOCK[[#This Row],[Costo Unitario (USD)]]+STOCK[[#This Row],[Costo Envío (USD)]]+STOCK[[#This Row],[Comisión 10%]]</f>
        <v>5.32</v>
      </c>
      <c r="U1215" s="76">
        <f>STOCK[[#This Row],[Costo total]]*1.5</f>
        <v>7.98</v>
      </c>
      <c r="V1215" s="76">
        <v>10</v>
      </c>
      <c r="W1215" s="76">
        <f>STOCK[[#This Row],[Precio Final]]-STOCK[[#This Row],[Costo total]]</f>
        <v>4.68</v>
      </c>
      <c r="X1215" s="76">
        <f>STOCK[[#This Row],[Ganancia Unitaria]]*STOCK[[#This Row],[Salidas]]</f>
        <v>0</v>
      </c>
      <c r="AA1215" s="76">
        <f>STOCK[[#This Row],[Costo total]]*STOCK[[#This Row],[Entradas]]</f>
        <v>10.64</v>
      </c>
      <c r="AB1215" s="76">
        <f>STOCK[[#This Row],[Stock Actual]]*STOCK[[#This Row],[Costo total]]</f>
        <v>10.64</v>
      </c>
    </row>
    <row r="1216" s="77" customFormat="1" ht="50" hidden="1" customHeight="1" spans="1:28">
      <c r="A1216" s="77" t="s">
        <v>2542</v>
      </c>
      <c r="B1216" s="6"/>
      <c r="C1216" s="77" t="s">
        <v>30</v>
      </c>
      <c r="D1216" s="77" t="s">
        <v>173</v>
      </c>
      <c r="E1216" s="77" t="s">
        <v>2541</v>
      </c>
      <c r="F1216" s="77" t="s">
        <v>47</v>
      </c>
      <c r="G1216" s="77" t="s">
        <v>34</v>
      </c>
      <c r="H1216" s="77">
        <f>STOCK[[#This Row],[Precio Final]]</f>
        <v>10</v>
      </c>
      <c r="I1216" s="77">
        <f>STOCK[[#This Row],[Precio Venta Ideal (x1.5)]]</f>
        <v>7.98</v>
      </c>
      <c r="J1216" s="92">
        <v>2</v>
      </c>
      <c r="K1216" s="92">
        <f>SUMIFS(VENTAS[Cantidad],VENTAS[Código del producto Vendido],STOCK[[#This Row],[Code]])</f>
        <v>2</v>
      </c>
      <c r="L1216" s="92">
        <f>STOCK[[#This Row],[Entradas]]-STOCK[[#This Row],[Salidas]]</f>
        <v>0</v>
      </c>
      <c r="M1216" s="77">
        <f>STOCK[[#This Row],[Precio Final]]*10%</f>
        <v>1</v>
      </c>
      <c r="N1216" s="77">
        <v>0</v>
      </c>
      <c r="O1216" s="77">
        <v>0</v>
      </c>
      <c r="P1216" s="77">
        <v>2.35</v>
      </c>
      <c r="Q1216" s="92">
        <v>0</v>
      </c>
      <c r="R1216" s="77">
        <v>0</v>
      </c>
      <c r="S1216" s="77">
        <v>1.97</v>
      </c>
      <c r="T1216" s="76">
        <f>STOCK[[#This Row],[Costo Unitario (USD)]]+STOCK[[#This Row],[Costo Envío (USD)]]+STOCK[[#This Row],[Comisión 10%]]</f>
        <v>5.32</v>
      </c>
      <c r="U1216" s="77">
        <f>STOCK[[#This Row],[Costo total]]*1.5</f>
        <v>7.98</v>
      </c>
      <c r="V1216" s="77">
        <v>10</v>
      </c>
      <c r="W1216" s="77">
        <f>STOCK[[#This Row],[Precio Final]]-STOCK[[#This Row],[Costo total]]</f>
        <v>4.68</v>
      </c>
      <c r="X1216" s="77">
        <f>STOCK[[#This Row],[Ganancia Unitaria]]*STOCK[[#This Row],[Salidas]]</f>
        <v>9.36</v>
      </c>
      <c r="AA1216" s="77">
        <f>STOCK[[#This Row],[Costo total]]*STOCK[[#This Row],[Entradas]]</f>
        <v>10.64</v>
      </c>
      <c r="AB1216" s="77">
        <f>STOCK[[#This Row],[Stock Actual]]*STOCK[[#This Row],[Costo total]]</f>
        <v>0</v>
      </c>
    </row>
    <row r="1217" s="76" customFormat="1" ht="50" hidden="1" customHeight="1" spans="1:28">
      <c r="A1217" s="76" t="s">
        <v>2543</v>
      </c>
      <c r="B1217" s="6"/>
      <c r="C1217" s="76" t="s">
        <v>30</v>
      </c>
      <c r="D1217" s="76" t="s">
        <v>173</v>
      </c>
      <c r="E1217" s="76" t="s">
        <v>2541</v>
      </c>
      <c r="F1217" s="76" t="s">
        <v>44</v>
      </c>
      <c r="G1217" s="76" t="s">
        <v>34</v>
      </c>
      <c r="H1217" s="76">
        <f>STOCK[[#This Row],[Precio Final]]</f>
        <v>10</v>
      </c>
      <c r="I1217" s="76">
        <f>STOCK[[#This Row],[Precio Venta Ideal (x1.5)]]</f>
        <v>7.98</v>
      </c>
      <c r="J1217" s="91">
        <v>2</v>
      </c>
      <c r="K1217" s="91">
        <f>SUMIFS(VENTAS[Cantidad],VENTAS[Código del producto Vendido],STOCK[[#This Row],[Code]])</f>
        <v>1</v>
      </c>
      <c r="L1217" s="91">
        <f>STOCK[[#This Row],[Entradas]]-STOCK[[#This Row],[Salidas]]</f>
        <v>1</v>
      </c>
      <c r="M1217" s="76">
        <f>STOCK[[#This Row],[Precio Final]]*10%</f>
        <v>1</v>
      </c>
      <c r="N1217" s="76">
        <v>0</v>
      </c>
      <c r="O1217" s="76">
        <v>0</v>
      </c>
      <c r="P1217" s="76">
        <v>2.35</v>
      </c>
      <c r="Q1217" s="91">
        <v>0</v>
      </c>
      <c r="R1217" s="76">
        <v>0</v>
      </c>
      <c r="S1217" s="76">
        <v>1.97</v>
      </c>
      <c r="T1217" s="76">
        <f>STOCK[[#This Row],[Costo Unitario (USD)]]+STOCK[[#This Row],[Costo Envío (USD)]]+STOCK[[#This Row],[Comisión 10%]]</f>
        <v>5.32</v>
      </c>
      <c r="U1217" s="76">
        <f>STOCK[[#This Row],[Costo total]]*1.5</f>
        <v>7.98</v>
      </c>
      <c r="V1217" s="76">
        <v>10</v>
      </c>
      <c r="W1217" s="76">
        <f>STOCK[[#This Row],[Precio Final]]-STOCK[[#This Row],[Costo total]]</f>
        <v>4.68</v>
      </c>
      <c r="X1217" s="76">
        <f>STOCK[[#This Row],[Ganancia Unitaria]]*STOCK[[#This Row],[Salidas]]</f>
        <v>4.68</v>
      </c>
      <c r="AA1217" s="76">
        <f>STOCK[[#This Row],[Costo total]]*STOCK[[#This Row],[Entradas]]</f>
        <v>10.64</v>
      </c>
      <c r="AB1217" s="76">
        <f>STOCK[[#This Row],[Stock Actual]]*STOCK[[#This Row],[Costo total]]</f>
        <v>5.32</v>
      </c>
    </row>
    <row r="1218" s="76" customFormat="1" ht="50" hidden="1" customHeight="1" spans="1:28">
      <c r="A1218" s="76" t="s">
        <v>2544</v>
      </c>
      <c r="B1218" s="6"/>
      <c r="C1218" s="76" t="s">
        <v>30</v>
      </c>
      <c r="D1218" s="76" t="s">
        <v>173</v>
      </c>
      <c r="E1218" s="76" t="s">
        <v>2545</v>
      </c>
      <c r="F1218" s="76" t="s">
        <v>47</v>
      </c>
      <c r="G1218" s="76" t="s">
        <v>34</v>
      </c>
      <c r="H1218" s="76">
        <f>STOCK[[#This Row],[Precio Final]]</f>
        <v>10</v>
      </c>
      <c r="I1218" s="76">
        <f>STOCK[[#This Row],[Precio Venta Ideal (x1.5)]]</f>
        <v>6</v>
      </c>
      <c r="J1218" s="91">
        <v>2</v>
      </c>
      <c r="K1218" s="91">
        <f>SUMIFS(VENTAS[Cantidad],VENTAS[Código del producto Vendido],STOCK[[#This Row],[Code]])</f>
        <v>2</v>
      </c>
      <c r="L1218" s="91">
        <f>STOCK[[#This Row],[Entradas]]-STOCK[[#This Row],[Salidas]]</f>
        <v>0</v>
      </c>
      <c r="M1218" s="76">
        <f>STOCK[[#This Row],[Precio Final]]*10%</f>
        <v>1</v>
      </c>
      <c r="N1218" s="76">
        <v>0</v>
      </c>
      <c r="O1218" s="76">
        <v>0</v>
      </c>
      <c r="P1218" s="76">
        <v>2.35</v>
      </c>
      <c r="Q1218" s="91">
        <v>0</v>
      </c>
      <c r="R1218" s="76">
        <v>0</v>
      </c>
      <c r="S1218" s="76">
        <v>1.97</v>
      </c>
      <c r="T1218" s="76">
        <f>STOCK[[#This Row],[Costo Unitario (USD)]]+STOCK[[#This Row],[Costo Envío (USD)]]+STOCK[[#This Row],[Comisión 10%]]</f>
        <v>5.32</v>
      </c>
      <c r="U1218" s="76">
        <f t="shared" ref="U1218:U1225" si="0">ROUNDUP(T1218,0)</f>
        <v>6</v>
      </c>
      <c r="V1218" s="76">
        <v>10</v>
      </c>
      <c r="W1218" s="76">
        <f>STOCK[[#This Row],[Precio Final]]-STOCK[[#This Row],[Costo total]]</f>
        <v>4.68</v>
      </c>
      <c r="X1218" s="76">
        <f>STOCK[[#This Row],[Ganancia Unitaria]]*STOCK[[#This Row],[Salidas]]</f>
        <v>9.36</v>
      </c>
      <c r="AA1218" s="76">
        <f>STOCK[[#This Row],[Costo total]]*STOCK[[#This Row],[Entradas]]</f>
        <v>10.64</v>
      </c>
      <c r="AB1218" s="76">
        <f>STOCK[[#This Row],[Stock Actual]]*STOCK[[#This Row],[Costo total]]</f>
        <v>0</v>
      </c>
    </row>
    <row r="1219" s="76" customFormat="1" ht="50" hidden="1" customHeight="1" spans="1:28">
      <c r="A1219" s="76" t="s">
        <v>2546</v>
      </c>
      <c r="B1219" s="6"/>
      <c r="C1219" s="76" t="s">
        <v>30</v>
      </c>
      <c r="D1219" s="76" t="s">
        <v>173</v>
      </c>
      <c r="E1219" s="76" t="s">
        <v>2545</v>
      </c>
      <c r="F1219" s="76" t="s">
        <v>60</v>
      </c>
      <c r="G1219" s="76" t="s">
        <v>34</v>
      </c>
      <c r="H1219" s="76">
        <f>STOCK[[#This Row],[Precio Final]]</f>
        <v>10</v>
      </c>
      <c r="I1219" s="76">
        <f>STOCK[[#This Row],[Precio Venta Ideal (x1.5)]]</f>
        <v>6</v>
      </c>
      <c r="J1219" s="91">
        <v>2</v>
      </c>
      <c r="K1219" s="91">
        <f>SUMIFS(VENTAS[Cantidad],VENTAS[Código del producto Vendido],STOCK[[#This Row],[Code]])</f>
        <v>1</v>
      </c>
      <c r="L1219" s="91">
        <f>STOCK[[#This Row],[Entradas]]-STOCK[[#This Row],[Salidas]]</f>
        <v>1</v>
      </c>
      <c r="M1219" s="76">
        <f>STOCK[[#This Row],[Precio Final]]*10%</f>
        <v>1</v>
      </c>
      <c r="N1219" s="76">
        <v>0</v>
      </c>
      <c r="O1219" s="76">
        <v>0</v>
      </c>
      <c r="P1219" s="76">
        <v>2.35</v>
      </c>
      <c r="Q1219" s="91">
        <v>0</v>
      </c>
      <c r="R1219" s="76">
        <v>0</v>
      </c>
      <c r="S1219" s="76">
        <v>1.97</v>
      </c>
      <c r="T1219" s="76">
        <f>STOCK[[#This Row],[Costo Unitario (USD)]]+STOCK[[#This Row],[Costo Envío (USD)]]+STOCK[[#This Row],[Comisión 10%]]</f>
        <v>5.32</v>
      </c>
      <c r="U1219" s="76">
        <f t="shared" si="0"/>
        <v>6</v>
      </c>
      <c r="V1219" s="76">
        <v>10</v>
      </c>
      <c r="W1219" s="76">
        <f>STOCK[[#This Row],[Precio Final]]-STOCK[[#This Row],[Costo total]]</f>
        <v>4.68</v>
      </c>
      <c r="X1219" s="76">
        <f>STOCK[[#This Row],[Ganancia Unitaria]]*STOCK[[#This Row],[Salidas]]</f>
        <v>4.68</v>
      </c>
      <c r="AA1219" s="76">
        <f>STOCK[[#This Row],[Costo total]]*STOCK[[#This Row],[Entradas]]</f>
        <v>10.64</v>
      </c>
      <c r="AB1219" s="76">
        <f>STOCK[[#This Row],[Stock Actual]]*STOCK[[#This Row],[Costo total]]</f>
        <v>5.32</v>
      </c>
    </row>
    <row r="1220" s="76" customFormat="1" ht="50" hidden="1" customHeight="1" spans="1:28">
      <c r="A1220" s="76" t="s">
        <v>2547</v>
      </c>
      <c r="B1220" s="6"/>
      <c r="C1220" s="76" t="s">
        <v>30</v>
      </c>
      <c r="D1220" s="76" t="s">
        <v>173</v>
      </c>
      <c r="E1220" s="76" t="s">
        <v>2545</v>
      </c>
      <c r="F1220" s="76" t="s">
        <v>44</v>
      </c>
      <c r="G1220" s="76" t="s">
        <v>34</v>
      </c>
      <c r="H1220" s="76">
        <f>STOCK[[#This Row],[Precio Final]]</f>
        <v>10</v>
      </c>
      <c r="I1220" s="76">
        <f>STOCK[[#This Row],[Precio Venta Ideal (x1.5)]]</f>
        <v>6</v>
      </c>
      <c r="J1220" s="91">
        <v>2</v>
      </c>
      <c r="K1220" s="91">
        <f>SUMIFS(VENTAS[Cantidad],VENTAS[Código del producto Vendido],STOCK[[#This Row],[Code]])</f>
        <v>2</v>
      </c>
      <c r="L1220" s="91">
        <f>STOCK[[#This Row],[Entradas]]-STOCK[[#This Row],[Salidas]]</f>
        <v>0</v>
      </c>
      <c r="M1220" s="76">
        <f>STOCK[[#This Row],[Precio Final]]*10%</f>
        <v>1</v>
      </c>
      <c r="N1220" s="76">
        <v>0</v>
      </c>
      <c r="O1220" s="76">
        <v>0</v>
      </c>
      <c r="P1220" s="76">
        <v>2.35</v>
      </c>
      <c r="Q1220" s="91">
        <v>0</v>
      </c>
      <c r="R1220" s="76">
        <v>0</v>
      </c>
      <c r="S1220" s="76">
        <v>1.97</v>
      </c>
      <c r="T1220" s="76">
        <f>STOCK[[#This Row],[Costo Unitario (USD)]]+STOCK[[#This Row],[Costo Envío (USD)]]+STOCK[[#This Row],[Comisión 10%]]</f>
        <v>5.32</v>
      </c>
      <c r="U1220" s="76">
        <f t="shared" si="0"/>
        <v>6</v>
      </c>
      <c r="V1220" s="76">
        <v>10</v>
      </c>
      <c r="W1220" s="76">
        <f>STOCK[[#This Row],[Precio Final]]-STOCK[[#This Row],[Costo total]]</f>
        <v>4.68</v>
      </c>
      <c r="X1220" s="76">
        <f>STOCK[[#This Row],[Ganancia Unitaria]]*STOCK[[#This Row],[Salidas]]</f>
        <v>9.36</v>
      </c>
      <c r="AA1220" s="76">
        <f>STOCK[[#This Row],[Costo total]]*STOCK[[#This Row],[Entradas]]</f>
        <v>10.64</v>
      </c>
      <c r="AB1220" s="76">
        <f>STOCK[[#This Row],[Stock Actual]]*STOCK[[#This Row],[Costo total]]</f>
        <v>0</v>
      </c>
    </row>
    <row r="1221" s="76" customFormat="1" ht="50" hidden="1" customHeight="1" spans="1:28">
      <c r="A1221" s="76" t="s">
        <v>2548</v>
      </c>
      <c r="B1221" s="6"/>
      <c r="C1221" s="76" t="s">
        <v>30</v>
      </c>
      <c r="D1221" s="76" t="s">
        <v>173</v>
      </c>
      <c r="E1221" s="76" t="s">
        <v>2549</v>
      </c>
      <c r="F1221" s="76" t="s">
        <v>47</v>
      </c>
      <c r="G1221" s="76" t="s">
        <v>34</v>
      </c>
      <c r="H1221" s="76">
        <f>STOCK[[#This Row],[Precio Final]]</f>
        <v>10</v>
      </c>
      <c r="I1221" s="76">
        <f>STOCK[[#This Row],[Precio Venta Ideal (x1.5)]]</f>
        <v>6</v>
      </c>
      <c r="J1221" s="91">
        <v>2</v>
      </c>
      <c r="K1221" s="91">
        <f>SUMIFS(VENTAS[Cantidad],VENTAS[Código del producto Vendido],STOCK[[#This Row],[Code]])</f>
        <v>1</v>
      </c>
      <c r="L1221" s="91">
        <f>STOCK[[#This Row],[Entradas]]-STOCK[[#This Row],[Salidas]]</f>
        <v>1</v>
      </c>
      <c r="M1221" s="76">
        <f>STOCK[[#This Row],[Precio Final]]*10%</f>
        <v>1</v>
      </c>
      <c r="N1221" s="76">
        <v>0</v>
      </c>
      <c r="O1221" s="76">
        <v>0</v>
      </c>
      <c r="P1221" s="76">
        <v>2.35</v>
      </c>
      <c r="Q1221" s="91">
        <v>0</v>
      </c>
      <c r="R1221" s="76">
        <v>0</v>
      </c>
      <c r="S1221" s="76">
        <v>1.97</v>
      </c>
      <c r="T1221" s="76">
        <f>STOCK[[#This Row],[Costo Unitario (USD)]]+STOCK[[#This Row],[Costo Envío (USD)]]+STOCK[[#This Row],[Comisión 10%]]</f>
        <v>5.32</v>
      </c>
      <c r="U1221" s="76">
        <f t="shared" si="0"/>
        <v>6</v>
      </c>
      <c r="V1221" s="76">
        <v>10</v>
      </c>
      <c r="W1221" s="76">
        <f>STOCK[[#This Row],[Precio Final]]-STOCK[[#This Row],[Costo total]]</f>
        <v>4.68</v>
      </c>
      <c r="X1221" s="76">
        <f>STOCK[[#This Row],[Ganancia Unitaria]]*STOCK[[#This Row],[Salidas]]</f>
        <v>4.68</v>
      </c>
      <c r="AA1221" s="76">
        <f>STOCK[[#This Row],[Costo total]]*STOCK[[#This Row],[Entradas]]</f>
        <v>10.64</v>
      </c>
      <c r="AB1221" s="76">
        <f>STOCK[[#This Row],[Stock Actual]]*STOCK[[#This Row],[Costo total]]</f>
        <v>5.32</v>
      </c>
    </row>
    <row r="1222" s="76" customFormat="1" ht="50" hidden="1" customHeight="1" spans="1:28">
      <c r="A1222" s="76" t="s">
        <v>2550</v>
      </c>
      <c r="B1222" s="6"/>
      <c r="C1222" s="76" t="s">
        <v>30</v>
      </c>
      <c r="D1222" s="76" t="s">
        <v>173</v>
      </c>
      <c r="E1222" s="76" t="s">
        <v>2549</v>
      </c>
      <c r="F1222" s="76" t="s">
        <v>44</v>
      </c>
      <c r="G1222" s="76" t="s">
        <v>34</v>
      </c>
      <c r="H1222" s="76">
        <f>STOCK[[#This Row],[Precio Final]]</f>
        <v>10</v>
      </c>
      <c r="I1222" s="76">
        <f>STOCK[[#This Row],[Precio Venta Ideal (x1.5)]]</f>
        <v>6</v>
      </c>
      <c r="J1222" s="91">
        <v>2</v>
      </c>
      <c r="K1222" s="91">
        <f>SUMIFS(VENTAS[Cantidad],VENTAS[Código del producto Vendido],STOCK[[#This Row],[Code]])</f>
        <v>2</v>
      </c>
      <c r="L1222" s="91">
        <f>STOCK[[#This Row],[Entradas]]-STOCK[[#This Row],[Salidas]]</f>
        <v>0</v>
      </c>
      <c r="M1222" s="76">
        <f>STOCK[[#This Row],[Precio Final]]*10%</f>
        <v>1</v>
      </c>
      <c r="N1222" s="76">
        <v>0</v>
      </c>
      <c r="O1222" s="76">
        <v>0</v>
      </c>
      <c r="P1222" s="76">
        <v>2.35</v>
      </c>
      <c r="Q1222" s="91">
        <v>0</v>
      </c>
      <c r="R1222" s="76">
        <v>0</v>
      </c>
      <c r="S1222" s="76">
        <v>1.97</v>
      </c>
      <c r="T1222" s="76">
        <f>STOCK[[#This Row],[Costo Unitario (USD)]]+STOCK[[#This Row],[Costo Envío (USD)]]+STOCK[[#This Row],[Comisión 10%]]</f>
        <v>5.32</v>
      </c>
      <c r="U1222" s="76">
        <f t="shared" si="0"/>
        <v>6</v>
      </c>
      <c r="V1222" s="76">
        <v>10</v>
      </c>
      <c r="W1222" s="76">
        <f>STOCK[[#This Row],[Precio Final]]-STOCK[[#This Row],[Costo total]]</f>
        <v>4.68</v>
      </c>
      <c r="X1222" s="76">
        <f>STOCK[[#This Row],[Ganancia Unitaria]]*STOCK[[#This Row],[Salidas]]</f>
        <v>9.36</v>
      </c>
      <c r="AA1222" s="76">
        <f>STOCK[[#This Row],[Costo total]]*STOCK[[#This Row],[Entradas]]</f>
        <v>10.64</v>
      </c>
      <c r="AB1222" s="76">
        <f>STOCK[[#This Row],[Stock Actual]]*STOCK[[#This Row],[Costo total]]</f>
        <v>0</v>
      </c>
    </row>
    <row r="1223" s="76" customFormat="1" ht="50" hidden="1" customHeight="1" spans="1:28">
      <c r="A1223" s="76" t="s">
        <v>2551</v>
      </c>
      <c r="B1223" s="6"/>
      <c r="C1223" s="76" t="s">
        <v>30</v>
      </c>
      <c r="D1223" s="76" t="s">
        <v>173</v>
      </c>
      <c r="E1223" s="76" t="s">
        <v>2552</v>
      </c>
      <c r="F1223" s="76" t="s">
        <v>60</v>
      </c>
      <c r="G1223" s="76" t="s">
        <v>34</v>
      </c>
      <c r="H1223" s="76">
        <f>STOCK[[#This Row],[Precio Final]]</f>
        <v>10</v>
      </c>
      <c r="I1223" s="76">
        <f>STOCK[[#This Row],[Precio Venta Ideal (x1.5)]]</f>
        <v>6</v>
      </c>
      <c r="J1223" s="91">
        <v>2</v>
      </c>
      <c r="K1223" s="91">
        <f>SUMIFS(VENTAS[Cantidad],VENTAS[Código del producto Vendido],STOCK[[#This Row],[Code]])</f>
        <v>1</v>
      </c>
      <c r="L1223" s="91">
        <f>STOCK[[#This Row],[Entradas]]-STOCK[[#This Row],[Salidas]]</f>
        <v>1</v>
      </c>
      <c r="M1223" s="76">
        <f>STOCK[[#This Row],[Precio Final]]*10%</f>
        <v>1</v>
      </c>
      <c r="N1223" s="76">
        <v>0</v>
      </c>
      <c r="O1223" s="76">
        <v>0</v>
      </c>
      <c r="P1223" s="76">
        <v>2.35</v>
      </c>
      <c r="Q1223" s="91">
        <v>0</v>
      </c>
      <c r="R1223" s="76">
        <v>0</v>
      </c>
      <c r="S1223" s="76">
        <v>1.97</v>
      </c>
      <c r="T1223" s="76">
        <f>STOCK[[#This Row],[Costo Unitario (USD)]]+STOCK[[#This Row],[Costo Envío (USD)]]+STOCK[[#This Row],[Comisión 10%]]</f>
        <v>5.32</v>
      </c>
      <c r="U1223" s="76">
        <f t="shared" si="0"/>
        <v>6</v>
      </c>
      <c r="V1223" s="76">
        <v>10</v>
      </c>
      <c r="W1223" s="76">
        <f>STOCK[[#This Row],[Precio Final]]-STOCK[[#This Row],[Costo total]]</f>
        <v>4.68</v>
      </c>
      <c r="X1223" s="76">
        <f>STOCK[[#This Row],[Ganancia Unitaria]]*STOCK[[#This Row],[Salidas]]</f>
        <v>4.68</v>
      </c>
      <c r="AA1223" s="76">
        <f>STOCK[[#This Row],[Costo total]]*STOCK[[#This Row],[Entradas]]</f>
        <v>10.64</v>
      </c>
      <c r="AB1223" s="76">
        <f>STOCK[[#This Row],[Stock Actual]]*STOCK[[#This Row],[Costo total]]</f>
        <v>5.32</v>
      </c>
    </row>
    <row r="1224" s="76" customFormat="1" ht="50" hidden="1" customHeight="1" spans="1:28">
      <c r="A1224" s="76" t="s">
        <v>2553</v>
      </c>
      <c r="B1224" s="6"/>
      <c r="C1224" s="76" t="s">
        <v>30</v>
      </c>
      <c r="D1224" s="76" t="s">
        <v>173</v>
      </c>
      <c r="E1224" s="76" t="s">
        <v>2552</v>
      </c>
      <c r="F1224" s="76" t="s">
        <v>47</v>
      </c>
      <c r="G1224" s="76" t="s">
        <v>34</v>
      </c>
      <c r="H1224" s="76">
        <f>STOCK[[#This Row],[Precio Final]]</f>
        <v>10</v>
      </c>
      <c r="I1224" s="76">
        <f>STOCK[[#This Row],[Precio Venta Ideal (x1.5)]]</f>
        <v>6</v>
      </c>
      <c r="J1224" s="91">
        <v>2</v>
      </c>
      <c r="K1224" s="91">
        <f>SUMIFS(VENTAS[Cantidad],VENTAS[Código del producto Vendido],STOCK[[#This Row],[Code]])</f>
        <v>1</v>
      </c>
      <c r="L1224" s="91">
        <f>STOCK[[#This Row],[Entradas]]-STOCK[[#This Row],[Salidas]]</f>
        <v>1</v>
      </c>
      <c r="M1224" s="76">
        <f>STOCK[[#This Row],[Precio Final]]*10%</f>
        <v>1</v>
      </c>
      <c r="N1224" s="76">
        <v>0</v>
      </c>
      <c r="O1224" s="76">
        <v>0</v>
      </c>
      <c r="P1224" s="76">
        <v>2.35</v>
      </c>
      <c r="Q1224" s="91">
        <v>0</v>
      </c>
      <c r="R1224" s="76">
        <v>0</v>
      </c>
      <c r="S1224" s="76">
        <v>1.97</v>
      </c>
      <c r="T1224" s="76">
        <f>STOCK[[#This Row],[Costo Unitario (USD)]]+STOCK[[#This Row],[Costo Envío (USD)]]+STOCK[[#This Row],[Comisión 10%]]</f>
        <v>5.32</v>
      </c>
      <c r="U1224" s="76">
        <f t="shared" si="0"/>
        <v>6</v>
      </c>
      <c r="V1224" s="76">
        <v>10</v>
      </c>
      <c r="W1224" s="76">
        <f>STOCK[[#This Row],[Precio Final]]-STOCK[[#This Row],[Costo total]]</f>
        <v>4.68</v>
      </c>
      <c r="X1224" s="76">
        <f>STOCK[[#This Row],[Ganancia Unitaria]]*STOCK[[#This Row],[Salidas]]</f>
        <v>4.68</v>
      </c>
      <c r="AA1224" s="76">
        <f>STOCK[[#This Row],[Costo total]]*STOCK[[#This Row],[Entradas]]</f>
        <v>10.64</v>
      </c>
      <c r="AB1224" s="76">
        <f>STOCK[[#This Row],[Stock Actual]]*STOCK[[#This Row],[Costo total]]</f>
        <v>5.32</v>
      </c>
    </row>
    <row r="1225" s="76" customFormat="1" ht="50" hidden="1" customHeight="1" spans="1:28">
      <c r="A1225" s="76" t="s">
        <v>2554</v>
      </c>
      <c r="B1225" s="6"/>
      <c r="C1225" s="76" t="s">
        <v>30</v>
      </c>
      <c r="D1225" s="76" t="s">
        <v>173</v>
      </c>
      <c r="E1225" s="76" t="s">
        <v>2552</v>
      </c>
      <c r="F1225" s="76" t="s">
        <v>44</v>
      </c>
      <c r="G1225" s="76" t="s">
        <v>34</v>
      </c>
      <c r="H1225" s="76">
        <f>STOCK[[#This Row],[Precio Final]]</f>
        <v>10</v>
      </c>
      <c r="I1225" s="76">
        <f>STOCK[[#This Row],[Precio Venta Ideal (x1.5)]]</f>
        <v>6</v>
      </c>
      <c r="J1225" s="91">
        <v>2</v>
      </c>
      <c r="K1225" s="91">
        <f>SUMIFS(VENTAS[Cantidad],VENTAS[Código del producto Vendido],STOCK[[#This Row],[Code]])</f>
        <v>2</v>
      </c>
      <c r="L1225" s="91">
        <f>STOCK[[#This Row],[Entradas]]-STOCK[[#This Row],[Salidas]]</f>
        <v>0</v>
      </c>
      <c r="M1225" s="76">
        <f>STOCK[[#This Row],[Precio Final]]*10%</f>
        <v>1</v>
      </c>
      <c r="N1225" s="76">
        <v>0</v>
      </c>
      <c r="O1225" s="76">
        <v>0</v>
      </c>
      <c r="P1225" s="76">
        <v>2.35</v>
      </c>
      <c r="Q1225" s="91">
        <v>0</v>
      </c>
      <c r="R1225" s="76">
        <v>0</v>
      </c>
      <c r="S1225" s="76">
        <v>1.97</v>
      </c>
      <c r="T1225" s="76">
        <f>STOCK[[#This Row],[Costo Unitario (USD)]]+STOCK[[#This Row],[Costo Envío (USD)]]+STOCK[[#This Row],[Comisión 10%]]</f>
        <v>5.32</v>
      </c>
      <c r="U1225" s="76">
        <f t="shared" si="0"/>
        <v>6</v>
      </c>
      <c r="V1225" s="76">
        <v>10</v>
      </c>
      <c r="W1225" s="76">
        <f>STOCK[[#This Row],[Precio Final]]-STOCK[[#This Row],[Costo total]]</f>
        <v>4.68</v>
      </c>
      <c r="X1225" s="76">
        <f>STOCK[[#This Row],[Ganancia Unitaria]]*STOCK[[#This Row],[Salidas]]</f>
        <v>9.36</v>
      </c>
      <c r="AA1225" s="76">
        <f>STOCK[[#This Row],[Costo total]]*STOCK[[#This Row],[Entradas]]</f>
        <v>10.64</v>
      </c>
      <c r="AB1225" s="76">
        <f>STOCK[[#This Row],[Stock Actual]]*STOCK[[#This Row],[Costo total]]</f>
        <v>0</v>
      </c>
    </row>
    <row r="1226" s="77" customFormat="1" ht="50" hidden="1" customHeight="1" spans="1:28">
      <c r="A1226" s="77" t="s">
        <v>2555</v>
      </c>
      <c r="B1226" s="6"/>
      <c r="C1226" s="77" t="s">
        <v>30</v>
      </c>
      <c r="D1226" s="77" t="s">
        <v>173</v>
      </c>
      <c r="E1226" s="77" t="s">
        <v>2549</v>
      </c>
      <c r="F1226" s="77" t="s">
        <v>60</v>
      </c>
      <c r="G1226" s="76" t="s">
        <v>34</v>
      </c>
      <c r="H1226" s="77">
        <f>STOCK[[#This Row],[Precio Final]]</f>
        <v>10</v>
      </c>
      <c r="I1226" s="77">
        <f>STOCK[[#This Row],[Precio Venta Ideal (x1.5)]]</f>
        <v>7.98</v>
      </c>
      <c r="J1226" s="92">
        <v>2</v>
      </c>
      <c r="K1226" s="92">
        <f>SUMIFS(VENTAS[Cantidad],VENTAS[Código del producto Vendido],STOCK[[#This Row],[Code]])</f>
        <v>2</v>
      </c>
      <c r="L1226" s="92">
        <f>STOCK[[#This Row],[Entradas]]-STOCK[[#This Row],[Salidas]]</f>
        <v>0</v>
      </c>
      <c r="M1226" s="77">
        <f>STOCK[[#This Row],[Precio Final]]*10%</f>
        <v>1</v>
      </c>
      <c r="N1226" s="77">
        <v>0</v>
      </c>
      <c r="O1226" s="77">
        <v>0</v>
      </c>
      <c r="P1226" s="77">
        <v>2.35</v>
      </c>
      <c r="Q1226" s="92">
        <v>0</v>
      </c>
      <c r="R1226" s="77">
        <v>0</v>
      </c>
      <c r="S1226" s="77">
        <v>1.97</v>
      </c>
      <c r="T1226" s="76">
        <f>STOCK[[#This Row],[Costo Unitario (USD)]]+STOCK[[#This Row],[Costo Envío (USD)]]+STOCK[[#This Row],[Comisión 10%]]</f>
        <v>5.32</v>
      </c>
      <c r="U1226" s="77">
        <f>STOCK[[#This Row],[Costo total]]*1.5</f>
        <v>7.98</v>
      </c>
      <c r="V1226" s="77">
        <v>10</v>
      </c>
      <c r="W1226" s="77">
        <f>STOCK[[#This Row],[Precio Final]]-STOCK[[#This Row],[Costo total]]</f>
        <v>4.68</v>
      </c>
      <c r="X1226" s="77">
        <f>STOCK[[#This Row],[Ganancia Unitaria]]*STOCK[[#This Row],[Salidas]]</f>
        <v>9.36</v>
      </c>
      <c r="AA1226" s="77">
        <f>STOCK[[#This Row],[Costo total]]*STOCK[[#This Row],[Entradas]]</f>
        <v>10.64</v>
      </c>
      <c r="AB1226" s="77">
        <f>STOCK[[#This Row],[Stock Actual]]*STOCK[[#This Row],[Costo total]]</f>
        <v>0</v>
      </c>
    </row>
    <row r="1227" s="76" customFormat="1" ht="50" hidden="1" customHeight="1" spans="1:28">
      <c r="A1227" s="76" t="s">
        <v>2556</v>
      </c>
      <c r="B1227" s="6"/>
      <c r="C1227" s="76" t="s">
        <v>30</v>
      </c>
      <c r="D1227" s="76" t="s">
        <v>2116</v>
      </c>
      <c r="E1227" s="76" t="s">
        <v>2557</v>
      </c>
      <c r="F1227" s="76" t="s">
        <v>47</v>
      </c>
      <c r="G1227" s="76" t="s">
        <v>1874</v>
      </c>
      <c r="H1227" s="76">
        <f>STOCK[[#This Row],[Precio Final]]</f>
        <v>35</v>
      </c>
      <c r="I1227" s="76">
        <f>STOCK[[#This Row],[Precio Venta Ideal (x1.5)]]</f>
        <v>32.64</v>
      </c>
      <c r="J1227" s="91">
        <v>2</v>
      </c>
      <c r="K1227" s="91">
        <f>SUMIFS(VENTAS[Cantidad],VENTAS[Código del producto Vendido],STOCK[[#This Row],[Code]])</f>
        <v>1</v>
      </c>
      <c r="L1227" s="91">
        <f>STOCK[[#This Row],[Entradas]]-STOCK[[#This Row],[Salidas]]</f>
        <v>1</v>
      </c>
      <c r="M1227" s="76">
        <f>STOCK[[#This Row],[Precio Final]]*10%</f>
        <v>3.5</v>
      </c>
      <c r="N1227" s="76">
        <v>0</v>
      </c>
      <c r="O1227" s="76">
        <v>0</v>
      </c>
      <c r="P1227" s="76">
        <v>16.29</v>
      </c>
      <c r="Q1227" s="91">
        <v>0</v>
      </c>
      <c r="R1227" s="76">
        <v>0</v>
      </c>
      <c r="S1227" s="76">
        <v>1.97</v>
      </c>
      <c r="T1227" s="76">
        <f>STOCK[[#This Row],[Costo Unitario (USD)]]+STOCK[[#This Row],[Costo Envío (USD)]]+STOCK[[#This Row],[Comisión 10%]]</f>
        <v>21.76</v>
      </c>
      <c r="U1227" s="76">
        <f>STOCK[[#This Row],[Costo total]]*1.5</f>
        <v>32.64</v>
      </c>
      <c r="V1227" s="76">
        <v>35</v>
      </c>
      <c r="W1227" s="76">
        <f>STOCK[[#This Row],[Precio Final]]-STOCK[[#This Row],[Costo total]]</f>
        <v>13.24</v>
      </c>
      <c r="X1227" s="76">
        <f>STOCK[[#This Row],[Ganancia Unitaria]]*STOCK[[#This Row],[Salidas]]</f>
        <v>13.24</v>
      </c>
      <c r="AA1227" s="76">
        <f>STOCK[[#This Row],[Costo total]]*STOCK[[#This Row],[Entradas]]</f>
        <v>43.52</v>
      </c>
      <c r="AB1227" s="76">
        <f>STOCK[[#This Row],[Stock Actual]]*STOCK[[#This Row],[Costo total]]</f>
        <v>21.76</v>
      </c>
    </row>
    <row r="1228" s="77" customFormat="1" ht="50" hidden="1" customHeight="1" spans="1:28">
      <c r="A1228" s="77" t="s">
        <v>2558</v>
      </c>
      <c r="B1228" s="6"/>
      <c r="C1228" s="77" t="s">
        <v>30</v>
      </c>
      <c r="D1228" s="77" t="s">
        <v>1806</v>
      </c>
      <c r="E1228" s="77" t="s">
        <v>2559</v>
      </c>
      <c r="F1228" s="77" t="s">
        <v>2560</v>
      </c>
      <c r="G1228" s="77" t="s">
        <v>1874</v>
      </c>
      <c r="H1228" s="77">
        <f>STOCK[[#This Row],[Precio Final]]</f>
        <v>15</v>
      </c>
      <c r="I1228" s="77">
        <f>STOCK[[#This Row],[Precio Venta Ideal (x1.5)]]</f>
        <v>11.79</v>
      </c>
      <c r="J1228" s="92">
        <v>5</v>
      </c>
      <c r="K1228" s="92">
        <f>SUMIFS(VENTAS[Cantidad],VENTAS[Código del producto Vendido],STOCK[[#This Row],[Code]])</f>
        <v>3</v>
      </c>
      <c r="L1228" s="92">
        <f>STOCK[[#This Row],[Entradas]]-STOCK[[#This Row],[Salidas]]</f>
        <v>2</v>
      </c>
      <c r="M1228" s="77">
        <f>STOCK[[#This Row],[Precio Final]]*10%</f>
        <v>1.5</v>
      </c>
      <c r="N1228" s="77">
        <v>0</v>
      </c>
      <c r="O1228" s="77">
        <v>0</v>
      </c>
      <c r="P1228" s="77">
        <v>4.39</v>
      </c>
      <c r="Q1228" s="92">
        <v>0</v>
      </c>
      <c r="R1228" s="77">
        <v>0</v>
      </c>
      <c r="S1228" s="77">
        <v>1.97</v>
      </c>
      <c r="T1228" s="76">
        <f>STOCK[[#This Row],[Costo Unitario (USD)]]+STOCK[[#This Row],[Costo Envío (USD)]]+STOCK[[#This Row],[Comisión 10%]]</f>
        <v>7.86</v>
      </c>
      <c r="U1228" s="77">
        <f>STOCK[[#This Row],[Costo total]]*1.5</f>
        <v>11.79</v>
      </c>
      <c r="V1228" s="77">
        <v>15</v>
      </c>
      <c r="W1228" s="77">
        <f>STOCK[[#This Row],[Precio Final]]-STOCK[[#This Row],[Costo total]]</f>
        <v>7.14</v>
      </c>
      <c r="X1228" s="77">
        <f>STOCK[[#This Row],[Ganancia Unitaria]]*STOCK[[#This Row],[Salidas]]</f>
        <v>21.42</v>
      </c>
      <c r="AA1228" s="77">
        <f>STOCK[[#This Row],[Costo total]]*STOCK[[#This Row],[Entradas]]</f>
        <v>39.3</v>
      </c>
      <c r="AB1228" s="77">
        <f>STOCK[[#This Row],[Stock Actual]]*STOCK[[#This Row],[Costo total]]</f>
        <v>15.72</v>
      </c>
    </row>
    <row r="1229" s="76" customFormat="1" ht="50" hidden="1" customHeight="1" spans="1:28">
      <c r="A1229" s="76" t="s">
        <v>2561</v>
      </c>
      <c r="B1229" s="6"/>
      <c r="C1229" s="76" t="s">
        <v>30</v>
      </c>
      <c r="D1229" s="76" t="s">
        <v>1188</v>
      </c>
      <c r="E1229" s="76" t="s">
        <v>2562</v>
      </c>
      <c r="F1229" s="76" t="s">
        <v>44</v>
      </c>
      <c r="G1229" s="76" t="s">
        <v>1874</v>
      </c>
      <c r="H1229" s="76">
        <f>STOCK[[#This Row],[Precio Final]]</f>
        <v>17</v>
      </c>
      <c r="I1229" s="76">
        <f>STOCK[[#This Row],[Precio Venta Ideal (x1.5)]]</f>
        <v>19.725</v>
      </c>
      <c r="J1229" s="91">
        <v>2</v>
      </c>
      <c r="K1229" s="91">
        <f>SUMIFS(VENTAS[Cantidad],VENTAS[Código del producto Vendido],STOCK[[#This Row],[Code]])</f>
        <v>2</v>
      </c>
      <c r="L1229" s="91">
        <f>STOCK[[#This Row],[Entradas]]-STOCK[[#This Row],[Salidas]]</f>
        <v>0</v>
      </c>
      <c r="M1229" s="76">
        <f>STOCK[[#This Row],[Precio Final]]*10%</f>
        <v>1.7</v>
      </c>
      <c r="N1229" s="76">
        <v>0</v>
      </c>
      <c r="O1229" s="76">
        <v>0</v>
      </c>
      <c r="P1229" s="76">
        <v>9.48</v>
      </c>
      <c r="Q1229" s="91">
        <v>0</v>
      </c>
      <c r="R1229" s="76">
        <v>0</v>
      </c>
      <c r="S1229" s="76">
        <v>1.97</v>
      </c>
      <c r="T1229" s="76">
        <f>STOCK[[#This Row],[Costo Unitario (USD)]]+STOCK[[#This Row],[Costo Envío (USD)]]+STOCK[[#This Row],[Comisión 10%]]</f>
        <v>13.15</v>
      </c>
      <c r="U1229" s="76">
        <f>STOCK[[#This Row],[Costo total]]*1.5</f>
        <v>19.725</v>
      </c>
      <c r="V1229" s="76">
        <v>17</v>
      </c>
      <c r="W1229" s="76">
        <f>STOCK[[#This Row],[Precio Final]]-STOCK[[#This Row],[Costo total]]</f>
        <v>3.85</v>
      </c>
      <c r="X1229" s="76">
        <f>STOCK[[#This Row],[Ganancia Unitaria]]*STOCK[[#This Row],[Salidas]]</f>
        <v>7.7</v>
      </c>
      <c r="AA1229" s="76">
        <f>STOCK[[#This Row],[Costo total]]*STOCK[[#This Row],[Entradas]]</f>
        <v>26.3</v>
      </c>
      <c r="AB1229" s="76">
        <f>STOCK[[#This Row],[Stock Actual]]*STOCK[[#This Row],[Costo total]]</f>
        <v>0</v>
      </c>
    </row>
    <row r="1230" s="77" customFormat="1" ht="50" hidden="1" customHeight="1" spans="1:28">
      <c r="A1230" s="77" t="s">
        <v>2563</v>
      </c>
      <c r="B1230" s="6"/>
      <c r="C1230" s="77" t="s">
        <v>30</v>
      </c>
      <c r="D1230" s="77" t="s">
        <v>1188</v>
      </c>
      <c r="E1230" s="77" t="s">
        <v>2562</v>
      </c>
      <c r="F1230" s="77" t="s">
        <v>60</v>
      </c>
      <c r="G1230" s="77" t="s">
        <v>1874</v>
      </c>
      <c r="H1230" s="77">
        <f>STOCK[[#This Row],[Precio Final]]</f>
        <v>17</v>
      </c>
      <c r="I1230" s="77">
        <f>STOCK[[#This Row],[Precio Venta Ideal (x1.5)]]</f>
        <v>19.725</v>
      </c>
      <c r="J1230" s="92">
        <v>2</v>
      </c>
      <c r="K1230" s="92">
        <f>SUMIFS(VENTAS[Cantidad],VENTAS[Código del producto Vendido],STOCK[[#This Row],[Code]])</f>
        <v>0</v>
      </c>
      <c r="L1230" s="92">
        <f>STOCK[[#This Row],[Entradas]]-STOCK[[#This Row],[Salidas]]</f>
        <v>2</v>
      </c>
      <c r="M1230" s="77">
        <f>STOCK[[#This Row],[Precio Final]]*10%</f>
        <v>1.7</v>
      </c>
      <c r="N1230" s="77">
        <v>0</v>
      </c>
      <c r="O1230" s="77">
        <v>0</v>
      </c>
      <c r="P1230" s="77">
        <v>9.48</v>
      </c>
      <c r="Q1230" s="92">
        <v>0</v>
      </c>
      <c r="R1230" s="77">
        <v>0</v>
      </c>
      <c r="S1230" s="77">
        <v>1.97</v>
      </c>
      <c r="T1230" s="76">
        <f>STOCK[[#This Row],[Costo Unitario (USD)]]+STOCK[[#This Row],[Costo Envío (USD)]]+STOCK[[#This Row],[Comisión 10%]]</f>
        <v>13.15</v>
      </c>
      <c r="U1230" s="77">
        <f>STOCK[[#This Row],[Costo total]]*1.5</f>
        <v>19.725</v>
      </c>
      <c r="V1230" s="77">
        <v>17</v>
      </c>
      <c r="W1230" s="77">
        <f>STOCK[[#This Row],[Precio Final]]-STOCK[[#This Row],[Costo total]]</f>
        <v>3.85</v>
      </c>
      <c r="X1230" s="77">
        <f>STOCK[[#This Row],[Ganancia Unitaria]]*STOCK[[#This Row],[Salidas]]</f>
        <v>0</v>
      </c>
      <c r="AA1230" s="77">
        <f>STOCK[[#This Row],[Costo total]]*STOCK[[#This Row],[Entradas]]</f>
        <v>26.3</v>
      </c>
      <c r="AB1230" s="77">
        <f>STOCK[[#This Row],[Stock Actual]]*STOCK[[#This Row],[Costo total]]</f>
        <v>26.3</v>
      </c>
    </row>
    <row r="1231" s="76" customFormat="1" ht="50" hidden="1" customHeight="1" spans="1:28">
      <c r="A1231" s="76" t="s">
        <v>2564</v>
      </c>
      <c r="B1231" s="6"/>
      <c r="C1231" s="76" t="s">
        <v>30</v>
      </c>
      <c r="D1231" s="76" t="s">
        <v>1188</v>
      </c>
      <c r="E1231" s="76" t="s">
        <v>2562</v>
      </c>
      <c r="F1231" s="76" t="s">
        <v>47</v>
      </c>
      <c r="G1231" s="76" t="s">
        <v>1874</v>
      </c>
      <c r="H1231" s="76">
        <f>STOCK[[#This Row],[Precio Final]]</f>
        <v>17</v>
      </c>
      <c r="I1231" s="76">
        <f>STOCK[[#This Row],[Precio Venta Ideal (x1.5)]]</f>
        <v>19.725</v>
      </c>
      <c r="J1231" s="91">
        <v>2</v>
      </c>
      <c r="K1231" s="91">
        <f>SUMIFS(VENTAS[Cantidad],VENTAS[Código del producto Vendido],STOCK[[#This Row],[Code]])</f>
        <v>0</v>
      </c>
      <c r="L1231" s="91">
        <f>STOCK[[#This Row],[Entradas]]-STOCK[[#This Row],[Salidas]]</f>
        <v>2</v>
      </c>
      <c r="M1231" s="76">
        <f>STOCK[[#This Row],[Precio Final]]*10%</f>
        <v>1.7</v>
      </c>
      <c r="N1231" s="76">
        <v>0</v>
      </c>
      <c r="O1231" s="76">
        <v>0</v>
      </c>
      <c r="P1231" s="76">
        <v>9.48</v>
      </c>
      <c r="Q1231" s="91">
        <v>0</v>
      </c>
      <c r="R1231" s="76">
        <v>0</v>
      </c>
      <c r="S1231" s="76">
        <v>1.97</v>
      </c>
      <c r="T1231" s="76">
        <f>STOCK[[#This Row],[Costo Unitario (USD)]]+STOCK[[#This Row],[Costo Envío (USD)]]+STOCK[[#This Row],[Comisión 10%]]</f>
        <v>13.15</v>
      </c>
      <c r="U1231" s="76">
        <f>STOCK[[#This Row],[Costo total]]*1.5</f>
        <v>19.725</v>
      </c>
      <c r="V1231" s="76">
        <v>17</v>
      </c>
      <c r="W1231" s="76">
        <f>STOCK[[#This Row],[Precio Final]]-STOCK[[#This Row],[Costo total]]</f>
        <v>3.85</v>
      </c>
      <c r="X1231" s="76">
        <f>STOCK[[#This Row],[Ganancia Unitaria]]*STOCK[[#This Row],[Salidas]]</f>
        <v>0</v>
      </c>
      <c r="AA1231" s="76">
        <f>STOCK[[#This Row],[Costo total]]*STOCK[[#This Row],[Entradas]]</f>
        <v>26.3</v>
      </c>
      <c r="AB1231" s="76">
        <f>STOCK[[#This Row],[Stock Actual]]*STOCK[[#This Row],[Costo total]]</f>
        <v>26.3</v>
      </c>
    </row>
    <row r="1232" s="77" customFormat="1" ht="50" hidden="1" customHeight="1" spans="1:28">
      <c r="A1232" s="77" t="s">
        <v>2565</v>
      </c>
      <c r="B1232" s="6"/>
      <c r="C1232" s="77" t="s">
        <v>30</v>
      </c>
      <c r="D1232" s="77" t="s">
        <v>2566</v>
      </c>
      <c r="E1232" s="77" t="s">
        <v>2567</v>
      </c>
      <c r="F1232" s="77" t="s">
        <v>47</v>
      </c>
      <c r="G1232" s="77" t="s">
        <v>1874</v>
      </c>
      <c r="H1232" s="77">
        <f>STOCK[[#This Row],[Precio Final]]</f>
        <v>25</v>
      </c>
      <c r="I1232" s="77">
        <f>STOCK[[#This Row],[Precio Venta Ideal (x1.5)]]</f>
        <v>23.49</v>
      </c>
      <c r="J1232" s="92">
        <v>1</v>
      </c>
      <c r="K1232" s="92">
        <f>SUMIFS(VENTAS[Cantidad],VENTAS[Código del producto Vendido],STOCK[[#This Row],[Code]])</f>
        <v>0</v>
      </c>
      <c r="L1232" s="92">
        <f>STOCK[[#This Row],[Entradas]]-STOCK[[#This Row],[Salidas]]</f>
        <v>1</v>
      </c>
      <c r="M1232" s="77">
        <f>STOCK[[#This Row],[Precio Final]]*10%</f>
        <v>2.5</v>
      </c>
      <c r="N1232" s="77">
        <v>0</v>
      </c>
      <c r="O1232" s="77">
        <v>0</v>
      </c>
      <c r="P1232" s="77">
        <v>11.19</v>
      </c>
      <c r="Q1232" s="92">
        <v>0</v>
      </c>
      <c r="R1232" s="77">
        <v>0</v>
      </c>
      <c r="S1232" s="77">
        <v>1.97</v>
      </c>
      <c r="T1232" s="76">
        <f>STOCK[[#This Row],[Costo Unitario (USD)]]+STOCK[[#This Row],[Costo Envío (USD)]]+STOCK[[#This Row],[Comisión 10%]]</f>
        <v>15.66</v>
      </c>
      <c r="U1232" s="77">
        <f>STOCK[[#This Row],[Costo total]]*1.5</f>
        <v>23.49</v>
      </c>
      <c r="V1232" s="77">
        <v>25</v>
      </c>
      <c r="W1232" s="77">
        <f>STOCK[[#This Row],[Precio Final]]-STOCK[[#This Row],[Costo total]]</f>
        <v>9.34</v>
      </c>
      <c r="X1232" s="77">
        <f>STOCK[[#This Row],[Ganancia Unitaria]]*STOCK[[#This Row],[Salidas]]</f>
        <v>0</v>
      </c>
      <c r="AA1232" s="77">
        <f>STOCK[[#This Row],[Costo total]]*STOCK[[#This Row],[Entradas]]</f>
        <v>15.66</v>
      </c>
      <c r="AB1232" s="77">
        <f>STOCK[[#This Row],[Stock Actual]]*STOCK[[#This Row],[Costo total]]</f>
        <v>15.66</v>
      </c>
    </row>
    <row r="1233" s="76" customFormat="1" ht="50" hidden="1" customHeight="1" spans="1:28">
      <c r="A1233" s="76" t="s">
        <v>2568</v>
      </c>
      <c r="B1233" s="6"/>
      <c r="C1233" s="76" t="s">
        <v>30</v>
      </c>
      <c r="D1233" s="76" t="s">
        <v>2566</v>
      </c>
      <c r="E1233" s="76" t="s">
        <v>2567</v>
      </c>
      <c r="F1233" s="76" t="s">
        <v>60</v>
      </c>
      <c r="G1233" s="76" t="s">
        <v>1874</v>
      </c>
      <c r="H1233" s="76">
        <f>STOCK[[#This Row],[Precio Final]]</f>
        <v>25</v>
      </c>
      <c r="I1233" s="76">
        <f>STOCK[[#This Row],[Precio Venta Ideal (x1.5)]]</f>
        <v>23.49</v>
      </c>
      <c r="J1233" s="91">
        <v>1</v>
      </c>
      <c r="K1233" s="91">
        <f>SUMIFS(VENTAS[Cantidad],VENTAS[Código del producto Vendido],STOCK[[#This Row],[Code]])</f>
        <v>0</v>
      </c>
      <c r="L1233" s="91">
        <f>STOCK[[#This Row],[Entradas]]-STOCK[[#This Row],[Salidas]]</f>
        <v>1</v>
      </c>
      <c r="M1233" s="76">
        <f>STOCK[[#This Row],[Precio Final]]*10%</f>
        <v>2.5</v>
      </c>
      <c r="N1233" s="76">
        <v>0</v>
      </c>
      <c r="O1233" s="76">
        <v>0</v>
      </c>
      <c r="P1233" s="76">
        <v>11.19</v>
      </c>
      <c r="Q1233" s="91">
        <v>0</v>
      </c>
      <c r="R1233" s="76">
        <v>0</v>
      </c>
      <c r="S1233" s="76">
        <v>1.97</v>
      </c>
      <c r="T1233" s="76">
        <f>STOCK[[#This Row],[Costo Unitario (USD)]]+STOCK[[#This Row],[Costo Envío (USD)]]+STOCK[[#This Row],[Comisión 10%]]</f>
        <v>15.66</v>
      </c>
      <c r="U1233" s="76">
        <f>STOCK[[#This Row],[Costo total]]*1.5</f>
        <v>23.49</v>
      </c>
      <c r="V1233" s="76">
        <v>25</v>
      </c>
      <c r="W1233" s="76">
        <f>STOCK[[#This Row],[Precio Final]]-STOCK[[#This Row],[Costo total]]</f>
        <v>9.34</v>
      </c>
      <c r="X1233" s="76">
        <f>STOCK[[#This Row],[Ganancia Unitaria]]*STOCK[[#This Row],[Salidas]]</f>
        <v>0</v>
      </c>
      <c r="AA1233" s="76">
        <f>STOCK[[#This Row],[Costo total]]*STOCK[[#This Row],[Entradas]]</f>
        <v>15.66</v>
      </c>
      <c r="AB1233" s="76">
        <f>STOCK[[#This Row],[Stock Actual]]*STOCK[[#This Row],[Costo total]]</f>
        <v>15.66</v>
      </c>
    </row>
    <row r="1234" s="77" customFormat="1" ht="50" hidden="1" customHeight="1" spans="1:28">
      <c r="A1234" s="77" t="s">
        <v>2569</v>
      </c>
      <c r="B1234" s="6"/>
      <c r="C1234" s="77" t="s">
        <v>30</v>
      </c>
      <c r="D1234" s="77" t="s">
        <v>1188</v>
      </c>
      <c r="E1234" s="77" t="s">
        <v>2570</v>
      </c>
      <c r="F1234" s="77" t="s">
        <v>524</v>
      </c>
      <c r="G1234" s="77" t="s">
        <v>1874</v>
      </c>
      <c r="H1234" s="77">
        <f>STOCK[[#This Row],[Precio Final]]</f>
        <v>18</v>
      </c>
      <c r="I1234" s="77">
        <f>STOCK[[#This Row],[Precio Venta Ideal (x1.5)]]</f>
        <v>13.2</v>
      </c>
      <c r="J1234" s="92">
        <v>2</v>
      </c>
      <c r="K1234" s="92">
        <f>SUMIFS(VENTAS[Cantidad],VENTAS[Código del producto Vendido],STOCK[[#This Row],[Code]])</f>
        <v>0</v>
      </c>
      <c r="L1234" s="92">
        <f>STOCK[[#This Row],[Entradas]]-STOCK[[#This Row],[Salidas]]</f>
        <v>2</v>
      </c>
      <c r="M1234" s="77">
        <f>STOCK[[#This Row],[Precio Final]]*10%</f>
        <v>1.8</v>
      </c>
      <c r="N1234" s="77">
        <v>0</v>
      </c>
      <c r="O1234" s="77">
        <v>0</v>
      </c>
      <c r="P1234" s="77">
        <v>5.03</v>
      </c>
      <c r="Q1234" s="92">
        <v>0</v>
      </c>
      <c r="R1234" s="77">
        <v>0</v>
      </c>
      <c r="S1234" s="77">
        <v>1.97</v>
      </c>
      <c r="T1234" s="76">
        <f>STOCK[[#This Row],[Costo Unitario (USD)]]+STOCK[[#This Row],[Costo Envío (USD)]]+STOCK[[#This Row],[Comisión 10%]]</f>
        <v>8.8</v>
      </c>
      <c r="U1234" s="77">
        <f>STOCK[[#This Row],[Costo total]]*1.5</f>
        <v>13.2</v>
      </c>
      <c r="V1234" s="77">
        <v>18</v>
      </c>
      <c r="W1234" s="77">
        <f>STOCK[[#This Row],[Precio Final]]-STOCK[[#This Row],[Costo total]]</f>
        <v>9.2</v>
      </c>
      <c r="X1234" s="77">
        <f>STOCK[[#This Row],[Ganancia Unitaria]]*STOCK[[#This Row],[Salidas]]</f>
        <v>0</v>
      </c>
      <c r="AA1234" s="77">
        <f>STOCK[[#This Row],[Costo total]]*STOCK[[#This Row],[Entradas]]</f>
        <v>17.6</v>
      </c>
      <c r="AB1234" s="77">
        <f>STOCK[[#This Row],[Stock Actual]]*STOCK[[#This Row],[Costo total]]</f>
        <v>17.6</v>
      </c>
    </row>
    <row r="1235" s="76" customFormat="1" ht="50" hidden="1" customHeight="1" spans="1:28">
      <c r="A1235" s="76" t="s">
        <v>2571</v>
      </c>
      <c r="B1235" s="6"/>
      <c r="C1235" s="76" t="s">
        <v>30</v>
      </c>
      <c r="D1235" s="76" t="s">
        <v>2566</v>
      </c>
      <c r="E1235" s="76" t="s">
        <v>2572</v>
      </c>
      <c r="F1235" s="76" t="s">
        <v>60</v>
      </c>
      <c r="G1235" s="76" t="s">
        <v>1874</v>
      </c>
      <c r="H1235" s="76">
        <f>STOCK[[#This Row],[Precio Final]]</f>
        <v>30</v>
      </c>
      <c r="I1235" s="76">
        <f>STOCK[[#This Row],[Precio Venta Ideal (x1.5)]]</f>
        <v>24.99</v>
      </c>
      <c r="J1235" s="91">
        <v>1</v>
      </c>
      <c r="K1235" s="91">
        <f>SUMIFS(VENTAS[Cantidad],VENTAS[Código del producto Vendido],STOCK[[#This Row],[Code]])</f>
        <v>1</v>
      </c>
      <c r="L1235" s="91">
        <f>STOCK[[#This Row],[Entradas]]-STOCK[[#This Row],[Salidas]]</f>
        <v>0</v>
      </c>
      <c r="M1235" s="76">
        <f>STOCK[[#This Row],[Precio Final]]*10%</f>
        <v>3</v>
      </c>
      <c r="N1235" s="76">
        <v>0</v>
      </c>
      <c r="O1235" s="76">
        <v>0</v>
      </c>
      <c r="P1235" s="76">
        <v>11.69</v>
      </c>
      <c r="Q1235" s="91">
        <v>0</v>
      </c>
      <c r="R1235" s="76">
        <v>0</v>
      </c>
      <c r="S1235" s="76">
        <v>1.97</v>
      </c>
      <c r="T1235" s="76">
        <f>STOCK[[#This Row],[Costo Unitario (USD)]]+STOCK[[#This Row],[Costo Envío (USD)]]+STOCK[[#This Row],[Comisión 10%]]</f>
        <v>16.66</v>
      </c>
      <c r="U1235" s="76">
        <f>STOCK[[#This Row],[Costo total]]*1.5</f>
        <v>24.99</v>
      </c>
      <c r="V1235" s="76">
        <v>30</v>
      </c>
      <c r="W1235" s="76">
        <f>STOCK[[#This Row],[Precio Final]]-STOCK[[#This Row],[Costo total]]</f>
        <v>13.34</v>
      </c>
      <c r="X1235" s="76">
        <f>STOCK[[#This Row],[Ganancia Unitaria]]*STOCK[[#This Row],[Salidas]]</f>
        <v>13.34</v>
      </c>
      <c r="AA1235" s="76">
        <f>STOCK[[#This Row],[Costo total]]*STOCK[[#This Row],[Entradas]]</f>
        <v>16.66</v>
      </c>
      <c r="AB1235" s="76">
        <f>STOCK[[#This Row],[Stock Actual]]*STOCK[[#This Row],[Costo total]]</f>
        <v>0</v>
      </c>
    </row>
    <row r="1236" s="77" customFormat="1" ht="50" hidden="1" customHeight="1" spans="1:28">
      <c r="A1236" s="77" t="s">
        <v>2573</v>
      </c>
      <c r="B1236" s="6"/>
      <c r="C1236" s="77" t="s">
        <v>30</v>
      </c>
      <c r="D1236" s="77" t="s">
        <v>2566</v>
      </c>
      <c r="E1236" s="77" t="s">
        <v>2572</v>
      </c>
      <c r="F1236" s="77" t="s">
        <v>44</v>
      </c>
      <c r="G1236" s="77" t="s">
        <v>1874</v>
      </c>
      <c r="H1236" s="77">
        <f>STOCK[[#This Row],[Precio Final]]</f>
        <v>30</v>
      </c>
      <c r="I1236" s="77">
        <f>STOCK[[#This Row],[Precio Venta Ideal (x1.5)]]</f>
        <v>24.99</v>
      </c>
      <c r="J1236" s="92">
        <v>2</v>
      </c>
      <c r="K1236" s="92">
        <f>SUMIFS(VENTAS[Cantidad],VENTAS[Código del producto Vendido],STOCK[[#This Row],[Code]])</f>
        <v>2</v>
      </c>
      <c r="L1236" s="92">
        <f>STOCK[[#This Row],[Entradas]]-STOCK[[#This Row],[Salidas]]</f>
        <v>0</v>
      </c>
      <c r="M1236" s="77">
        <f>STOCK[[#This Row],[Precio Final]]*10%</f>
        <v>3</v>
      </c>
      <c r="N1236" s="77">
        <v>0</v>
      </c>
      <c r="O1236" s="77">
        <v>0</v>
      </c>
      <c r="P1236" s="77">
        <v>11.69</v>
      </c>
      <c r="Q1236" s="92">
        <v>0</v>
      </c>
      <c r="R1236" s="77">
        <v>0</v>
      </c>
      <c r="S1236" s="77">
        <v>1.97</v>
      </c>
      <c r="T1236" s="76">
        <f>STOCK[[#This Row],[Costo Unitario (USD)]]+STOCK[[#This Row],[Costo Envío (USD)]]+STOCK[[#This Row],[Comisión 10%]]</f>
        <v>16.66</v>
      </c>
      <c r="U1236" s="77">
        <f>STOCK[[#This Row],[Costo total]]*1.5</f>
        <v>24.99</v>
      </c>
      <c r="V1236" s="77">
        <v>30</v>
      </c>
      <c r="W1236" s="77">
        <f>STOCK[[#This Row],[Precio Final]]-STOCK[[#This Row],[Costo total]]</f>
        <v>13.34</v>
      </c>
      <c r="X1236" s="77">
        <f>STOCK[[#This Row],[Ganancia Unitaria]]*STOCK[[#This Row],[Salidas]]</f>
        <v>26.68</v>
      </c>
      <c r="AA1236" s="77">
        <f>STOCK[[#This Row],[Costo total]]*STOCK[[#This Row],[Entradas]]</f>
        <v>33.32</v>
      </c>
      <c r="AB1236" s="77">
        <f>STOCK[[#This Row],[Stock Actual]]*STOCK[[#This Row],[Costo total]]</f>
        <v>0</v>
      </c>
    </row>
    <row r="1237" s="76" customFormat="1" ht="50" hidden="1" customHeight="1" spans="1:28">
      <c r="A1237" s="76" t="s">
        <v>2574</v>
      </c>
      <c r="B1237" s="6"/>
      <c r="C1237" s="76" t="s">
        <v>30</v>
      </c>
      <c r="D1237" s="76" t="s">
        <v>2566</v>
      </c>
      <c r="E1237" s="76" t="s">
        <v>2572</v>
      </c>
      <c r="F1237" s="76" t="s">
        <v>44</v>
      </c>
      <c r="G1237" s="76" t="s">
        <v>1874</v>
      </c>
      <c r="H1237" s="76">
        <f>STOCK[[#This Row],[Precio Final]]</f>
        <v>30</v>
      </c>
      <c r="I1237" s="76">
        <f>STOCK[[#This Row],[Precio Venta Ideal (x1.5)]]</f>
        <v>24.99</v>
      </c>
      <c r="J1237" s="91">
        <v>1</v>
      </c>
      <c r="K1237" s="91">
        <f>SUMIFS(VENTAS[Cantidad],VENTAS[Código del producto Vendido],STOCK[[#This Row],[Code]])</f>
        <v>1</v>
      </c>
      <c r="L1237" s="91">
        <f>STOCK[[#This Row],[Entradas]]-STOCK[[#This Row],[Salidas]]</f>
        <v>0</v>
      </c>
      <c r="M1237" s="76">
        <f>STOCK[[#This Row],[Precio Final]]*10%</f>
        <v>3</v>
      </c>
      <c r="N1237" s="76">
        <v>0</v>
      </c>
      <c r="O1237" s="76">
        <v>0</v>
      </c>
      <c r="P1237" s="76">
        <v>11.69</v>
      </c>
      <c r="Q1237" s="91">
        <v>0</v>
      </c>
      <c r="R1237" s="76">
        <v>0</v>
      </c>
      <c r="S1237" s="76">
        <v>1.97</v>
      </c>
      <c r="T1237" s="76">
        <f>STOCK[[#This Row],[Costo Unitario (USD)]]+STOCK[[#This Row],[Costo Envío (USD)]]+STOCK[[#This Row],[Comisión 10%]]</f>
        <v>16.66</v>
      </c>
      <c r="U1237" s="76">
        <f>STOCK[[#This Row],[Costo total]]*1.5</f>
        <v>24.99</v>
      </c>
      <c r="V1237" s="76">
        <v>30</v>
      </c>
      <c r="W1237" s="76">
        <f>STOCK[[#This Row],[Precio Final]]-STOCK[[#This Row],[Costo total]]</f>
        <v>13.34</v>
      </c>
      <c r="X1237" s="76">
        <f>STOCK[[#This Row],[Ganancia Unitaria]]*STOCK[[#This Row],[Salidas]]</f>
        <v>13.34</v>
      </c>
      <c r="AA1237" s="76">
        <f>STOCK[[#This Row],[Costo total]]*STOCK[[#This Row],[Entradas]]</f>
        <v>16.66</v>
      </c>
      <c r="AB1237" s="76">
        <f>STOCK[[#This Row],[Stock Actual]]*STOCK[[#This Row],[Costo total]]</f>
        <v>0</v>
      </c>
    </row>
    <row r="1238" s="77" customFormat="1" ht="50" hidden="1" customHeight="1" spans="1:28">
      <c r="A1238" s="77" t="s">
        <v>2575</v>
      </c>
      <c r="B1238" s="6"/>
      <c r="C1238" s="77" t="s">
        <v>30</v>
      </c>
      <c r="D1238" s="77" t="s">
        <v>2375</v>
      </c>
      <c r="E1238" s="77" t="s">
        <v>2572</v>
      </c>
      <c r="F1238" s="77" t="s">
        <v>280</v>
      </c>
      <c r="G1238" s="77" t="s">
        <v>1874</v>
      </c>
      <c r="H1238" s="77">
        <f>STOCK[[#This Row],[Precio Final]]</f>
        <v>30</v>
      </c>
      <c r="I1238" s="77">
        <f>STOCK[[#This Row],[Precio Venta Ideal (x1.5)]]</f>
        <v>24.99</v>
      </c>
      <c r="J1238" s="92">
        <v>1</v>
      </c>
      <c r="K1238" s="92">
        <f>SUMIFS(VENTAS[Cantidad],VENTAS[Código del producto Vendido],STOCK[[#This Row],[Code]])</f>
        <v>1</v>
      </c>
      <c r="L1238" s="92">
        <f>STOCK[[#This Row],[Entradas]]-STOCK[[#This Row],[Salidas]]</f>
        <v>0</v>
      </c>
      <c r="M1238" s="77">
        <f>STOCK[[#This Row],[Precio Final]]*10%</f>
        <v>3</v>
      </c>
      <c r="N1238" s="77">
        <v>0</v>
      </c>
      <c r="O1238" s="77">
        <v>0</v>
      </c>
      <c r="P1238" s="77">
        <v>11.69</v>
      </c>
      <c r="Q1238" s="92">
        <v>0</v>
      </c>
      <c r="R1238" s="77">
        <v>0</v>
      </c>
      <c r="S1238" s="77">
        <v>1.97</v>
      </c>
      <c r="T1238" s="76">
        <f>STOCK[[#This Row],[Costo Unitario (USD)]]+STOCK[[#This Row],[Costo Envío (USD)]]+STOCK[[#This Row],[Comisión 10%]]</f>
        <v>16.66</v>
      </c>
      <c r="U1238" s="77">
        <f>STOCK[[#This Row],[Costo total]]*1.5</f>
        <v>24.99</v>
      </c>
      <c r="V1238" s="77">
        <v>30</v>
      </c>
      <c r="W1238" s="77">
        <f>STOCK[[#This Row],[Precio Final]]-STOCK[[#This Row],[Costo total]]</f>
        <v>13.34</v>
      </c>
      <c r="X1238" s="77">
        <f>STOCK[[#This Row],[Ganancia Unitaria]]*STOCK[[#This Row],[Salidas]]</f>
        <v>13.34</v>
      </c>
      <c r="AA1238" s="77">
        <f>STOCK[[#This Row],[Costo total]]*STOCK[[#This Row],[Entradas]]</f>
        <v>16.66</v>
      </c>
      <c r="AB1238" s="77">
        <f>STOCK[[#This Row],[Stock Actual]]*STOCK[[#This Row],[Costo total]]</f>
        <v>0</v>
      </c>
    </row>
    <row r="1239" s="76" customFormat="1" ht="50" hidden="1" customHeight="1" spans="1:28">
      <c r="A1239" s="76" t="s">
        <v>2576</v>
      </c>
      <c r="B1239" s="6"/>
      <c r="C1239" s="76" t="s">
        <v>30</v>
      </c>
      <c r="D1239" s="76" t="s">
        <v>2116</v>
      </c>
      <c r="E1239" s="76" t="s">
        <v>2577</v>
      </c>
      <c r="F1239" s="76" t="s">
        <v>60</v>
      </c>
      <c r="H1239" s="76">
        <f>STOCK[[#This Row],[Precio Final]]</f>
        <v>25</v>
      </c>
      <c r="I1239" s="76">
        <f>STOCK[[#This Row],[Precio Venta Ideal (x1.5)]]</f>
        <v>23.16</v>
      </c>
      <c r="J1239" s="91">
        <v>1</v>
      </c>
      <c r="K1239" s="91">
        <f>SUMIFS(VENTAS[Cantidad],VENTAS[Código del producto Vendido],STOCK[[#This Row],[Code]])</f>
        <v>1</v>
      </c>
      <c r="L1239" s="91">
        <f>STOCK[[#This Row],[Entradas]]-STOCK[[#This Row],[Salidas]]</f>
        <v>0</v>
      </c>
      <c r="M1239" s="76">
        <f>STOCK[[#This Row],[Precio Final]]*10%</f>
        <v>2.5</v>
      </c>
      <c r="N1239" s="76">
        <v>0</v>
      </c>
      <c r="O1239" s="76">
        <v>0</v>
      </c>
      <c r="P1239" s="76">
        <v>10.97</v>
      </c>
      <c r="Q1239" s="91">
        <v>0</v>
      </c>
      <c r="R1239" s="76">
        <v>0</v>
      </c>
      <c r="S1239" s="76">
        <v>1.97</v>
      </c>
      <c r="T1239" s="76">
        <f>STOCK[[#This Row],[Costo Unitario (USD)]]+STOCK[[#This Row],[Costo Envío (USD)]]+STOCK[[#This Row],[Comisión 10%]]</f>
        <v>15.44</v>
      </c>
      <c r="U1239" s="76">
        <f>STOCK[[#This Row],[Costo total]]*1.5</f>
        <v>23.16</v>
      </c>
      <c r="V1239" s="76">
        <v>25</v>
      </c>
      <c r="W1239" s="76">
        <f>STOCK[[#This Row],[Precio Final]]-STOCK[[#This Row],[Costo total]]</f>
        <v>9.56</v>
      </c>
      <c r="X1239" s="76">
        <f>STOCK[[#This Row],[Ganancia Unitaria]]*STOCK[[#This Row],[Salidas]]</f>
        <v>9.56</v>
      </c>
      <c r="AA1239" s="76">
        <f>STOCK[[#This Row],[Costo total]]*STOCK[[#This Row],[Entradas]]</f>
        <v>15.44</v>
      </c>
      <c r="AB1239" s="76">
        <f>STOCK[[#This Row],[Stock Actual]]*STOCK[[#This Row],[Costo total]]</f>
        <v>0</v>
      </c>
    </row>
    <row r="1240" s="77" customFormat="1" ht="50" hidden="1" customHeight="1" spans="1:28">
      <c r="A1240" s="77" t="s">
        <v>2578</v>
      </c>
      <c r="B1240" s="6"/>
      <c r="C1240" s="77" t="s">
        <v>30</v>
      </c>
      <c r="D1240" s="77" t="s">
        <v>2116</v>
      </c>
      <c r="E1240" s="77" t="s">
        <v>2577</v>
      </c>
      <c r="F1240" s="77" t="s">
        <v>47</v>
      </c>
      <c r="H1240" s="77">
        <f>STOCK[[#This Row],[Precio Final]]</f>
        <v>25</v>
      </c>
      <c r="I1240" s="77">
        <f>STOCK[[#This Row],[Precio Venta Ideal (x1.5)]]</f>
        <v>23.16</v>
      </c>
      <c r="J1240" s="92">
        <v>1</v>
      </c>
      <c r="K1240" s="92">
        <f>SUMIFS(VENTAS[Cantidad],VENTAS[Código del producto Vendido],STOCK[[#This Row],[Code]])</f>
        <v>0</v>
      </c>
      <c r="L1240" s="92">
        <f>STOCK[[#This Row],[Entradas]]-STOCK[[#This Row],[Salidas]]</f>
        <v>1</v>
      </c>
      <c r="M1240" s="77">
        <f>STOCK[[#This Row],[Precio Final]]*10%</f>
        <v>2.5</v>
      </c>
      <c r="N1240" s="77">
        <v>0</v>
      </c>
      <c r="O1240" s="77">
        <v>0</v>
      </c>
      <c r="P1240" s="77">
        <v>10.97</v>
      </c>
      <c r="Q1240" s="92">
        <v>0</v>
      </c>
      <c r="R1240" s="77">
        <v>0</v>
      </c>
      <c r="S1240" s="77">
        <v>1.97</v>
      </c>
      <c r="T1240" s="76">
        <f>STOCK[[#This Row],[Costo Unitario (USD)]]+STOCK[[#This Row],[Costo Envío (USD)]]+STOCK[[#This Row],[Comisión 10%]]</f>
        <v>15.44</v>
      </c>
      <c r="U1240" s="77">
        <f>STOCK[[#This Row],[Costo total]]*1.5</f>
        <v>23.16</v>
      </c>
      <c r="V1240" s="77">
        <v>25</v>
      </c>
      <c r="W1240" s="77">
        <f>STOCK[[#This Row],[Precio Final]]-STOCK[[#This Row],[Costo total]]</f>
        <v>9.56</v>
      </c>
      <c r="X1240" s="77">
        <f>STOCK[[#This Row],[Ganancia Unitaria]]*STOCK[[#This Row],[Salidas]]</f>
        <v>0</v>
      </c>
      <c r="AA1240" s="77">
        <f>STOCK[[#This Row],[Costo total]]*STOCK[[#This Row],[Entradas]]</f>
        <v>15.44</v>
      </c>
      <c r="AB1240" s="77">
        <f>STOCK[[#This Row],[Stock Actual]]*STOCK[[#This Row],[Costo total]]</f>
        <v>15.44</v>
      </c>
    </row>
    <row r="1241" s="76" customFormat="1" ht="50" hidden="1" customHeight="1" spans="1:28">
      <c r="A1241" s="76" t="s">
        <v>2579</v>
      </c>
      <c r="B1241" s="6"/>
      <c r="C1241" s="76" t="s">
        <v>30</v>
      </c>
      <c r="D1241" s="76" t="s">
        <v>2375</v>
      </c>
      <c r="E1241" s="76" t="s">
        <v>2577</v>
      </c>
      <c r="F1241" s="76" t="s">
        <v>44</v>
      </c>
      <c r="H1241" s="76">
        <f>STOCK[[#This Row],[Precio Final]]</f>
        <v>25</v>
      </c>
      <c r="I1241" s="76">
        <f>STOCK[[#This Row],[Precio Venta Ideal (x1.5)]]</f>
        <v>23.16</v>
      </c>
      <c r="J1241" s="91">
        <v>1</v>
      </c>
      <c r="K1241" s="91">
        <f>SUMIFS(VENTAS[Cantidad],VENTAS[Código del producto Vendido],STOCK[[#This Row],[Code]])</f>
        <v>1</v>
      </c>
      <c r="L1241" s="91">
        <f>STOCK[[#This Row],[Entradas]]-STOCK[[#This Row],[Salidas]]</f>
        <v>0</v>
      </c>
      <c r="M1241" s="76">
        <f>STOCK[[#This Row],[Precio Final]]*10%</f>
        <v>2.5</v>
      </c>
      <c r="N1241" s="76">
        <v>0</v>
      </c>
      <c r="O1241" s="76">
        <v>0</v>
      </c>
      <c r="P1241" s="76">
        <v>10.97</v>
      </c>
      <c r="Q1241" s="91">
        <v>0</v>
      </c>
      <c r="R1241" s="76">
        <v>0</v>
      </c>
      <c r="S1241" s="76">
        <v>1.97</v>
      </c>
      <c r="T1241" s="76">
        <f>STOCK[[#This Row],[Costo Unitario (USD)]]+STOCK[[#This Row],[Costo Envío (USD)]]+STOCK[[#This Row],[Comisión 10%]]</f>
        <v>15.44</v>
      </c>
      <c r="U1241" s="76">
        <f>STOCK[[#This Row],[Costo total]]*1.5</f>
        <v>23.16</v>
      </c>
      <c r="V1241" s="76">
        <v>25</v>
      </c>
      <c r="W1241" s="76">
        <f>STOCK[[#This Row],[Precio Final]]-STOCK[[#This Row],[Costo total]]</f>
        <v>9.56</v>
      </c>
      <c r="X1241" s="76">
        <f>STOCK[[#This Row],[Ganancia Unitaria]]*STOCK[[#This Row],[Salidas]]</f>
        <v>9.56</v>
      </c>
      <c r="AA1241" s="76">
        <f>STOCK[[#This Row],[Costo total]]*STOCK[[#This Row],[Entradas]]</f>
        <v>15.44</v>
      </c>
      <c r="AB1241" s="76">
        <f>STOCK[[#This Row],[Stock Actual]]*STOCK[[#This Row],[Costo total]]</f>
        <v>0</v>
      </c>
    </row>
    <row r="1242" s="77" customFormat="1" ht="50" hidden="1" customHeight="1" spans="1:28">
      <c r="A1242" s="77" t="s">
        <v>2580</v>
      </c>
      <c r="B1242" s="6"/>
      <c r="C1242" s="77" t="s">
        <v>30</v>
      </c>
      <c r="D1242" s="77" t="s">
        <v>2116</v>
      </c>
      <c r="E1242" s="77" t="s">
        <v>2581</v>
      </c>
      <c r="F1242" s="77" t="s">
        <v>60</v>
      </c>
      <c r="H1242" s="77">
        <f>STOCK[[#This Row],[Precio Final]]</f>
        <v>30</v>
      </c>
      <c r="I1242" s="77">
        <f>STOCK[[#This Row],[Precio Venta Ideal (x1.5)]]</f>
        <v>18.96</v>
      </c>
      <c r="J1242" s="92">
        <v>1</v>
      </c>
      <c r="K1242" s="92">
        <f>SUMIFS(VENTAS[Cantidad],VENTAS[Código del producto Vendido],STOCK[[#This Row],[Code]])</f>
        <v>1</v>
      </c>
      <c r="L1242" s="92">
        <f>STOCK[[#This Row],[Entradas]]-STOCK[[#This Row],[Salidas]]</f>
        <v>0</v>
      </c>
      <c r="M1242" s="77">
        <f>STOCK[[#This Row],[Precio Final]]*10%</f>
        <v>3</v>
      </c>
      <c r="N1242" s="77">
        <v>0</v>
      </c>
      <c r="O1242" s="77">
        <v>0</v>
      </c>
      <c r="P1242" s="77">
        <v>7.67</v>
      </c>
      <c r="Q1242" s="92">
        <v>0</v>
      </c>
      <c r="R1242" s="77">
        <v>0</v>
      </c>
      <c r="S1242" s="77">
        <v>1.97</v>
      </c>
      <c r="T1242" s="76">
        <f>STOCK[[#This Row],[Costo Unitario (USD)]]+STOCK[[#This Row],[Costo Envío (USD)]]+STOCK[[#This Row],[Comisión 10%]]</f>
        <v>12.64</v>
      </c>
      <c r="U1242" s="77">
        <f>STOCK[[#This Row],[Costo total]]*1.5</f>
        <v>18.96</v>
      </c>
      <c r="V1242" s="77">
        <v>30</v>
      </c>
      <c r="W1242" s="77">
        <f>STOCK[[#This Row],[Precio Final]]-STOCK[[#This Row],[Costo total]]</f>
        <v>17.36</v>
      </c>
      <c r="X1242" s="77">
        <f>STOCK[[#This Row],[Ganancia Unitaria]]*STOCK[[#This Row],[Salidas]]</f>
        <v>17.36</v>
      </c>
      <c r="AA1242" s="77">
        <f>STOCK[[#This Row],[Costo total]]*STOCK[[#This Row],[Entradas]]</f>
        <v>12.64</v>
      </c>
      <c r="AB1242" s="77">
        <f>STOCK[[#This Row],[Stock Actual]]*STOCK[[#This Row],[Costo total]]</f>
        <v>0</v>
      </c>
    </row>
    <row r="1243" s="76" customFormat="1" ht="50" hidden="1" customHeight="1" spans="1:28">
      <c r="A1243" s="76" t="s">
        <v>2582</v>
      </c>
      <c r="B1243" s="6"/>
      <c r="C1243" s="76" t="s">
        <v>30</v>
      </c>
      <c r="D1243" s="76" t="s">
        <v>2315</v>
      </c>
      <c r="E1243" s="76" t="s">
        <v>2229</v>
      </c>
      <c r="F1243" s="76" t="s">
        <v>44</v>
      </c>
      <c r="H1243" s="76">
        <f>STOCK[[#This Row],[Precio Final]]</f>
        <v>30</v>
      </c>
      <c r="I1243" s="76">
        <f>STOCK[[#This Row],[Precio Venta Ideal (x1.5)]]</f>
        <v>27.66</v>
      </c>
      <c r="J1243" s="91">
        <v>2</v>
      </c>
      <c r="K1243" s="91">
        <f>SUMIFS(VENTAS[Cantidad],VENTAS[Código del producto Vendido],STOCK[[#This Row],[Code]])</f>
        <v>1</v>
      </c>
      <c r="L1243" s="91">
        <f>STOCK[[#This Row],[Entradas]]-STOCK[[#This Row],[Salidas]]</f>
        <v>1</v>
      </c>
      <c r="M1243" s="76">
        <f>STOCK[[#This Row],[Precio Final]]*10%</f>
        <v>3</v>
      </c>
      <c r="N1243" s="76">
        <v>0</v>
      </c>
      <c r="O1243" s="76">
        <v>0</v>
      </c>
      <c r="P1243" s="76">
        <v>13.47</v>
      </c>
      <c r="Q1243" s="91">
        <v>0</v>
      </c>
      <c r="R1243" s="76">
        <v>0</v>
      </c>
      <c r="S1243" s="76">
        <v>1.97</v>
      </c>
      <c r="T1243" s="76">
        <f>STOCK[[#This Row],[Costo Unitario (USD)]]+STOCK[[#This Row],[Costo Envío (USD)]]+STOCK[[#This Row],[Comisión 10%]]</f>
        <v>18.44</v>
      </c>
      <c r="U1243" s="76">
        <f>STOCK[[#This Row],[Costo total]]*1.5</f>
        <v>27.66</v>
      </c>
      <c r="V1243" s="76">
        <v>30</v>
      </c>
      <c r="W1243" s="76">
        <f>STOCK[[#This Row],[Precio Final]]-STOCK[[#This Row],[Costo total]]</f>
        <v>11.56</v>
      </c>
      <c r="X1243" s="76">
        <f>STOCK[[#This Row],[Ganancia Unitaria]]*STOCK[[#This Row],[Salidas]]</f>
        <v>11.56</v>
      </c>
      <c r="AA1243" s="76">
        <f>STOCK[[#This Row],[Costo total]]*STOCK[[#This Row],[Entradas]]</f>
        <v>36.88</v>
      </c>
      <c r="AB1243" s="76">
        <f>STOCK[[#This Row],[Stock Actual]]*STOCK[[#This Row],[Costo total]]</f>
        <v>18.44</v>
      </c>
    </row>
    <row r="1244" s="77" customFormat="1" ht="50" hidden="1" customHeight="1" spans="1:28">
      <c r="A1244" s="77" t="s">
        <v>2583</v>
      </c>
      <c r="B1244" s="6"/>
      <c r="C1244" s="77" t="s">
        <v>30</v>
      </c>
      <c r="D1244" s="77" t="s">
        <v>2116</v>
      </c>
      <c r="E1244" s="77" t="s">
        <v>2229</v>
      </c>
      <c r="F1244" s="77" t="s">
        <v>47</v>
      </c>
      <c r="H1244" s="77">
        <f>STOCK[[#This Row],[Precio Final]]</f>
        <v>30</v>
      </c>
      <c r="I1244" s="77">
        <f>STOCK[[#This Row],[Precio Venta Ideal (x1.5)]]</f>
        <v>27.66</v>
      </c>
      <c r="J1244" s="92">
        <v>2</v>
      </c>
      <c r="K1244" s="92">
        <f>SUMIFS(VENTAS[Cantidad],VENTAS[Código del producto Vendido],STOCK[[#This Row],[Code]])</f>
        <v>2</v>
      </c>
      <c r="L1244" s="92">
        <f>STOCK[[#This Row],[Entradas]]-STOCK[[#This Row],[Salidas]]</f>
        <v>0</v>
      </c>
      <c r="M1244" s="77">
        <f>STOCK[[#This Row],[Precio Final]]*10%</f>
        <v>3</v>
      </c>
      <c r="N1244" s="77">
        <v>0</v>
      </c>
      <c r="O1244" s="77">
        <v>0</v>
      </c>
      <c r="P1244" s="77">
        <v>13.47</v>
      </c>
      <c r="Q1244" s="92">
        <v>0</v>
      </c>
      <c r="R1244" s="77">
        <v>0</v>
      </c>
      <c r="S1244" s="77">
        <v>1.97</v>
      </c>
      <c r="T1244" s="76">
        <f>STOCK[[#This Row],[Costo Unitario (USD)]]+STOCK[[#This Row],[Costo Envío (USD)]]+STOCK[[#This Row],[Comisión 10%]]</f>
        <v>18.44</v>
      </c>
      <c r="U1244" s="77">
        <f>STOCK[[#This Row],[Costo total]]*1.5</f>
        <v>27.66</v>
      </c>
      <c r="V1244" s="77">
        <v>30</v>
      </c>
      <c r="W1244" s="77">
        <f>STOCK[[#This Row],[Precio Final]]-STOCK[[#This Row],[Costo total]]</f>
        <v>11.56</v>
      </c>
      <c r="X1244" s="77">
        <f>STOCK[[#This Row],[Ganancia Unitaria]]*STOCK[[#This Row],[Salidas]]</f>
        <v>23.12</v>
      </c>
      <c r="AA1244" s="77">
        <f>STOCK[[#This Row],[Costo total]]*STOCK[[#This Row],[Entradas]]</f>
        <v>36.88</v>
      </c>
      <c r="AB1244" s="77">
        <f>STOCK[[#This Row],[Stock Actual]]*STOCK[[#This Row],[Costo total]]</f>
        <v>0</v>
      </c>
    </row>
    <row r="1245" s="76" customFormat="1" ht="50" hidden="1" customHeight="1" spans="1:28">
      <c r="A1245" s="76" t="s">
        <v>2584</v>
      </c>
      <c r="B1245" s="6"/>
      <c r="C1245" s="76" t="s">
        <v>30</v>
      </c>
      <c r="D1245" s="76" t="s">
        <v>2116</v>
      </c>
      <c r="E1245" s="76" t="s">
        <v>2232</v>
      </c>
      <c r="F1245" s="76" t="s">
        <v>47</v>
      </c>
      <c r="H1245" s="76">
        <f>STOCK[[#This Row],[Precio Final]]</f>
        <v>30</v>
      </c>
      <c r="I1245" s="76">
        <f>STOCK[[#This Row],[Precio Venta Ideal (x1.5)]]</f>
        <v>27.66</v>
      </c>
      <c r="J1245" s="91">
        <v>2</v>
      </c>
      <c r="K1245" s="91">
        <f>SUMIFS(VENTAS[Cantidad],VENTAS[Código del producto Vendido],STOCK[[#This Row],[Code]])</f>
        <v>2</v>
      </c>
      <c r="L1245" s="91">
        <f>STOCK[[#This Row],[Entradas]]-STOCK[[#This Row],[Salidas]]</f>
        <v>0</v>
      </c>
      <c r="M1245" s="76">
        <f>STOCK[[#This Row],[Precio Final]]*10%</f>
        <v>3</v>
      </c>
      <c r="N1245" s="76">
        <v>0</v>
      </c>
      <c r="O1245" s="76">
        <v>0</v>
      </c>
      <c r="P1245" s="76">
        <v>13.47</v>
      </c>
      <c r="Q1245" s="91">
        <v>0</v>
      </c>
      <c r="R1245" s="76">
        <v>0</v>
      </c>
      <c r="S1245" s="76">
        <v>1.97</v>
      </c>
      <c r="T1245" s="76">
        <f>STOCK[[#This Row],[Costo Unitario (USD)]]+STOCK[[#This Row],[Costo Envío (USD)]]+STOCK[[#This Row],[Comisión 10%]]</f>
        <v>18.44</v>
      </c>
      <c r="U1245" s="76">
        <f>STOCK[[#This Row],[Costo total]]*1.5</f>
        <v>27.66</v>
      </c>
      <c r="V1245" s="76">
        <v>30</v>
      </c>
      <c r="W1245" s="76">
        <f>STOCK[[#This Row],[Precio Final]]-STOCK[[#This Row],[Costo total]]</f>
        <v>11.56</v>
      </c>
      <c r="X1245" s="76">
        <f>STOCK[[#This Row],[Ganancia Unitaria]]*STOCK[[#This Row],[Salidas]]</f>
        <v>23.12</v>
      </c>
      <c r="AA1245" s="76">
        <f>STOCK[[#This Row],[Costo total]]*STOCK[[#This Row],[Entradas]]</f>
        <v>36.88</v>
      </c>
      <c r="AB1245" s="76">
        <f>STOCK[[#This Row],[Stock Actual]]*STOCK[[#This Row],[Costo total]]</f>
        <v>0</v>
      </c>
    </row>
    <row r="1246" s="77" customFormat="1" ht="50" hidden="1" customHeight="1" spans="1:28">
      <c r="A1246" s="77" t="s">
        <v>2585</v>
      </c>
      <c r="B1246" s="6"/>
      <c r="C1246" s="77" t="s">
        <v>30</v>
      </c>
      <c r="D1246" s="77" t="s">
        <v>2116</v>
      </c>
      <c r="E1246" s="77" t="s">
        <v>2232</v>
      </c>
      <c r="F1246" s="77" t="s">
        <v>44</v>
      </c>
      <c r="H1246" s="77">
        <f>STOCK[[#This Row],[Precio Final]]</f>
        <v>30</v>
      </c>
      <c r="I1246" s="77">
        <f>STOCK[[#This Row],[Precio Venta Ideal (x1.5)]]</f>
        <v>27.66</v>
      </c>
      <c r="J1246" s="92">
        <v>2</v>
      </c>
      <c r="K1246" s="92">
        <f>SUMIFS(VENTAS[Cantidad],VENTAS[Código del producto Vendido],STOCK[[#This Row],[Code]])</f>
        <v>2</v>
      </c>
      <c r="L1246" s="92">
        <f>STOCK[[#This Row],[Entradas]]-STOCK[[#This Row],[Salidas]]</f>
        <v>0</v>
      </c>
      <c r="M1246" s="77">
        <f>STOCK[[#This Row],[Precio Final]]*10%</f>
        <v>3</v>
      </c>
      <c r="N1246" s="77">
        <v>0</v>
      </c>
      <c r="O1246" s="77">
        <v>0</v>
      </c>
      <c r="P1246" s="77">
        <v>13.47</v>
      </c>
      <c r="Q1246" s="92">
        <v>0</v>
      </c>
      <c r="R1246" s="77">
        <v>0</v>
      </c>
      <c r="S1246" s="77">
        <v>1.97</v>
      </c>
      <c r="T1246" s="76">
        <f>STOCK[[#This Row],[Costo Unitario (USD)]]+STOCK[[#This Row],[Costo Envío (USD)]]+STOCK[[#This Row],[Comisión 10%]]</f>
        <v>18.44</v>
      </c>
      <c r="U1246" s="77">
        <f>STOCK[[#This Row],[Costo total]]*1.5</f>
        <v>27.66</v>
      </c>
      <c r="V1246" s="77">
        <v>30</v>
      </c>
      <c r="W1246" s="77">
        <f>STOCK[[#This Row],[Precio Final]]-STOCK[[#This Row],[Costo total]]</f>
        <v>11.56</v>
      </c>
      <c r="X1246" s="77">
        <f>STOCK[[#This Row],[Ganancia Unitaria]]*STOCK[[#This Row],[Salidas]]</f>
        <v>23.12</v>
      </c>
      <c r="AA1246" s="77">
        <f>STOCK[[#This Row],[Costo total]]*STOCK[[#This Row],[Entradas]]</f>
        <v>36.88</v>
      </c>
      <c r="AB1246" s="77">
        <f>STOCK[[#This Row],[Stock Actual]]*STOCK[[#This Row],[Costo total]]</f>
        <v>0</v>
      </c>
    </row>
    <row r="1247" s="76" customFormat="1" ht="50" hidden="1" customHeight="1" spans="1:28">
      <c r="A1247" s="76" t="s">
        <v>2586</v>
      </c>
      <c r="B1247" s="6"/>
      <c r="C1247" s="76" t="s">
        <v>30</v>
      </c>
      <c r="D1247" s="76" t="s">
        <v>2116</v>
      </c>
      <c r="E1247" s="76" t="s">
        <v>2587</v>
      </c>
      <c r="F1247" s="76" t="s">
        <v>60</v>
      </c>
      <c r="H1247" s="76">
        <f>STOCK[[#This Row],[Precio Final]]</f>
        <v>30</v>
      </c>
      <c r="I1247" s="76">
        <f>STOCK[[#This Row],[Precio Venta Ideal (x1.5)]]</f>
        <v>25.53</v>
      </c>
      <c r="J1247" s="91">
        <v>1</v>
      </c>
      <c r="K1247" s="91">
        <f>SUMIFS(VENTAS[Cantidad],VENTAS[Código del producto Vendido],STOCK[[#This Row],[Code]])</f>
        <v>1</v>
      </c>
      <c r="L1247" s="91">
        <f>STOCK[[#This Row],[Entradas]]-STOCK[[#This Row],[Salidas]]</f>
        <v>0</v>
      </c>
      <c r="M1247" s="76">
        <f>STOCK[[#This Row],[Precio Final]]*10%</f>
        <v>3</v>
      </c>
      <c r="N1247" s="76">
        <v>0</v>
      </c>
      <c r="O1247" s="76">
        <v>0</v>
      </c>
      <c r="P1247" s="76">
        <v>12.05</v>
      </c>
      <c r="Q1247" s="91">
        <v>0</v>
      </c>
      <c r="R1247" s="76">
        <v>0</v>
      </c>
      <c r="S1247" s="76">
        <v>1.97</v>
      </c>
      <c r="T1247" s="76">
        <f>STOCK[[#This Row],[Costo Unitario (USD)]]+STOCK[[#This Row],[Costo Envío (USD)]]+STOCK[[#This Row],[Comisión 10%]]</f>
        <v>17.02</v>
      </c>
      <c r="U1247" s="76">
        <f>STOCK[[#This Row],[Costo total]]*1.5</f>
        <v>25.53</v>
      </c>
      <c r="V1247" s="76">
        <v>30</v>
      </c>
      <c r="W1247" s="76">
        <f>STOCK[[#This Row],[Precio Final]]-STOCK[[#This Row],[Costo total]]</f>
        <v>12.98</v>
      </c>
      <c r="X1247" s="76">
        <f>STOCK[[#This Row],[Ganancia Unitaria]]*STOCK[[#This Row],[Salidas]]</f>
        <v>12.98</v>
      </c>
      <c r="AA1247" s="76">
        <f>STOCK[[#This Row],[Costo total]]*STOCK[[#This Row],[Entradas]]</f>
        <v>17.02</v>
      </c>
      <c r="AB1247" s="76">
        <f>STOCK[[#This Row],[Stock Actual]]*STOCK[[#This Row],[Costo total]]</f>
        <v>0</v>
      </c>
    </row>
    <row r="1248" s="77" customFormat="1" ht="50" hidden="1" customHeight="1" spans="1:28">
      <c r="A1248" s="77" t="s">
        <v>2588</v>
      </c>
      <c r="B1248" s="6"/>
      <c r="C1248" s="77" t="s">
        <v>30</v>
      </c>
      <c r="D1248" s="77" t="s">
        <v>2116</v>
      </c>
      <c r="E1248" s="77" t="s">
        <v>2587</v>
      </c>
      <c r="F1248" s="77" t="s">
        <v>47</v>
      </c>
      <c r="H1248" s="77">
        <f>STOCK[[#This Row],[Precio Final]]</f>
        <v>30</v>
      </c>
      <c r="I1248" s="77">
        <f>STOCK[[#This Row],[Precio Venta Ideal (x1.5)]]</f>
        <v>25.53</v>
      </c>
      <c r="J1248" s="92">
        <v>1</v>
      </c>
      <c r="K1248" s="92">
        <f>SUMIFS(VENTAS[Cantidad],VENTAS[Código del producto Vendido],STOCK[[#This Row],[Code]])</f>
        <v>1</v>
      </c>
      <c r="L1248" s="92">
        <f>STOCK[[#This Row],[Entradas]]-STOCK[[#This Row],[Salidas]]</f>
        <v>0</v>
      </c>
      <c r="M1248" s="77">
        <f>STOCK[[#This Row],[Precio Final]]*10%</f>
        <v>3</v>
      </c>
      <c r="N1248" s="77">
        <v>0</v>
      </c>
      <c r="O1248" s="77">
        <v>0</v>
      </c>
      <c r="P1248" s="77">
        <v>12.05</v>
      </c>
      <c r="Q1248" s="92">
        <v>0</v>
      </c>
      <c r="R1248" s="77">
        <v>0</v>
      </c>
      <c r="S1248" s="77">
        <v>1.97</v>
      </c>
      <c r="T1248" s="76">
        <f>STOCK[[#This Row],[Costo Unitario (USD)]]+STOCK[[#This Row],[Costo Envío (USD)]]+STOCK[[#This Row],[Comisión 10%]]</f>
        <v>17.02</v>
      </c>
      <c r="U1248" s="77">
        <f>STOCK[[#This Row],[Costo total]]*1.5</f>
        <v>25.53</v>
      </c>
      <c r="V1248" s="77">
        <v>30</v>
      </c>
      <c r="W1248" s="77">
        <f>STOCK[[#This Row],[Precio Final]]-STOCK[[#This Row],[Costo total]]</f>
        <v>12.98</v>
      </c>
      <c r="X1248" s="77">
        <f>STOCK[[#This Row],[Ganancia Unitaria]]*STOCK[[#This Row],[Salidas]]</f>
        <v>12.98</v>
      </c>
      <c r="AA1248" s="77">
        <f>STOCK[[#This Row],[Costo total]]*STOCK[[#This Row],[Entradas]]</f>
        <v>17.02</v>
      </c>
      <c r="AB1248" s="77">
        <f>STOCK[[#This Row],[Stock Actual]]*STOCK[[#This Row],[Costo total]]</f>
        <v>0</v>
      </c>
    </row>
    <row r="1249" s="76" customFormat="1" ht="50" hidden="1" customHeight="1" spans="1:28">
      <c r="A1249" s="76" t="s">
        <v>2589</v>
      </c>
      <c r="B1249" s="6"/>
      <c r="C1249" s="76" t="s">
        <v>30</v>
      </c>
      <c r="D1249" s="76" t="s">
        <v>2116</v>
      </c>
      <c r="E1249" s="76" t="s">
        <v>2587</v>
      </c>
      <c r="F1249" s="76" t="s">
        <v>44</v>
      </c>
      <c r="H1249" s="76">
        <f>STOCK[[#This Row],[Precio Final]]</f>
        <v>30</v>
      </c>
      <c r="I1249" s="76">
        <f>STOCK[[#This Row],[Precio Venta Ideal (x1.5)]]</f>
        <v>25.53</v>
      </c>
      <c r="J1249" s="91">
        <v>1</v>
      </c>
      <c r="K1249" s="91">
        <f>SUMIFS(VENTAS[Cantidad],VENTAS[Código del producto Vendido],STOCK[[#This Row],[Code]])</f>
        <v>1</v>
      </c>
      <c r="L1249" s="91">
        <f>STOCK[[#This Row],[Entradas]]-STOCK[[#This Row],[Salidas]]</f>
        <v>0</v>
      </c>
      <c r="M1249" s="76">
        <f>STOCK[[#This Row],[Precio Final]]*10%</f>
        <v>3</v>
      </c>
      <c r="N1249" s="76">
        <v>0</v>
      </c>
      <c r="O1249" s="76">
        <v>0</v>
      </c>
      <c r="P1249" s="76">
        <v>12.05</v>
      </c>
      <c r="Q1249" s="91">
        <v>0</v>
      </c>
      <c r="R1249" s="76">
        <v>0</v>
      </c>
      <c r="S1249" s="76">
        <v>1.97</v>
      </c>
      <c r="T1249" s="76">
        <f>STOCK[[#This Row],[Costo Unitario (USD)]]+STOCK[[#This Row],[Costo Envío (USD)]]+STOCK[[#This Row],[Comisión 10%]]</f>
        <v>17.02</v>
      </c>
      <c r="U1249" s="76">
        <f>STOCK[[#This Row],[Costo total]]*1.5</f>
        <v>25.53</v>
      </c>
      <c r="V1249" s="76">
        <v>30</v>
      </c>
      <c r="W1249" s="76">
        <f>STOCK[[#This Row],[Precio Final]]-STOCK[[#This Row],[Costo total]]</f>
        <v>12.98</v>
      </c>
      <c r="X1249" s="76">
        <f>STOCK[[#This Row],[Ganancia Unitaria]]*STOCK[[#This Row],[Salidas]]</f>
        <v>12.98</v>
      </c>
      <c r="AA1249" s="76">
        <f>STOCK[[#This Row],[Costo total]]*STOCK[[#This Row],[Entradas]]</f>
        <v>17.02</v>
      </c>
      <c r="AB1249" s="76">
        <f>STOCK[[#This Row],[Stock Actual]]*STOCK[[#This Row],[Costo total]]</f>
        <v>0</v>
      </c>
    </row>
    <row r="1250" s="77" customFormat="1" ht="50" hidden="1" customHeight="1" spans="1:28">
      <c r="A1250" s="77" t="s">
        <v>2590</v>
      </c>
      <c r="B1250" s="6"/>
      <c r="C1250" s="77" t="s">
        <v>30</v>
      </c>
      <c r="D1250" s="77" t="s">
        <v>2116</v>
      </c>
      <c r="E1250" s="77" t="s">
        <v>2591</v>
      </c>
      <c r="F1250" s="77" t="s">
        <v>47</v>
      </c>
      <c r="H1250" s="77">
        <f>STOCK[[#This Row],[Precio Final]]</f>
        <v>30</v>
      </c>
      <c r="I1250" s="77">
        <f>STOCK[[#This Row],[Precio Venta Ideal (x1.5)]]</f>
        <v>24.84</v>
      </c>
      <c r="J1250" s="92">
        <v>2</v>
      </c>
      <c r="K1250" s="92">
        <f>SUMIFS(VENTAS[Cantidad],VENTAS[Código del producto Vendido],STOCK[[#This Row],[Code]])</f>
        <v>2</v>
      </c>
      <c r="L1250" s="92">
        <f>STOCK[[#This Row],[Entradas]]-STOCK[[#This Row],[Salidas]]</f>
        <v>0</v>
      </c>
      <c r="M1250" s="77">
        <f>STOCK[[#This Row],[Precio Final]]*10%</f>
        <v>3</v>
      </c>
      <c r="N1250" s="77">
        <v>0</v>
      </c>
      <c r="O1250" s="77">
        <v>0</v>
      </c>
      <c r="P1250" s="77">
        <v>11.59</v>
      </c>
      <c r="Q1250" s="92">
        <v>0</v>
      </c>
      <c r="R1250" s="77">
        <v>0</v>
      </c>
      <c r="S1250" s="77">
        <v>1.97</v>
      </c>
      <c r="T1250" s="76">
        <f>STOCK[[#This Row],[Costo Unitario (USD)]]+STOCK[[#This Row],[Costo Envío (USD)]]+STOCK[[#This Row],[Comisión 10%]]</f>
        <v>16.56</v>
      </c>
      <c r="U1250" s="77">
        <f>STOCK[[#This Row],[Costo total]]*1.5</f>
        <v>24.84</v>
      </c>
      <c r="V1250" s="77">
        <v>30</v>
      </c>
      <c r="W1250" s="77">
        <f>STOCK[[#This Row],[Precio Final]]-STOCK[[#This Row],[Costo total]]</f>
        <v>13.44</v>
      </c>
      <c r="X1250" s="77">
        <f>STOCK[[#This Row],[Ganancia Unitaria]]*STOCK[[#This Row],[Salidas]]</f>
        <v>26.88</v>
      </c>
      <c r="AA1250" s="77">
        <f>STOCK[[#This Row],[Costo total]]*STOCK[[#This Row],[Entradas]]</f>
        <v>33.12</v>
      </c>
      <c r="AB1250" s="77">
        <f>STOCK[[#This Row],[Stock Actual]]*STOCK[[#This Row],[Costo total]]</f>
        <v>0</v>
      </c>
    </row>
    <row r="1251" s="76" customFormat="1" ht="50" hidden="1" customHeight="1" spans="1:28">
      <c r="A1251" s="76" t="s">
        <v>2592</v>
      </c>
      <c r="B1251" s="6"/>
      <c r="C1251" s="76" t="s">
        <v>30</v>
      </c>
      <c r="D1251" s="76" t="s">
        <v>151</v>
      </c>
      <c r="E1251" s="76" t="s">
        <v>2593</v>
      </c>
      <c r="F1251" s="76" t="s">
        <v>47</v>
      </c>
      <c r="H1251" s="76">
        <f>STOCK[[#This Row],[Precio Final]]</f>
        <v>25</v>
      </c>
      <c r="I1251" s="76">
        <f>STOCK[[#This Row],[Precio Venta Ideal (x1.5)]]</f>
        <v>25.44</v>
      </c>
      <c r="J1251" s="91">
        <v>1</v>
      </c>
      <c r="K1251" s="91">
        <f>SUMIFS(VENTAS[Cantidad],VENTAS[Código del producto Vendido],STOCK[[#This Row],[Code]])</f>
        <v>1</v>
      </c>
      <c r="L1251" s="91">
        <f>STOCK[[#This Row],[Entradas]]-STOCK[[#This Row],[Salidas]]</f>
        <v>0</v>
      </c>
      <c r="M1251" s="76">
        <f>STOCK[[#This Row],[Precio Final]]*10%</f>
        <v>2.5</v>
      </c>
      <c r="N1251" s="76">
        <v>0</v>
      </c>
      <c r="O1251" s="76">
        <v>0</v>
      </c>
      <c r="P1251" s="76">
        <v>12.49</v>
      </c>
      <c r="Q1251" s="91">
        <v>0</v>
      </c>
      <c r="R1251" s="76">
        <v>0</v>
      </c>
      <c r="S1251" s="76">
        <v>1.97</v>
      </c>
      <c r="T1251" s="76">
        <f>STOCK[[#This Row],[Costo Unitario (USD)]]+STOCK[[#This Row],[Costo Envío (USD)]]+STOCK[[#This Row],[Comisión 10%]]</f>
        <v>16.96</v>
      </c>
      <c r="U1251" s="76">
        <f>STOCK[[#This Row],[Costo total]]*1.5</f>
        <v>25.44</v>
      </c>
      <c r="V1251" s="76">
        <v>25</v>
      </c>
      <c r="W1251" s="76">
        <f>STOCK[[#This Row],[Precio Final]]-STOCK[[#This Row],[Costo total]]</f>
        <v>8.04</v>
      </c>
      <c r="X1251" s="76">
        <f>STOCK[[#This Row],[Ganancia Unitaria]]*STOCK[[#This Row],[Salidas]]</f>
        <v>8.04</v>
      </c>
      <c r="AA1251" s="76">
        <f>STOCK[[#This Row],[Costo total]]*STOCK[[#This Row],[Entradas]]</f>
        <v>16.96</v>
      </c>
      <c r="AB1251" s="76">
        <f>STOCK[[#This Row],[Stock Actual]]*STOCK[[#This Row],[Costo total]]</f>
        <v>0</v>
      </c>
    </row>
    <row r="1252" s="77" customFormat="1" ht="50" hidden="1" customHeight="1" spans="1:28">
      <c r="A1252" s="77" t="s">
        <v>2594</v>
      </c>
      <c r="B1252" s="6"/>
      <c r="C1252" s="77" t="s">
        <v>30</v>
      </c>
      <c r="D1252" s="77" t="s">
        <v>151</v>
      </c>
      <c r="E1252" s="77" t="s">
        <v>2595</v>
      </c>
      <c r="F1252" s="77" t="s">
        <v>60</v>
      </c>
      <c r="H1252" s="77">
        <f>STOCK[[#This Row],[Precio Final]]</f>
        <v>25</v>
      </c>
      <c r="I1252" s="77">
        <f>STOCK[[#This Row],[Precio Venta Ideal (x1.5)]]</f>
        <v>29.94</v>
      </c>
      <c r="J1252" s="92">
        <v>0</v>
      </c>
      <c r="K1252" s="92">
        <f>SUMIFS(VENTAS[Cantidad],VENTAS[Código del producto Vendido],STOCK[[#This Row],[Code]])</f>
        <v>0</v>
      </c>
      <c r="L1252" s="92">
        <f>STOCK[[#This Row],[Entradas]]-STOCK[[#This Row],[Salidas]]</f>
        <v>0</v>
      </c>
      <c r="M1252" s="77">
        <f>STOCK[[#This Row],[Precio Final]]*10%</f>
        <v>2.5</v>
      </c>
      <c r="N1252" s="77">
        <v>0</v>
      </c>
      <c r="O1252" s="77">
        <v>0</v>
      </c>
      <c r="P1252" s="77">
        <v>15.49</v>
      </c>
      <c r="Q1252" s="92">
        <v>0</v>
      </c>
      <c r="R1252" s="77">
        <v>0</v>
      </c>
      <c r="S1252" s="77">
        <v>1.97</v>
      </c>
      <c r="T1252" s="76">
        <f>STOCK[[#This Row],[Costo Unitario (USD)]]+STOCK[[#This Row],[Costo Envío (USD)]]+STOCK[[#This Row],[Comisión 10%]]</f>
        <v>19.96</v>
      </c>
      <c r="U1252" s="77">
        <f>STOCK[[#This Row],[Costo total]]*1.5</f>
        <v>29.94</v>
      </c>
      <c r="V1252" s="77">
        <v>25</v>
      </c>
      <c r="W1252" s="77">
        <f>STOCK[[#This Row],[Precio Final]]-STOCK[[#This Row],[Costo total]]</f>
        <v>5.04</v>
      </c>
      <c r="X1252" s="77">
        <f>STOCK[[#This Row],[Ganancia Unitaria]]*STOCK[[#This Row],[Salidas]]</f>
        <v>0</v>
      </c>
      <c r="AA1252" s="77">
        <f>STOCK[[#This Row],[Costo total]]*STOCK[[#This Row],[Entradas]]</f>
        <v>0</v>
      </c>
      <c r="AB1252" s="77">
        <f>STOCK[[#This Row],[Stock Actual]]*STOCK[[#This Row],[Costo total]]</f>
        <v>0</v>
      </c>
    </row>
    <row r="1253" s="76" customFormat="1" ht="50" hidden="1" customHeight="1" spans="1:28">
      <c r="A1253" s="76" t="s">
        <v>2596</v>
      </c>
      <c r="B1253" s="6"/>
      <c r="C1253" s="76" t="s">
        <v>30</v>
      </c>
      <c r="D1253" s="76" t="s">
        <v>2116</v>
      </c>
      <c r="E1253" s="76" t="s">
        <v>2597</v>
      </c>
      <c r="F1253" s="76" t="s">
        <v>60</v>
      </c>
      <c r="H1253" s="76">
        <f>STOCK[[#This Row],[Precio Final]]</f>
        <v>30</v>
      </c>
      <c r="I1253" s="76">
        <f>STOCK[[#This Row],[Precio Venta Ideal (x1.5)]]</f>
        <v>20.94</v>
      </c>
      <c r="J1253" s="91">
        <v>1</v>
      </c>
      <c r="K1253" s="91">
        <f>SUMIFS(VENTAS[Cantidad],VENTAS[Código del producto Vendido],STOCK[[#This Row],[Code]])</f>
        <v>0</v>
      </c>
      <c r="L1253" s="91">
        <f>STOCK[[#This Row],[Entradas]]-STOCK[[#This Row],[Salidas]]</f>
        <v>1</v>
      </c>
      <c r="M1253" s="76">
        <f>STOCK[[#This Row],[Precio Final]]*10%</f>
        <v>3</v>
      </c>
      <c r="N1253" s="76">
        <v>0</v>
      </c>
      <c r="O1253" s="76">
        <v>0</v>
      </c>
      <c r="P1253" s="76">
        <v>8.99</v>
      </c>
      <c r="Q1253" s="91">
        <v>0</v>
      </c>
      <c r="R1253" s="76">
        <v>0</v>
      </c>
      <c r="S1253" s="76">
        <v>1.97</v>
      </c>
      <c r="T1253" s="76">
        <f>STOCK[[#This Row],[Costo Unitario (USD)]]+STOCK[[#This Row],[Costo Envío (USD)]]+STOCK[[#This Row],[Comisión 10%]]</f>
        <v>13.96</v>
      </c>
      <c r="U1253" s="76">
        <f>STOCK[[#This Row],[Costo total]]*1.5</f>
        <v>20.94</v>
      </c>
      <c r="V1253" s="76">
        <v>30</v>
      </c>
      <c r="W1253" s="76">
        <f>STOCK[[#This Row],[Precio Final]]-STOCK[[#This Row],[Costo total]]</f>
        <v>16.04</v>
      </c>
      <c r="X1253" s="76">
        <f>STOCK[[#This Row],[Ganancia Unitaria]]*STOCK[[#This Row],[Salidas]]</f>
        <v>0</v>
      </c>
      <c r="AA1253" s="76">
        <f>STOCK[[#This Row],[Costo total]]*STOCK[[#This Row],[Entradas]]</f>
        <v>13.96</v>
      </c>
      <c r="AB1253" s="76">
        <f>STOCK[[#This Row],[Stock Actual]]*STOCK[[#This Row],[Costo total]]</f>
        <v>13.96</v>
      </c>
    </row>
    <row r="1254" s="77" customFormat="1" ht="50" hidden="1" customHeight="1" spans="1:28">
      <c r="A1254" s="77" t="s">
        <v>2598</v>
      </c>
      <c r="B1254" s="6"/>
      <c r="C1254" s="77" t="s">
        <v>30</v>
      </c>
      <c r="D1254" s="77" t="s">
        <v>487</v>
      </c>
      <c r="E1254" s="77" t="s">
        <v>2599</v>
      </c>
      <c r="F1254" s="77" t="s">
        <v>1532</v>
      </c>
      <c r="H1254" s="77">
        <f>STOCK[[#This Row],[Precio Final]]</f>
        <v>20</v>
      </c>
      <c r="I1254" s="77">
        <f>STOCK[[#This Row],[Precio Venta Ideal (x1.5)]]</f>
        <v>11.94</v>
      </c>
      <c r="J1254" s="92">
        <v>3</v>
      </c>
      <c r="K1254" s="92">
        <f>SUMIFS(VENTAS[Cantidad],VENTAS[Código del producto Vendido],STOCK[[#This Row],[Code]])</f>
        <v>3</v>
      </c>
      <c r="L1254" s="92">
        <f>STOCK[[#This Row],[Entradas]]-STOCK[[#This Row],[Salidas]]</f>
        <v>0</v>
      </c>
      <c r="M1254" s="77">
        <f>STOCK[[#This Row],[Precio Final]]*10%</f>
        <v>2</v>
      </c>
      <c r="N1254" s="77">
        <v>0</v>
      </c>
      <c r="O1254" s="77">
        <v>0</v>
      </c>
      <c r="P1254" s="77">
        <v>3.99</v>
      </c>
      <c r="Q1254" s="92">
        <v>0</v>
      </c>
      <c r="R1254" s="77">
        <v>0</v>
      </c>
      <c r="S1254" s="77">
        <v>1.97</v>
      </c>
      <c r="T1254" s="76">
        <f>STOCK[[#This Row],[Costo Unitario (USD)]]+STOCK[[#This Row],[Costo Envío (USD)]]+STOCK[[#This Row],[Comisión 10%]]</f>
        <v>7.96</v>
      </c>
      <c r="U1254" s="77">
        <f>STOCK[[#This Row],[Costo total]]*1.5</f>
        <v>11.94</v>
      </c>
      <c r="V1254" s="77">
        <v>20</v>
      </c>
      <c r="W1254" s="77">
        <f>STOCK[[#This Row],[Precio Final]]-STOCK[[#This Row],[Costo total]]</f>
        <v>12.04</v>
      </c>
      <c r="X1254" s="77">
        <f>STOCK[[#This Row],[Ganancia Unitaria]]*STOCK[[#This Row],[Salidas]]</f>
        <v>36.12</v>
      </c>
      <c r="AA1254" s="77">
        <f>STOCK[[#This Row],[Costo total]]*STOCK[[#This Row],[Entradas]]</f>
        <v>23.88</v>
      </c>
      <c r="AB1254" s="77">
        <f>STOCK[[#This Row],[Stock Actual]]*STOCK[[#This Row],[Costo total]]</f>
        <v>0</v>
      </c>
    </row>
    <row r="1255" s="76" customFormat="1" ht="50" hidden="1" customHeight="1" spans="1:28">
      <c r="A1255" s="76" t="s">
        <v>2600</v>
      </c>
      <c r="B1255" s="6"/>
      <c r="C1255" s="76" t="s">
        <v>30</v>
      </c>
      <c r="D1255" s="76" t="s">
        <v>2131</v>
      </c>
      <c r="E1255" s="76" t="s">
        <v>2601</v>
      </c>
      <c r="F1255" s="76" t="s">
        <v>60</v>
      </c>
      <c r="H1255" s="76">
        <f>STOCK[[#This Row],[Precio Final]]</f>
        <v>35</v>
      </c>
      <c r="I1255" s="76">
        <f>STOCK[[#This Row],[Precio Venta Ideal (x1.5)]]</f>
        <v>25.59</v>
      </c>
      <c r="J1255" s="91">
        <v>1</v>
      </c>
      <c r="K1255" s="91">
        <f>SUMIFS(VENTAS[Cantidad],VENTAS[Código del producto Vendido],STOCK[[#This Row],[Code]])</f>
        <v>1</v>
      </c>
      <c r="L1255" s="91">
        <f>STOCK[[#This Row],[Entradas]]-STOCK[[#This Row],[Salidas]]</f>
        <v>0</v>
      </c>
      <c r="M1255" s="76">
        <f>STOCK[[#This Row],[Precio Final]]*10%</f>
        <v>3.5</v>
      </c>
      <c r="N1255" s="76">
        <v>0</v>
      </c>
      <c r="O1255" s="76">
        <v>0</v>
      </c>
      <c r="P1255" s="76">
        <v>11.59</v>
      </c>
      <c r="Q1255" s="91">
        <v>0</v>
      </c>
      <c r="R1255" s="76">
        <v>0</v>
      </c>
      <c r="S1255" s="76">
        <v>1.97</v>
      </c>
      <c r="T1255" s="76">
        <f>STOCK[[#This Row],[Costo Unitario (USD)]]+STOCK[[#This Row],[Costo Envío (USD)]]+STOCK[[#This Row],[Comisión 10%]]</f>
        <v>17.06</v>
      </c>
      <c r="U1255" s="76">
        <f>STOCK[[#This Row],[Costo total]]*1.5</f>
        <v>25.59</v>
      </c>
      <c r="V1255" s="76">
        <v>35</v>
      </c>
      <c r="W1255" s="76">
        <f>STOCK[[#This Row],[Precio Final]]-STOCK[[#This Row],[Costo total]]</f>
        <v>17.94</v>
      </c>
      <c r="X1255" s="76">
        <f>STOCK[[#This Row],[Ganancia Unitaria]]*STOCK[[#This Row],[Salidas]]</f>
        <v>17.94</v>
      </c>
      <c r="AA1255" s="76">
        <f>STOCK[[#This Row],[Costo total]]*STOCK[[#This Row],[Entradas]]</f>
        <v>17.06</v>
      </c>
      <c r="AB1255" s="76">
        <f>STOCK[[#This Row],[Stock Actual]]*STOCK[[#This Row],[Costo total]]</f>
        <v>0</v>
      </c>
    </row>
    <row r="1256" s="77" customFormat="1" ht="50" hidden="1" customHeight="1" spans="1:28">
      <c r="A1256" s="77" t="s">
        <v>2602</v>
      </c>
      <c r="B1256" s="6"/>
      <c r="C1256" s="77" t="s">
        <v>30</v>
      </c>
      <c r="D1256" s="77" t="s">
        <v>2116</v>
      </c>
      <c r="E1256" s="77" t="s">
        <v>2603</v>
      </c>
      <c r="F1256" s="77" t="s">
        <v>38</v>
      </c>
      <c r="H1256" s="77">
        <f>STOCK[[#This Row],[Precio Final]]</f>
        <v>25</v>
      </c>
      <c r="I1256" s="77">
        <f>STOCK[[#This Row],[Precio Venta Ideal (x1.5)]]</f>
        <v>23.91</v>
      </c>
      <c r="J1256" s="92">
        <v>1</v>
      </c>
      <c r="K1256" s="92">
        <f>SUMIFS(VENTAS[Cantidad],VENTAS[Código del producto Vendido],STOCK[[#This Row],[Code]])</f>
        <v>1</v>
      </c>
      <c r="L1256" s="92">
        <f>STOCK[[#This Row],[Entradas]]-STOCK[[#This Row],[Salidas]]</f>
        <v>0</v>
      </c>
      <c r="M1256" s="77">
        <f>STOCK[[#This Row],[Precio Final]]*10%</f>
        <v>2.5</v>
      </c>
      <c r="N1256" s="77">
        <v>0</v>
      </c>
      <c r="O1256" s="77">
        <v>0</v>
      </c>
      <c r="P1256" s="77">
        <v>11.47</v>
      </c>
      <c r="Q1256" s="92">
        <v>0</v>
      </c>
      <c r="R1256" s="77">
        <v>0</v>
      </c>
      <c r="S1256" s="77">
        <v>1.97</v>
      </c>
      <c r="T1256" s="76">
        <f>STOCK[[#This Row],[Costo Unitario (USD)]]+STOCK[[#This Row],[Costo Envío (USD)]]+STOCK[[#This Row],[Comisión 10%]]</f>
        <v>15.94</v>
      </c>
      <c r="U1256" s="77">
        <f>STOCK[[#This Row],[Costo total]]*1.5</f>
        <v>23.91</v>
      </c>
      <c r="V1256" s="77">
        <v>25</v>
      </c>
      <c r="W1256" s="77">
        <f>STOCK[[#This Row],[Precio Final]]-STOCK[[#This Row],[Costo total]]</f>
        <v>9.06</v>
      </c>
      <c r="X1256" s="77">
        <f>STOCK[[#This Row],[Ganancia Unitaria]]*STOCK[[#This Row],[Salidas]]</f>
        <v>9.06</v>
      </c>
      <c r="AA1256" s="77">
        <f>STOCK[[#This Row],[Costo total]]*STOCK[[#This Row],[Entradas]]</f>
        <v>15.94</v>
      </c>
      <c r="AB1256" s="77">
        <f>STOCK[[#This Row],[Stock Actual]]*STOCK[[#This Row],[Costo total]]</f>
        <v>0</v>
      </c>
    </row>
    <row r="1257" s="76" customFormat="1" ht="50" hidden="1" customHeight="1" spans="1:28">
      <c r="A1257" s="76" t="s">
        <v>2604</v>
      </c>
      <c r="B1257" s="6"/>
      <c r="C1257" s="76" t="s">
        <v>30</v>
      </c>
      <c r="D1257" s="76" t="s">
        <v>2116</v>
      </c>
      <c r="E1257" s="76" t="s">
        <v>2603</v>
      </c>
      <c r="F1257" s="76" t="s">
        <v>60</v>
      </c>
      <c r="H1257" s="76">
        <f>STOCK[[#This Row],[Precio Final]]</f>
        <v>25</v>
      </c>
      <c r="I1257" s="76">
        <f>STOCK[[#This Row],[Precio Venta Ideal (x1.5)]]</f>
        <v>23.91</v>
      </c>
      <c r="J1257" s="91">
        <v>1</v>
      </c>
      <c r="K1257" s="91">
        <f>SUMIFS(VENTAS[Cantidad],VENTAS[Código del producto Vendido],STOCK[[#This Row],[Code]])</f>
        <v>1</v>
      </c>
      <c r="L1257" s="91">
        <f>STOCK[[#This Row],[Entradas]]-STOCK[[#This Row],[Salidas]]</f>
        <v>0</v>
      </c>
      <c r="M1257" s="76">
        <f>STOCK[[#This Row],[Precio Final]]*10%</f>
        <v>2.5</v>
      </c>
      <c r="N1257" s="76">
        <v>0</v>
      </c>
      <c r="O1257" s="76">
        <v>0</v>
      </c>
      <c r="P1257" s="76">
        <v>11.47</v>
      </c>
      <c r="Q1257" s="91">
        <v>0</v>
      </c>
      <c r="R1257" s="76">
        <v>0</v>
      </c>
      <c r="S1257" s="76">
        <v>1.97</v>
      </c>
      <c r="T1257" s="76">
        <f>STOCK[[#This Row],[Costo Unitario (USD)]]+STOCK[[#This Row],[Costo Envío (USD)]]+STOCK[[#This Row],[Comisión 10%]]</f>
        <v>15.94</v>
      </c>
      <c r="U1257" s="76">
        <f>STOCK[[#This Row],[Costo total]]*1.5</f>
        <v>23.91</v>
      </c>
      <c r="V1257" s="76">
        <v>25</v>
      </c>
      <c r="W1257" s="76">
        <f>STOCK[[#This Row],[Precio Final]]-STOCK[[#This Row],[Costo total]]</f>
        <v>9.06</v>
      </c>
      <c r="X1257" s="76">
        <f>STOCK[[#This Row],[Ganancia Unitaria]]*STOCK[[#This Row],[Salidas]]</f>
        <v>9.06</v>
      </c>
      <c r="AA1257" s="76">
        <f>STOCK[[#This Row],[Costo total]]*STOCK[[#This Row],[Entradas]]</f>
        <v>15.94</v>
      </c>
      <c r="AB1257" s="76">
        <f>STOCK[[#This Row],[Stock Actual]]*STOCK[[#This Row],[Costo total]]</f>
        <v>0</v>
      </c>
    </row>
    <row r="1258" s="77" customFormat="1" ht="50" hidden="1" customHeight="1" spans="1:28">
      <c r="A1258" s="77" t="s">
        <v>2605</v>
      </c>
      <c r="B1258" s="6"/>
      <c r="C1258" s="77" t="s">
        <v>30</v>
      </c>
      <c r="D1258" s="77" t="s">
        <v>2116</v>
      </c>
      <c r="E1258" s="77" t="s">
        <v>2603</v>
      </c>
      <c r="F1258" s="77" t="s">
        <v>47</v>
      </c>
      <c r="H1258" s="77">
        <f>STOCK[[#This Row],[Precio Final]]</f>
        <v>25</v>
      </c>
      <c r="I1258" s="77">
        <f>STOCK[[#This Row],[Precio Venta Ideal (x1.5)]]</f>
        <v>23.91</v>
      </c>
      <c r="J1258" s="92">
        <v>1</v>
      </c>
      <c r="K1258" s="92">
        <f>SUMIFS(VENTAS[Cantidad],VENTAS[Código del producto Vendido],STOCK[[#This Row],[Code]])</f>
        <v>0</v>
      </c>
      <c r="L1258" s="92">
        <f>STOCK[[#This Row],[Entradas]]-STOCK[[#This Row],[Salidas]]</f>
        <v>1</v>
      </c>
      <c r="M1258" s="77">
        <f>STOCK[[#This Row],[Precio Final]]*10%</f>
        <v>2.5</v>
      </c>
      <c r="N1258" s="77">
        <v>0</v>
      </c>
      <c r="O1258" s="77">
        <v>0</v>
      </c>
      <c r="P1258" s="77">
        <v>11.47</v>
      </c>
      <c r="Q1258" s="92">
        <v>0</v>
      </c>
      <c r="R1258" s="77">
        <v>0</v>
      </c>
      <c r="S1258" s="77">
        <v>1.97</v>
      </c>
      <c r="T1258" s="76">
        <f>STOCK[[#This Row],[Costo Unitario (USD)]]+STOCK[[#This Row],[Costo Envío (USD)]]+STOCK[[#This Row],[Comisión 10%]]</f>
        <v>15.94</v>
      </c>
      <c r="U1258" s="77">
        <f>STOCK[[#This Row],[Costo total]]*1.5</f>
        <v>23.91</v>
      </c>
      <c r="V1258" s="77">
        <v>25</v>
      </c>
      <c r="W1258" s="77">
        <f>STOCK[[#This Row],[Precio Final]]-STOCK[[#This Row],[Costo total]]</f>
        <v>9.06</v>
      </c>
      <c r="X1258" s="77">
        <f>STOCK[[#This Row],[Ganancia Unitaria]]*STOCK[[#This Row],[Salidas]]</f>
        <v>0</v>
      </c>
      <c r="AA1258" s="77">
        <f>STOCK[[#This Row],[Costo total]]*STOCK[[#This Row],[Entradas]]</f>
        <v>15.94</v>
      </c>
      <c r="AB1258" s="77">
        <f>STOCK[[#This Row],[Stock Actual]]*STOCK[[#This Row],[Costo total]]</f>
        <v>15.94</v>
      </c>
    </row>
    <row r="1259" s="76" customFormat="1" ht="50" hidden="1" customHeight="1" spans="1:28">
      <c r="A1259" s="76" t="s">
        <v>2606</v>
      </c>
      <c r="B1259" s="6"/>
      <c r="C1259" s="76" t="s">
        <v>30</v>
      </c>
      <c r="D1259" s="76" t="s">
        <v>2116</v>
      </c>
      <c r="E1259" s="76" t="s">
        <v>2603</v>
      </c>
      <c r="F1259" s="76" t="s">
        <v>44</v>
      </c>
      <c r="H1259" s="76">
        <f>STOCK[[#This Row],[Precio Final]]</f>
        <v>25</v>
      </c>
      <c r="I1259" s="76">
        <f>STOCK[[#This Row],[Precio Venta Ideal (x1.5)]]</f>
        <v>23.91</v>
      </c>
      <c r="J1259" s="91">
        <v>1</v>
      </c>
      <c r="K1259" s="91">
        <f>SUMIFS(VENTAS[Cantidad],VENTAS[Código del producto Vendido],STOCK[[#This Row],[Code]])</f>
        <v>0</v>
      </c>
      <c r="L1259" s="91">
        <f>STOCK[[#This Row],[Entradas]]-STOCK[[#This Row],[Salidas]]</f>
        <v>1</v>
      </c>
      <c r="M1259" s="76">
        <f>STOCK[[#This Row],[Precio Final]]*10%</f>
        <v>2.5</v>
      </c>
      <c r="N1259" s="76">
        <v>0</v>
      </c>
      <c r="O1259" s="76">
        <v>0</v>
      </c>
      <c r="P1259" s="76">
        <v>11.47</v>
      </c>
      <c r="Q1259" s="91">
        <v>0</v>
      </c>
      <c r="R1259" s="76">
        <v>0</v>
      </c>
      <c r="S1259" s="76">
        <v>1.97</v>
      </c>
      <c r="T1259" s="76">
        <f>STOCK[[#This Row],[Costo Unitario (USD)]]+STOCK[[#This Row],[Costo Envío (USD)]]+STOCK[[#This Row],[Comisión 10%]]</f>
        <v>15.94</v>
      </c>
      <c r="U1259" s="76">
        <f>STOCK[[#This Row],[Costo total]]*1.5</f>
        <v>23.91</v>
      </c>
      <c r="V1259" s="76">
        <v>25</v>
      </c>
      <c r="W1259" s="76">
        <f>STOCK[[#This Row],[Precio Final]]-STOCK[[#This Row],[Costo total]]</f>
        <v>9.06</v>
      </c>
      <c r="X1259" s="76">
        <f>STOCK[[#This Row],[Ganancia Unitaria]]*STOCK[[#This Row],[Salidas]]</f>
        <v>0</v>
      </c>
      <c r="AA1259" s="76">
        <f>STOCK[[#This Row],[Costo total]]*STOCK[[#This Row],[Entradas]]</f>
        <v>15.94</v>
      </c>
      <c r="AB1259" s="76">
        <f>STOCK[[#This Row],[Stock Actual]]*STOCK[[#This Row],[Costo total]]</f>
        <v>15.94</v>
      </c>
    </row>
    <row r="1260" s="77" customFormat="1" ht="50" hidden="1" customHeight="1" spans="1:28">
      <c r="A1260" s="77" t="s">
        <v>2607</v>
      </c>
      <c r="B1260" s="6"/>
      <c r="C1260" s="77" t="s">
        <v>30</v>
      </c>
      <c r="D1260" s="77" t="s">
        <v>1210</v>
      </c>
      <c r="E1260" s="77" t="s">
        <v>2608</v>
      </c>
      <c r="F1260" s="77" t="s">
        <v>60</v>
      </c>
      <c r="H1260" s="77">
        <f>STOCK[[#This Row],[Precio Final]]</f>
        <v>25</v>
      </c>
      <c r="I1260" s="77">
        <f>STOCK[[#This Row],[Precio Venta Ideal (x1.5)]]</f>
        <v>27.315</v>
      </c>
      <c r="J1260" s="92">
        <v>1</v>
      </c>
      <c r="K1260" s="92">
        <f>SUMIFS(VENTAS[Cantidad],VENTAS[Código del producto Vendido],STOCK[[#This Row],[Code]])</f>
        <v>0</v>
      </c>
      <c r="L1260" s="92">
        <f>STOCK[[#This Row],[Entradas]]-STOCK[[#This Row],[Salidas]]</f>
        <v>1</v>
      </c>
      <c r="M1260" s="77">
        <f>STOCK[[#This Row],[Precio Final]]*10%</f>
        <v>2.5</v>
      </c>
      <c r="N1260" s="77">
        <v>0</v>
      </c>
      <c r="O1260" s="77">
        <v>0</v>
      </c>
      <c r="P1260" s="77">
        <v>13.74</v>
      </c>
      <c r="Q1260" s="92">
        <v>0</v>
      </c>
      <c r="R1260" s="77">
        <v>0</v>
      </c>
      <c r="S1260" s="77">
        <v>1.97</v>
      </c>
      <c r="T1260" s="76">
        <f>STOCK[[#This Row],[Costo Unitario (USD)]]+STOCK[[#This Row],[Costo Envío (USD)]]+STOCK[[#This Row],[Comisión 10%]]</f>
        <v>18.21</v>
      </c>
      <c r="U1260" s="77">
        <f>STOCK[[#This Row],[Costo total]]*1.5</f>
        <v>27.315</v>
      </c>
      <c r="V1260" s="77">
        <v>25</v>
      </c>
      <c r="W1260" s="77">
        <f>STOCK[[#This Row],[Precio Final]]-STOCK[[#This Row],[Costo total]]</f>
        <v>6.79</v>
      </c>
      <c r="X1260" s="77">
        <f>STOCK[[#This Row],[Ganancia Unitaria]]*STOCK[[#This Row],[Salidas]]</f>
        <v>0</v>
      </c>
      <c r="AA1260" s="77">
        <f>STOCK[[#This Row],[Costo total]]*STOCK[[#This Row],[Entradas]]</f>
        <v>18.21</v>
      </c>
      <c r="AB1260" s="77">
        <f>STOCK[[#This Row],[Stock Actual]]*STOCK[[#This Row],[Costo total]]</f>
        <v>18.21</v>
      </c>
    </row>
    <row r="1261" s="76" customFormat="1" ht="50" hidden="1" customHeight="1" spans="1:28">
      <c r="A1261" s="76" t="s">
        <v>2609</v>
      </c>
      <c r="B1261" s="6"/>
      <c r="C1261" s="76" t="s">
        <v>30</v>
      </c>
      <c r="D1261" s="76" t="s">
        <v>1210</v>
      </c>
      <c r="E1261" s="76" t="s">
        <v>2610</v>
      </c>
      <c r="F1261" s="76" t="s">
        <v>47</v>
      </c>
      <c r="H1261" s="76">
        <f>STOCK[[#This Row],[Precio Final]]</f>
        <v>20</v>
      </c>
      <c r="I1261" s="76">
        <f>STOCK[[#This Row],[Precio Venta Ideal (x1.5)]]</f>
        <v>18.54</v>
      </c>
      <c r="J1261" s="91">
        <v>1</v>
      </c>
      <c r="K1261" s="91">
        <f>SUMIFS(VENTAS[Cantidad],VENTAS[Código del producto Vendido],STOCK[[#This Row],[Code]])</f>
        <v>0</v>
      </c>
      <c r="L1261" s="91">
        <f>STOCK[[#This Row],[Entradas]]-STOCK[[#This Row],[Salidas]]</f>
        <v>1</v>
      </c>
      <c r="M1261" s="76">
        <f>STOCK[[#This Row],[Precio Final]]*10%</f>
        <v>2</v>
      </c>
      <c r="N1261" s="76">
        <v>0</v>
      </c>
      <c r="O1261" s="76">
        <v>0</v>
      </c>
      <c r="P1261" s="76">
        <v>8.39</v>
      </c>
      <c r="Q1261" s="91">
        <v>0</v>
      </c>
      <c r="R1261" s="76">
        <v>0</v>
      </c>
      <c r="S1261" s="76">
        <v>1.97</v>
      </c>
      <c r="T1261" s="76">
        <f>STOCK[[#This Row],[Costo Unitario (USD)]]+STOCK[[#This Row],[Costo Envío (USD)]]+STOCK[[#This Row],[Comisión 10%]]</f>
        <v>12.36</v>
      </c>
      <c r="U1261" s="76">
        <f>STOCK[[#This Row],[Costo total]]*1.5</f>
        <v>18.54</v>
      </c>
      <c r="V1261" s="76">
        <v>20</v>
      </c>
      <c r="W1261" s="76">
        <f>STOCK[[#This Row],[Precio Final]]-STOCK[[#This Row],[Costo total]]</f>
        <v>7.64</v>
      </c>
      <c r="X1261" s="76">
        <f>STOCK[[#This Row],[Ganancia Unitaria]]*STOCK[[#This Row],[Salidas]]</f>
        <v>0</v>
      </c>
      <c r="AA1261" s="76">
        <f>STOCK[[#This Row],[Costo total]]*STOCK[[#This Row],[Entradas]]</f>
        <v>12.36</v>
      </c>
      <c r="AB1261" s="76">
        <f>STOCK[[#This Row],[Stock Actual]]*STOCK[[#This Row],[Costo total]]</f>
        <v>12.36</v>
      </c>
    </row>
    <row r="1262" s="77" customFormat="1" ht="50" hidden="1" customHeight="1" spans="1:28">
      <c r="A1262" s="77" t="s">
        <v>2611</v>
      </c>
      <c r="B1262" s="6"/>
      <c r="C1262" s="77" t="s">
        <v>30</v>
      </c>
      <c r="D1262" s="77" t="s">
        <v>2116</v>
      </c>
      <c r="E1262" s="77" t="s">
        <v>2612</v>
      </c>
      <c r="F1262" s="77" t="s">
        <v>47</v>
      </c>
      <c r="H1262" s="77">
        <f>STOCK[[#This Row],[Precio Final]]</f>
        <v>25</v>
      </c>
      <c r="I1262" s="77">
        <f>STOCK[[#This Row],[Precio Venta Ideal (x1.5)]]</f>
        <v>23.46</v>
      </c>
      <c r="J1262" s="92">
        <v>1</v>
      </c>
      <c r="K1262" s="92">
        <f>SUMIFS(VENTAS[Cantidad],VENTAS[Código del producto Vendido],STOCK[[#This Row],[Code]])</f>
        <v>1</v>
      </c>
      <c r="L1262" s="92">
        <f>STOCK[[#This Row],[Entradas]]-STOCK[[#This Row],[Salidas]]</f>
        <v>0</v>
      </c>
      <c r="M1262" s="77">
        <f>STOCK[[#This Row],[Precio Final]]*10%</f>
        <v>2.5</v>
      </c>
      <c r="N1262" s="77">
        <v>0</v>
      </c>
      <c r="O1262" s="77">
        <v>0</v>
      </c>
      <c r="P1262" s="77">
        <v>11.17</v>
      </c>
      <c r="Q1262" s="92">
        <v>0</v>
      </c>
      <c r="R1262" s="77">
        <v>0</v>
      </c>
      <c r="S1262" s="77">
        <v>1.97</v>
      </c>
      <c r="T1262" s="76">
        <f>STOCK[[#This Row],[Costo Unitario (USD)]]+STOCK[[#This Row],[Costo Envío (USD)]]+STOCK[[#This Row],[Comisión 10%]]</f>
        <v>15.64</v>
      </c>
      <c r="U1262" s="77">
        <f>STOCK[[#This Row],[Costo total]]*1.5</f>
        <v>23.46</v>
      </c>
      <c r="V1262" s="77">
        <v>25</v>
      </c>
      <c r="W1262" s="77">
        <f>STOCK[[#This Row],[Precio Final]]-STOCK[[#This Row],[Costo total]]</f>
        <v>9.36</v>
      </c>
      <c r="X1262" s="77">
        <f>STOCK[[#This Row],[Ganancia Unitaria]]*STOCK[[#This Row],[Salidas]]</f>
        <v>9.36</v>
      </c>
      <c r="AA1262" s="77">
        <f>STOCK[[#This Row],[Costo total]]*STOCK[[#This Row],[Entradas]]</f>
        <v>15.64</v>
      </c>
      <c r="AB1262" s="77">
        <f>STOCK[[#This Row],[Stock Actual]]*STOCK[[#This Row],[Costo total]]</f>
        <v>0</v>
      </c>
    </row>
    <row r="1263" s="76" customFormat="1" ht="50" hidden="1" customHeight="1" spans="1:28">
      <c r="A1263" s="76" t="s">
        <v>2613</v>
      </c>
      <c r="B1263" s="6"/>
      <c r="C1263" s="76" t="s">
        <v>30</v>
      </c>
      <c r="D1263" s="76" t="s">
        <v>2116</v>
      </c>
      <c r="E1263" s="76" t="s">
        <v>2614</v>
      </c>
      <c r="F1263" s="76" t="s">
        <v>44</v>
      </c>
      <c r="H1263" s="76">
        <f>STOCK[[#This Row],[Precio Final]]</f>
        <v>25</v>
      </c>
      <c r="I1263" s="76">
        <f>STOCK[[#This Row],[Precio Venta Ideal (x1.5)]]</f>
        <v>23.97</v>
      </c>
      <c r="J1263" s="91">
        <v>1</v>
      </c>
      <c r="K1263" s="91">
        <f>SUMIFS(VENTAS[Cantidad],VENTAS[Código del producto Vendido],STOCK[[#This Row],[Code]])</f>
        <v>1</v>
      </c>
      <c r="L1263" s="91">
        <f>STOCK[[#This Row],[Entradas]]-STOCK[[#This Row],[Salidas]]</f>
        <v>0</v>
      </c>
      <c r="M1263" s="76">
        <f>STOCK[[#This Row],[Precio Final]]*10%</f>
        <v>2.5</v>
      </c>
      <c r="N1263" s="76">
        <v>0</v>
      </c>
      <c r="O1263" s="76">
        <v>0</v>
      </c>
      <c r="P1263" s="76">
        <v>11.51</v>
      </c>
      <c r="Q1263" s="91">
        <v>0</v>
      </c>
      <c r="R1263" s="76">
        <v>0</v>
      </c>
      <c r="S1263" s="76">
        <v>1.97</v>
      </c>
      <c r="T1263" s="76">
        <f>STOCK[[#This Row],[Costo Unitario (USD)]]+STOCK[[#This Row],[Costo Envío (USD)]]+STOCK[[#This Row],[Comisión 10%]]</f>
        <v>15.98</v>
      </c>
      <c r="U1263" s="76">
        <f>STOCK[[#This Row],[Costo total]]*1.5</f>
        <v>23.97</v>
      </c>
      <c r="V1263" s="76">
        <v>25</v>
      </c>
      <c r="W1263" s="76">
        <f>STOCK[[#This Row],[Precio Final]]-STOCK[[#This Row],[Costo total]]</f>
        <v>9.02</v>
      </c>
      <c r="X1263" s="76">
        <f>STOCK[[#This Row],[Ganancia Unitaria]]*STOCK[[#This Row],[Salidas]]</f>
        <v>9.02</v>
      </c>
      <c r="AA1263" s="76">
        <f>STOCK[[#This Row],[Costo total]]*STOCK[[#This Row],[Entradas]]</f>
        <v>15.98</v>
      </c>
      <c r="AB1263" s="76">
        <f>STOCK[[#This Row],[Stock Actual]]*STOCK[[#This Row],[Costo total]]</f>
        <v>0</v>
      </c>
    </row>
    <row r="1264" s="77" customFormat="1" ht="50" hidden="1" customHeight="1" spans="1:28">
      <c r="A1264" s="77" t="s">
        <v>2615</v>
      </c>
      <c r="B1264" s="6"/>
      <c r="C1264" s="77" t="s">
        <v>30</v>
      </c>
      <c r="D1264" s="77" t="s">
        <v>2116</v>
      </c>
      <c r="E1264" s="77" t="s">
        <v>2614</v>
      </c>
      <c r="F1264" s="77" t="s">
        <v>60</v>
      </c>
      <c r="H1264" s="77">
        <f>STOCK[[#This Row],[Precio Final]]</f>
        <v>25</v>
      </c>
      <c r="I1264" s="77">
        <f>STOCK[[#This Row],[Precio Venta Ideal (x1.5)]]</f>
        <v>23.97</v>
      </c>
      <c r="J1264" s="92">
        <v>1</v>
      </c>
      <c r="K1264" s="92">
        <f>SUMIFS(VENTAS[Cantidad],VENTAS[Código del producto Vendido],STOCK[[#This Row],[Code]])</f>
        <v>1</v>
      </c>
      <c r="L1264" s="92">
        <f>STOCK[[#This Row],[Entradas]]-STOCK[[#This Row],[Salidas]]</f>
        <v>0</v>
      </c>
      <c r="M1264" s="77">
        <f>STOCK[[#This Row],[Precio Final]]*10%</f>
        <v>2.5</v>
      </c>
      <c r="N1264" s="77">
        <v>0</v>
      </c>
      <c r="O1264" s="77">
        <v>0</v>
      </c>
      <c r="P1264" s="77">
        <v>11.51</v>
      </c>
      <c r="Q1264" s="92">
        <v>0</v>
      </c>
      <c r="R1264" s="77">
        <v>0</v>
      </c>
      <c r="S1264" s="77">
        <v>1.97</v>
      </c>
      <c r="T1264" s="76">
        <f>STOCK[[#This Row],[Costo Unitario (USD)]]+STOCK[[#This Row],[Costo Envío (USD)]]+STOCK[[#This Row],[Comisión 10%]]</f>
        <v>15.98</v>
      </c>
      <c r="U1264" s="77">
        <f>STOCK[[#This Row],[Costo total]]*1.5</f>
        <v>23.97</v>
      </c>
      <c r="V1264" s="77">
        <v>25</v>
      </c>
      <c r="W1264" s="77">
        <f>STOCK[[#This Row],[Precio Final]]-STOCK[[#This Row],[Costo total]]</f>
        <v>9.02</v>
      </c>
      <c r="X1264" s="77">
        <f>STOCK[[#This Row],[Ganancia Unitaria]]*STOCK[[#This Row],[Salidas]]</f>
        <v>9.02</v>
      </c>
      <c r="AA1264" s="77">
        <f>STOCK[[#This Row],[Costo total]]*STOCK[[#This Row],[Entradas]]</f>
        <v>15.98</v>
      </c>
      <c r="AB1264" s="77">
        <f>STOCK[[#This Row],[Stock Actual]]*STOCK[[#This Row],[Costo total]]</f>
        <v>0</v>
      </c>
    </row>
    <row r="1265" s="76" customFormat="1" ht="50" hidden="1" customHeight="1" spans="1:28">
      <c r="A1265" s="76" t="s">
        <v>2616</v>
      </c>
      <c r="B1265" s="6"/>
      <c r="C1265" s="76" t="s">
        <v>30</v>
      </c>
      <c r="D1265" s="76" t="s">
        <v>2116</v>
      </c>
      <c r="E1265" s="76" t="s">
        <v>2617</v>
      </c>
      <c r="F1265" s="76" t="s">
        <v>47</v>
      </c>
      <c r="H1265" s="76">
        <f>STOCK[[#This Row],[Precio Final]]</f>
        <v>35</v>
      </c>
      <c r="I1265" s="76">
        <f>STOCK[[#This Row],[Precio Venta Ideal (x1.5)]]</f>
        <v>28.44</v>
      </c>
      <c r="J1265" s="91">
        <v>1</v>
      </c>
      <c r="K1265" s="91">
        <f>SUMIFS(VENTAS[Cantidad],VENTAS[Código del producto Vendido],STOCK[[#This Row],[Code]])</f>
        <v>0</v>
      </c>
      <c r="L1265" s="91">
        <f>STOCK[[#This Row],[Entradas]]-STOCK[[#This Row],[Salidas]]</f>
        <v>1</v>
      </c>
      <c r="M1265" s="76">
        <f>STOCK[[#This Row],[Precio Final]]*10%</f>
        <v>3.5</v>
      </c>
      <c r="N1265" s="76">
        <v>0</v>
      </c>
      <c r="O1265" s="76">
        <v>0</v>
      </c>
      <c r="P1265" s="76">
        <v>13.49</v>
      </c>
      <c r="Q1265" s="91">
        <v>0</v>
      </c>
      <c r="R1265" s="76">
        <v>0</v>
      </c>
      <c r="S1265" s="76">
        <v>1.97</v>
      </c>
      <c r="T1265" s="76">
        <f>STOCK[[#This Row],[Costo Unitario (USD)]]+STOCK[[#This Row],[Costo Envío (USD)]]+STOCK[[#This Row],[Comisión 10%]]</f>
        <v>18.96</v>
      </c>
      <c r="U1265" s="76">
        <f>STOCK[[#This Row],[Costo total]]*1.5</f>
        <v>28.44</v>
      </c>
      <c r="V1265" s="76">
        <v>35</v>
      </c>
      <c r="W1265" s="76">
        <f>STOCK[[#This Row],[Precio Final]]-STOCK[[#This Row],[Costo total]]</f>
        <v>16.04</v>
      </c>
      <c r="X1265" s="76">
        <f>STOCK[[#This Row],[Ganancia Unitaria]]*STOCK[[#This Row],[Salidas]]</f>
        <v>0</v>
      </c>
      <c r="AA1265" s="76">
        <f>STOCK[[#This Row],[Costo total]]*STOCK[[#This Row],[Entradas]]</f>
        <v>18.96</v>
      </c>
      <c r="AB1265" s="76">
        <f>STOCK[[#This Row],[Stock Actual]]*STOCK[[#This Row],[Costo total]]</f>
        <v>18.96</v>
      </c>
    </row>
    <row r="1266" s="77" customFormat="1" ht="50" hidden="1" customHeight="1" spans="1:28">
      <c r="A1266" s="77" t="s">
        <v>2618</v>
      </c>
      <c r="B1266" s="6"/>
      <c r="C1266" s="77" t="s">
        <v>30</v>
      </c>
      <c r="D1266" s="77" t="s">
        <v>2619</v>
      </c>
      <c r="E1266" s="77" t="s">
        <v>2620</v>
      </c>
      <c r="F1266" s="77" t="s">
        <v>40</v>
      </c>
      <c r="H1266" s="77">
        <f>STOCK[[#This Row],[Precio Final]]</f>
        <v>28</v>
      </c>
      <c r="I1266" s="77">
        <f>STOCK[[#This Row],[Precio Venta Ideal (x1.5)]]</f>
        <v>25.14</v>
      </c>
      <c r="J1266" s="92">
        <v>1</v>
      </c>
      <c r="K1266" s="92">
        <f>SUMIFS(VENTAS[Cantidad],VENTAS[Código del producto Vendido],STOCK[[#This Row],[Code]])</f>
        <v>0</v>
      </c>
      <c r="L1266" s="92">
        <f>STOCK[[#This Row],[Entradas]]-STOCK[[#This Row],[Salidas]]</f>
        <v>1</v>
      </c>
      <c r="M1266" s="77">
        <f>STOCK[[#This Row],[Precio Final]]*10%</f>
        <v>2.8</v>
      </c>
      <c r="N1266" s="77">
        <v>0</v>
      </c>
      <c r="O1266" s="77">
        <v>0</v>
      </c>
      <c r="P1266" s="77">
        <v>11.99</v>
      </c>
      <c r="Q1266" s="92">
        <v>0</v>
      </c>
      <c r="R1266" s="77">
        <v>0</v>
      </c>
      <c r="S1266" s="77">
        <v>1.97</v>
      </c>
      <c r="T1266" s="76">
        <f>STOCK[[#This Row],[Costo Unitario (USD)]]+STOCK[[#This Row],[Costo Envío (USD)]]+STOCK[[#This Row],[Comisión 10%]]</f>
        <v>16.76</v>
      </c>
      <c r="U1266" s="77">
        <f>STOCK[[#This Row],[Costo total]]*1.5</f>
        <v>25.14</v>
      </c>
      <c r="V1266" s="77">
        <v>28</v>
      </c>
      <c r="W1266" s="77">
        <f>STOCK[[#This Row],[Precio Final]]-STOCK[[#This Row],[Costo total]]</f>
        <v>11.24</v>
      </c>
      <c r="X1266" s="77">
        <f>STOCK[[#This Row],[Ganancia Unitaria]]*STOCK[[#This Row],[Salidas]]</f>
        <v>0</v>
      </c>
      <c r="AA1266" s="77">
        <f>STOCK[[#This Row],[Costo total]]*STOCK[[#This Row],[Entradas]]</f>
        <v>16.76</v>
      </c>
      <c r="AB1266" s="77">
        <f>STOCK[[#This Row],[Stock Actual]]*STOCK[[#This Row],[Costo total]]</f>
        <v>16.76</v>
      </c>
    </row>
    <row r="1267" s="76" customFormat="1" ht="50" hidden="1" customHeight="1" spans="1:28">
      <c r="A1267" s="76" t="s">
        <v>2621</v>
      </c>
      <c r="B1267" s="6"/>
      <c r="C1267" s="76" t="s">
        <v>30</v>
      </c>
      <c r="D1267" s="76" t="s">
        <v>2622</v>
      </c>
      <c r="E1267" s="76" t="s">
        <v>2620</v>
      </c>
      <c r="F1267" s="76" t="s">
        <v>47</v>
      </c>
      <c r="H1267" s="76">
        <f>STOCK[[#This Row],[Precio Final]]</f>
        <v>28</v>
      </c>
      <c r="I1267" s="76">
        <f>STOCK[[#This Row],[Precio Venta Ideal (x1.5)]]</f>
        <v>25.14</v>
      </c>
      <c r="J1267" s="91">
        <v>1</v>
      </c>
      <c r="K1267" s="91">
        <f>SUMIFS(VENTAS[Cantidad],VENTAS[Código del producto Vendido],STOCK[[#This Row],[Code]])</f>
        <v>0</v>
      </c>
      <c r="L1267" s="91">
        <f>STOCK[[#This Row],[Entradas]]-STOCK[[#This Row],[Salidas]]</f>
        <v>1</v>
      </c>
      <c r="M1267" s="76">
        <f>STOCK[[#This Row],[Precio Final]]*10%</f>
        <v>2.8</v>
      </c>
      <c r="N1267" s="76">
        <v>0</v>
      </c>
      <c r="O1267" s="76">
        <v>0</v>
      </c>
      <c r="P1267" s="76">
        <v>11.99</v>
      </c>
      <c r="Q1267" s="91">
        <v>0</v>
      </c>
      <c r="R1267" s="76">
        <v>0</v>
      </c>
      <c r="S1267" s="76">
        <v>1.97</v>
      </c>
      <c r="T1267" s="76">
        <f>STOCK[[#This Row],[Costo Unitario (USD)]]+STOCK[[#This Row],[Costo Envío (USD)]]+STOCK[[#This Row],[Comisión 10%]]</f>
        <v>16.76</v>
      </c>
      <c r="U1267" s="76">
        <f>STOCK[[#This Row],[Costo total]]*1.5</f>
        <v>25.14</v>
      </c>
      <c r="V1267" s="76">
        <v>28</v>
      </c>
      <c r="W1267" s="76">
        <f>STOCK[[#This Row],[Precio Final]]-STOCK[[#This Row],[Costo total]]</f>
        <v>11.24</v>
      </c>
      <c r="X1267" s="76">
        <f>STOCK[[#This Row],[Ganancia Unitaria]]*STOCK[[#This Row],[Salidas]]</f>
        <v>0</v>
      </c>
      <c r="AA1267" s="76">
        <f>STOCK[[#This Row],[Costo total]]*STOCK[[#This Row],[Entradas]]</f>
        <v>16.76</v>
      </c>
      <c r="AB1267" s="76">
        <f>STOCK[[#This Row],[Stock Actual]]*STOCK[[#This Row],[Costo total]]</f>
        <v>16.76</v>
      </c>
    </row>
    <row r="1268" s="77" customFormat="1" ht="50" hidden="1" customHeight="1" spans="1:28">
      <c r="A1268" s="77" t="s">
        <v>2623</v>
      </c>
      <c r="B1268" s="6"/>
      <c r="C1268" s="77" t="s">
        <v>30</v>
      </c>
      <c r="D1268" s="77" t="s">
        <v>2619</v>
      </c>
      <c r="E1268" s="77" t="s">
        <v>2624</v>
      </c>
      <c r="F1268" s="77" t="s">
        <v>38</v>
      </c>
      <c r="H1268" s="77">
        <f>STOCK[[#This Row],[Precio Final]]</f>
        <v>28</v>
      </c>
      <c r="I1268" s="77">
        <f>STOCK[[#This Row],[Precio Venta Ideal (x1.5)]]</f>
        <v>25.14</v>
      </c>
      <c r="J1268" s="92">
        <v>1</v>
      </c>
      <c r="K1268" s="92">
        <f>SUMIFS(VENTAS[Cantidad],VENTAS[Código del producto Vendido],STOCK[[#This Row],[Code]])</f>
        <v>0</v>
      </c>
      <c r="L1268" s="92">
        <f>STOCK[[#This Row],[Entradas]]-STOCK[[#This Row],[Salidas]]</f>
        <v>1</v>
      </c>
      <c r="M1268" s="77">
        <f>STOCK[[#This Row],[Precio Final]]*10%</f>
        <v>2.8</v>
      </c>
      <c r="N1268" s="77">
        <v>0</v>
      </c>
      <c r="O1268" s="77">
        <v>0</v>
      </c>
      <c r="P1268" s="77">
        <v>11.99</v>
      </c>
      <c r="Q1268" s="92">
        <v>0</v>
      </c>
      <c r="R1268" s="77">
        <v>0</v>
      </c>
      <c r="S1268" s="77">
        <v>1.97</v>
      </c>
      <c r="T1268" s="76">
        <f>STOCK[[#This Row],[Costo Unitario (USD)]]+STOCK[[#This Row],[Costo Envío (USD)]]+STOCK[[#This Row],[Comisión 10%]]</f>
        <v>16.76</v>
      </c>
      <c r="U1268" s="77">
        <f>STOCK[[#This Row],[Costo total]]*1.5</f>
        <v>25.14</v>
      </c>
      <c r="V1268" s="77">
        <v>28</v>
      </c>
      <c r="W1268" s="77">
        <f>STOCK[[#This Row],[Precio Final]]-STOCK[[#This Row],[Costo total]]</f>
        <v>11.24</v>
      </c>
      <c r="X1268" s="77">
        <f>STOCK[[#This Row],[Ganancia Unitaria]]*STOCK[[#This Row],[Salidas]]</f>
        <v>0</v>
      </c>
      <c r="AA1268" s="77">
        <f>STOCK[[#This Row],[Costo total]]*STOCK[[#This Row],[Entradas]]</f>
        <v>16.76</v>
      </c>
      <c r="AB1268" s="77">
        <f>STOCK[[#This Row],[Stock Actual]]*STOCK[[#This Row],[Costo total]]</f>
        <v>16.76</v>
      </c>
    </row>
    <row r="1269" s="76" customFormat="1" ht="50" hidden="1" customHeight="1" spans="1:28">
      <c r="A1269" s="76" t="s">
        <v>2625</v>
      </c>
      <c r="B1269" s="6"/>
      <c r="C1269" s="76" t="s">
        <v>30</v>
      </c>
      <c r="D1269" s="76" t="s">
        <v>2626</v>
      </c>
      <c r="E1269" s="76" t="s">
        <v>2624</v>
      </c>
      <c r="F1269" s="76" t="s">
        <v>47</v>
      </c>
      <c r="H1269" s="76">
        <f>STOCK[[#This Row],[Precio Final]]</f>
        <v>28</v>
      </c>
      <c r="I1269" s="76">
        <f>STOCK[[#This Row],[Precio Venta Ideal (x1.5)]]</f>
        <v>25.14</v>
      </c>
      <c r="J1269" s="91">
        <v>1</v>
      </c>
      <c r="K1269" s="91">
        <f>SUMIFS(VENTAS[Cantidad],VENTAS[Código del producto Vendido],STOCK[[#This Row],[Code]])</f>
        <v>1</v>
      </c>
      <c r="L1269" s="91">
        <f>STOCK[[#This Row],[Entradas]]-STOCK[[#This Row],[Salidas]]</f>
        <v>0</v>
      </c>
      <c r="M1269" s="76">
        <f>STOCK[[#This Row],[Precio Final]]*10%</f>
        <v>2.8</v>
      </c>
      <c r="N1269" s="76">
        <v>0</v>
      </c>
      <c r="O1269" s="76">
        <v>0</v>
      </c>
      <c r="P1269" s="76">
        <v>11.99</v>
      </c>
      <c r="Q1269" s="91">
        <v>0</v>
      </c>
      <c r="R1269" s="76">
        <v>0</v>
      </c>
      <c r="S1269" s="76">
        <v>1.97</v>
      </c>
      <c r="T1269" s="76">
        <f>STOCK[[#This Row],[Costo Unitario (USD)]]+STOCK[[#This Row],[Costo Envío (USD)]]+STOCK[[#This Row],[Comisión 10%]]</f>
        <v>16.76</v>
      </c>
      <c r="U1269" s="76">
        <f>STOCK[[#This Row],[Costo total]]*1.5</f>
        <v>25.14</v>
      </c>
      <c r="V1269" s="76">
        <v>28</v>
      </c>
      <c r="W1269" s="76">
        <f>STOCK[[#This Row],[Precio Final]]-STOCK[[#This Row],[Costo total]]</f>
        <v>11.24</v>
      </c>
      <c r="X1269" s="76">
        <f>STOCK[[#This Row],[Ganancia Unitaria]]*STOCK[[#This Row],[Salidas]]</f>
        <v>11.24</v>
      </c>
      <c r="AA1269" s="76">
        <f>STOCK[[#This Row],[Costo total]]*STOCK[[#This Row],[Entradas]]</f>
        <v>16.76</v>
      </c>
      <c r="AB1269" s="76">
        <f>STOCK[[#This Row],[Stock Actual]]*STOCK[[#This Row],[Costo total]]</f>
        <v>0</v>
      </c>
    </row>
    <row r="1270" s="77" customFormat="1" ht="50" hidden="1" customHeight="1" spans="1:28">
      <c r="A1270" s="77" t="s">
        <v>2627</v>
      </c>
      <c r="B1270" s="6"/>
      <c r="C1270" s="77" t="s">
        <v>30</v>
      </c>
      <c r="D1270" s="77" t="s">
        <v>2628</v>
      </c>
      <c r="E1270" s="77" t="s">
        <v>2629</v>
      </c>
      <c r="F1270" s="77" t="s">
        <v>38</v>
      </c>
      <c r="H1270" s="77">
        <f>STOCK[[#This Row],[Precio Final]]</f>
        <v>30</v>
      </c>
      <c r="I1270" s="77">
        <f>STOCK[[#This Row],[Precio Venta Ideal (x1.5)]]</f>
        <v>23.94</v>
      </c>
      <c r="J1270" s="92">
        <v>1</v>
      </c>
      <c r="K1270" s="92">
        <f>SUMIFS(VENTAS[Cantidad],VENTAS[Código del producto Vendido],STOCK[[#This Row],[Code]])</f>
        <v>0</v>
      </c>
      <c r="L1270" s="92">
        <f>STOCK[[#This Row],[Entradas]]-STOCK[[#This Row],[Salidas]]</f>
        <v>1</v>
      </c>
      <c r="M1270" s="77">
        <f>STOCK[[#This Row],[Precio Final]]*10%</f>
        <v>3</v>
      </c>
      <c r="N1270" s="77">
        <v>0</v>
      </c>
      <c r="O1270" s="77">
        <v>0</v>
      </c>
      <c r="P1270" s="77">
        <v>10.99</v>
      </c>
      <c r="Q1270" s="92">
        <v>0</v>
      </c>
      <c r="R1270" s="77">
        <v>0</v>
      </c>
      <c r="S1270" s="77">
        <v>1.97</v>
      </c>
      <c r="T1270" s="76">
        <f>STOCK[[#This Row],[Costo Unitario (USD)]]+STOCK[[#This Row],[Costo Envío (USD)]]+STOCK[[#This Row],[Comisión 10%]]</f>
        <v>15.96</v>
      </c>
      <c r="U1270" s="77">
        <f>STOCK[[#This Row],[Costo total]]*1.5</f>
        <v>23.94</v>
      </c>
      <c r="V1270" s="77">
        <v>30</v>
      </c>
      <c r="W1270" s="77">
        <f>STOCK[[#This Row],[Precio Final]]-STOCK[[#This Row],[Costo total]]</f>
        <v>14.04</v>
      </c>
      <c r="X1270" s="77">
        <f>STOCK[[#This Row],[Ganancia Unitaria]]*STOCK[[#This Row],[Salidas]]</f>
        <v>0</v>
      </c>
      <c r="AA1270" s="77">
        <f>STOCK[[#This Row],[Costo total]]*STOCK[[#This Row],[Entradas]]</f>
        <v>15.96</v>
      </c>
      <c r="AB1270" s="77">
        <f>STOCK[[#This Row],[Stock Actual]]*STOCK[[#This Row],[Costo total]]</f>
        <v>15.96</v>
      </c>
    </row>
    <row r="1271" s="76" customFormat="1" ht="50" hidden="1" customHeight="1" spans="1:28">
      <c r="A1271" s="76" t="s">
        <v>2630</v>
      </c>
      <c r="B1271" s="6"/>
      <c r="C1271" s="76" t="s">
        <v>30</v>
      </c>
      <c r="D1271" s="76" t="s">
        <v>1210</v>
      </c>
      <c r="E1271" s="76" t="s">
        <v>2631</v>
      </c>
      <c r="F1271" s="76" t="s">
        <v>60</v>
      </c>
      <c r="H1271" s="76">
        <f>STOCK[[#This Row],[Precio Final]]</f>
        <v>35</v>
      </c>
      <c r="I1271" s="76">
        <f>STOCK[[#This Row],[Precio Venta Ideal (x1.5)]]</f>
        <v>36.69</v>
      </c>
      <c r="J1271" s="91">
        <v>1</v>
      </c>
      <c r="K1271" s="91">
        <f>SUMIFS(VENTAS[Cantidad],VENTAS[Código del producto Vendido],STOCK[[#This Row],[Code]])</f>
        <v>1</v>
      </c>
      <c r="L1271" s="91">
        <f>STOCK[[#This Row],[Entradas]]-STOCK[[#This Row],[Salidas]]</f>
        <v>0</v>
      </c>
      <c r="M1271" s="76">
        <f>STOCK[[#This Row],[Precio Final]]*10%</f>
        <v>3.5</v>
      </c>
      <c r="N1271" s="76">
        <v>0</v>
      </c>
      <c r="O1271" s="76">
        <v>0</v>
      </c>
      <c r="P1271" s="76">
        <v>18.99</v>
      </c>
      <c r="Q1271" s="91">
        <v>0</v>
      </c>
      <c r="R1271" s="76">
        <v>0</v>
      </c>
      <c r="S1271" s="76">
        <v>1.97</v>
      </c>
      <c r="T1271" s="76">
        <f>STOCK[[#This Row],[Costo Unitario (USD)]]+STOCK[[#This Row],[Costo Envío (USD)]]+STOCK[[#This Row],[Comisión 10%]]</f>
        <v>24.46</v>
      </c>
      <c r="U1271" s="76">
        <f>STOCK[[#This Row],[Costo total]]*1.5</f>
        <v>36.69</v>
      </c>
      <c r="V1271" s="76">
        <v>35</v>
      </c>
      <c r="W1271" s="76">
        <f>STOCK[[#This Row],[Precio Final]]-STOCK[[#This Row],[Costo total]]</f>
        <v>10.54</v>
      </c>
      <c r="X1271" s="76">
        <f>STOCK[[#This Row],[Ganancia Unitaria]]*STOCK[[#This Row],[Salidas]]</f>
        <v>10.54</v>
      </c>
      <c r="AA1271" s="76">
        <f>STOCK[[#This Row],[Costo total]]*STOCK[[#This Row],[Entradas]]</f>
        <v>24.46</v>
      </c>
      <c r="AB1271" s="76">
        <f>STOCK[[#This Row],[Stock Actual]]*STOCK[[#This Row],[Costo total]]</f>
        <v>0</v>
      </c>
    </row>
    <row r="1272" s="77" customFormat="1" ht="50" hidden="1" customHeight="1" spans="1:28">
      <c r="A1272" s="77" t="s">
        <v>2632</v>
      </c>
      <c r="B1272" s="6"/>
      <c r="C1272" s="77" t="s">
        <v>30</v>
      </c>
      <c r="D1272" s="77" t="s">
        <v>2628</v>
      </c>
      <c r="E1272" s="77" t="s">
        <v>2633</v>
      </c>
      <c r="F1272" s="77" t="s">
        <v>2634</v>
      </c>
      <c r="H1272" s="77">
        <f>STOCK[[#This Row],[Precio Final]]</f>
        <v>35</v>
      </c>
      <c r="I1272" s="77">
        <f>STOCK[[#This Row],[Precio Venta Ideal (x1.5)]]</f>
        <v>27.705</v>
      </c>
      <c r="J1272" s="92">
        <v>1</v>
      </c>
      <c r="K1272" s="92">
        <f>SUMIFS(VENTAS[Cantidad],VENTAS[Código del producto Vendido],STOCK[[#This Row],[Code]])</f>
        <v>0</v>
      </c>
      <c r="L1272" s="92">
        <f>STOCK[[#This Row],[Entradas]]-STOCK[[#This Row],[Salidas]]</f>
        <v>1</v>
      </c>
      <c r="M1272" s="77">
        <f>STOCK[[#This Row],[Precio Final]]*10%</f>
        <v>3.5</v>
      </c>
      <c r="N1272" s="77">
        <v>0</v>
      </c>
      <c r="O1272" s="77">
        <v>0</v>
      </c>
      <c r="P1272" s="77">
        <v>13</v>
      </c>
      <c r="Q1272" s="92">
        <v>0</v>
      </c>
      <c r="R1272" s="77">
        <v>0</v>
      </c>
      <c r="S1272" s="77">
        <v>1.97</v>
      </c>
      <c r="T1272" s="76">
        <f>STOCK[[#This Row],[Costo Unitario (USD)]]+STOCK[[#This Row],[Costo Envío (USD)]]+STOCK[[#This Row],[Comisión 10%]]</f>
        <v>18.47</v>
      </c>
      <c r="U1272" s="77">
        <f>STOCK[[#This Row],[Costo total]]*1.5</f>
        <v>27.705</v>
      </c>
      <c r="V1272" s="77">
        <v>35</v>
      </c>
      <c r="W1272" s="77">
        <f>STOCK[[#This Row],[Precio Final]]-STOCK[[#This Row],[Costo total]]</f>
        <v>16.53</v>
      </c>
      <c r="X1272" s="77">
        <f>STOCK[[#This Row],[Ganancia Unitaria]]*STOCK[[#This Row],[Salidas]]</f>
        <v>0</v>
      </c>
      <c r="AA1272" s="77">
        <f>STOCK[[#This Row],[Costo total]]*STOCK[[#This Row],[Entradas]]</f>
        <v>18.47</v>
      </c>
      <c r="AB1272" s="77">
        <f>STOCK[[#This Row],[Stock Actual]]*STOCK[[#This Row],[Costo total]]</f>
        <v>18.47</v>
      </c>
    </row>
    <row r="1273" s="76" customFormat="1" ht="50" hidden="1" customHeight="1" spans="1:28">
      <c r="A1273" s="76" t="s">
        <v>2635</v>
      </c>
      <c r="B1273" s="6"/>
      <c r="C1273" s="76" t="s">
        <v>30</v>
      </c>
      <c r="D1273" s="76" t="s">
        <v>2636</v>
      </c>
      <c r="E1273" s="76" t="s">
        <v>2637</v>
      </c>
      <c r="F1273" s="76" t="s">
        <v>38</v>
      </c>
      <c r="H1273" s="76">
        <f>STOCK[[#This Row],[Precio Final]]</f>
        <v>20</v>
      </c>
      <c r="I1273" s="76">
        <f>STOCK[[#This Row],[Precio Venta Ideal (x1.5)]]</f>
        <v>19.44</v>
      </c>
      <c r="J1273" s="91">
        <v>2</v>
      </c>
      <c r="K1273" s="91">
        <f>SUMIFS(VENTAS[Cantidad],VENTAS[Código del producto Vendido],STOCK[[#This Row],[Code]])</f>
        <v>0</v>
      </c>
      <c r="L1273" s="91">
        <f>STOCK[[#This Row],[Entradas]]-STOCK[[#This Row],[Salidas]]</f>
        <v>2</v>
      </c>
      <c r="M1273" s="76">
        <f>STOCK[[#This Row],[Precio Final]]*10%</f>
        <v>2</v>
      </c>
      <c r="N1273" s="76">
        <v>0</v>
      </c>
      <c r="O1273" s="76">
        <v>0</v>
      </c>
      <c r="P1273" s="76">
        <v>8.99</v>
      </c>
      <c r="Q1273" s="91">
        <v>0</v>
      </c>
      <c r="R1273" s="76">
        <v>0</v>
      </c>
      <c r="S1273" s="76">
        <v>1.97</v>
      </c>
      <c r="T1273" s="76">
        <f>STOCK[[#This Row],[Costo Unitario (USD)]]+STOCK[[#This Row],[Costo Envío (USD)]]+STOCK[[#This Row],[Comisión 10%]]</f>
        <v>12.96</v>
      </c>
      <c r="U1273" s="76">
        <f>STOCK[[#This Row],[Costo total]]*1.5</f>
        <v>19.44</v>
      </c>
      <c r="V1273" s="76">
        <v>20</v>
      </c>
      <c r="W1273" s="76">
        <f>STOCK[[#This Row],[Precio Final]]-STOCK[[#This Row],[Costo total]]</f>
        <v>7.04</v>
      </c>
      <c r="X1273" s="76">
        <f>STOCK[[#This Row],[Ganancia Unitaria]]*STOCK[[#This Row],[Salidas]]</f>
        <v>0</v>
      </c>
      <c r="AA1273" s="76">
        <f>STOCK[[#This Row],[Costo total]]*STOCK[[#This Row],[Entradas]]</f>
        <v>25.92</v>
      </c>
      <c r="AB1273" s="76">
        <f>STOCK[[#This Row],[Stock Actual]]*STOCK[[#This Row],[Costo total]]</f>
        <v>25.92</v>
      </c>
    </row>
    <row r="1274" s="77" customFormat="1" ht="50" hidden="1" customHeight="1" spans="1:28">
      <c r="A1274" s="77" t="s">
        <v>2638</v>
      </c>
      <c r="B1274" s="6"/>
      <c r="C1274" s="77" t="s">
        <v>30</v>
      </c>
      <c r="D1274" s="77" t="s">
        <v>2636</v>
      </c>
      <c r="E1274" s="77" t="s">
        <v>2637</v>
      </c>
      <c r="F1274" s="77" t="s">
        <v>60</v>
      </c>
      <c r="H1274" s="77">
        <f>STOCK[[#This Row],[Precio Final]]</f>
        <v>20</v>
      </c>
      <c r="I1274" s="77">
        <f>STOCK[[#This Row],[Precio Venta Ideal (x1.5)]]</f>
        <v>19.44</v>
      </c>
      <c r="J1274" s="92">
        <v>2</v>
      </c>
      <c r="K1274" s="92">
        <f>SUMIFS(VENTAS[Cantidad],VENTAS[Código del producto Vendido],STOCK[[#This Row],[Code]])</f>
        <v>1</v>
      </c>
      <c r="L1274" s="92">
        <f>STOCK[[#This Row],[Entradas]]-STOCK[[#This Row],[Salidas]]</f>
        <v>1</v>
      </c>
      <c r="M1274" s="77">
        <f>STOCK[[#This Row],[Precio Final]]*10%</f>
        <v>2</v>
      </c>
      <c r="N1274" s="77">
        <v>0</v>
      </c>
      <c r="O1274" s="77">
        <v>0</v>
      </c>
      <c r="P1274" s="77">
        <v>8.99</v>
      </c>
      <c r="Q1274" s="92">
        <v>0</v>
      </c>
      <c r="R1274" s="77">
        <v>0</v>
      </c>
      <c r="S1274" s="77">
        <v>1.97</v>
      </c>
      <c r="T1274" s="76">
        <f>STOCK[[#This Row],[Costo Unitario (USD)]]+STOCK[[#This Row],[Costo Envío (USD)]]+STOCK[[#This Row],[Comisión 10%]]</f>
        <v>12.96</v>
      </c>
      <c r="U1274" s="77">
        <f>STOCK[[#This Row],[Costo total]]*1.5</f>
        <v>19.44</v>
      </c>
      <c r="V1274" s="77">
        <v>20</v>
      </c>
      <c r="W1274" s="77">
        <f>STOCK[[#This Row],[Precio Final]]-STOCK[[#This Row],[Costo total]]</f>
        <v>7.04</v>
      </c>
      <c r="X1274" s="77">
        <f>STOCK[[#This Row],[Ganancia Unitaria]]*STOCK[[#This Row],[Salidas]]</f>
        <v>7.04</v>
      </c>
      <c r="AA1274" s="77">
        <f>STOCK[[#This Row],[Costo total]]*STOCK[[#This Row],[Entradas]]</f>
        <v>25.92</v>
      </c>
      <c r="AB1274" s="77">
        <f>STOCK[[#This Row],[Stock Actual]]*STOCK[[#This Row],[Costo total]]</f>
        <v>12.96</v>
      </c>
    </row>
    <row r="1275" s="76" customFormat="1" ht="50" hidden="1" customHeight="1" spans="1:28">
      <c r="A1275" s="76" t="s">
        <v>2639</v>
      </c>
      <c r="B1275" s="6"/>
      <c r="C1275" s="76" t="s">
        <v>30</v>
      </c>
      <c r="D1275" s="76" t="s">
        <v>1188</v>
      </c>
      <c r="E1275" s="76" t="s">
        <v>2637</v>
      </c>
      <c r="F1275" s="76" t="s">
        <v>47</v>
      </c>
      <c r="H1275" s="76">
        <f>STOCK[[#This Row],[Precio Final]]</f>
        <v>20</v>
      </c>
      <c r="I1275" s="76">
        <f>STOCK[[#This Row],[Precio Venta Ideal (x1.5)]]</f>
        <v>19.44</v>
      </c>
      <c r="J1275" s="91">
        <v>1</v>
      </c>
      <c r="K1275" s="91">
        <f>SUMIFS(VENTAS[Cantidad],VENTAS[Código del producto Vendido],STOCK[[#This Row],[Code]])</f>
        <v>1</v>
      </c>
      <c r="L1275" s="91">
        <f>STOCK[[#This Row],[Entradas]]-STOCK[[#This Row],[Salidas]]</f>
        <v>0</v>
      </c>
      <c r="M1275" s="76">
        <f>STOCK[[#This Row],[Precio Final]]*10%</f>
        <v>2</v>
      </c>
      <c r="N1275" s="76">
        <v>0</v>
      </c>
      <c r="O1275" s="76">
        <v>0</v>
      </c>
      <c r="P1275" s="76">
        <v>8.99</v>
      </c>
      <c r="Q1275" s="91">
        <v>0</v>
      </c>
      <c r="R1275" s="76">
        <v>0</v>
      </c>
      <c r="S1275" s="76">
        <v>1.97</v>
      </c>
      <c r="T1275" s="76">
        <f>STOCK[[#This Row],[Costo Unitario (USD)]]+STOCK[[#This Row],[Costo Envío (USD)]]+STOCK[[#This Row],[Comisión 10%]]</f>
        <v>12.96</v>
      </c>
      <c r="U1275" s="76">
        <f>STOCK[[#This Row],[Costo total]]*1.5</f>
        <v>19.44</v>
      </c>
      <c r="V1275" s="76">
        <v>20</v>
      </c>
      <c r="W1275" s="76">
        <f>STOCK[[#This Row],[Precio Final]]-STOCK[[#This Row],[Costo total]]</f>
        <v>7.04</v>
      </c>
      <c r="X1275" s="76">
        <f>STOCK[[#This Row],[Ganancia Unitaria]]*STOCK[[#This Row],[Salidas]]</f>
        <v>7.04</v>
      </c>
      <c r="AA1275" s="76">
        <f>STOCK[[#This Row],[Costo total]]*STOCK[[#This Row],[Entradas]]</f>
        <v>12.96</v>
      </c>
      <c r="AB1275" s="76">
        <f>STOCK[[#This Row],[Stock Actual]]*STOCK[[#This Row],[Costo total]]</f>
        <v>0</v>
      </c>
    </row>
    <row r="1276" s="77" customFormat="1" ht="50" hidden="1" customHeight="1" spans="1:28">
      <c r="A1276" s="77" t="s">
        <v>2640</v>
      </c>
      <c r="B1276" s="6"/>
      <c r="C1276" s="77" t="s">
        <v>30</v>
      </c>
      <c r="D1276" s="77" t="s">
        <v>2636</v>
      </c>
      <c r="E1276" s="77" t="s">
        <v>2641</v>
      </c>
      <c r="F1276" s="77" t="s">
        <v>38</v>
      </c>
      <c r="H1276" s="77">
        <f>STOCK[[#This Row],[Precio Final]]</f>
        <v>20</v>
      </c>
      <c r="I1276" s="77">
        <f>STOCK[[#This Row],[Precio Venta Ideal (x1.5)]]</f>
        <v>19.44</v>
      </c>
      <c r="J1276" s="92">
        <v>2</v>
      </c>
      <c r="K1276" s="92">
        <f>SUMIFS(VENTAS[Cantidad],VENTAS[Código del producto Vendido],STOCK[[#This Row],[Code]])</f>
        <v>1</v>
      </c>
      <c r="L1276" s="92">
        <f>STOCK[[#This Row],[Entradas]]-STOCK[[#This Row],[Salidas]]</f>
        <v>1</v>
      </c>
      <c r="M1276" s="77">
        <f>STOCK[[#This Row],[Precio Final]]*10%</f>
        <v>2</v>
      </c>
      <c r="N1276" s="77">
        <v>0</v>
      </c>
      <c r="O1276" s="77">
        <v>0</v>
      </c>
      <c r="P1276" s="77">
        <v>8.99</v>
      </c>
      <c r="Q1276" s="92">
        <v>0</v>
      </c>
      <c r="R1276" s="77">
        <v>0</v>
      </c>
      <c r="S1276" s="77">
        <v>1.97</v>
      </c>
      <c r="T1276" s="76">
        <f>STOCK[[#This Row],[Costo Unitario (USD)]]+STOCK[[#This Row],[Costo Envío (USD)]]+STOCK[[#This Row],[Comisión 10%]]</f>
        <v>12.96</v>
      </c>
      <c r="U1276" s="77">
        <f>STOCK[[#This Row],[Costo total]]*1.5</f>
        <v>19.44</v>
      </c>
      <c r="V1276" s="77">
        <v>20</v>
      </c>
      <c r="W1276" s="77">
        <f>STOCK[[#This Row],[Precio Final]]-STOCK[[#This Row],[Costo total]]</f>
        <v>7.04</v>
      </c>
      <c r="X1276" s="77">
        <f>STOCK[[#This Row],[Ganancia Unitaria]]*STOCK[[#This Row],[Salidas]]</f>
        <v>7.04</v>
      </c>
      <c r="AA1276" s="77">
        <f>STOCK[[#This Row],[Costo total]]*STOCK[[#This Row],[Entradas]]</f>
        <v>25.92</v>
      </c>
      <c r="AB1276" s="77">
        <f>STOCK[[#This Row],[Stock Actual]]*STOCK[[#This Row],[Costo total]]</f>
        <v>12.96</v>
      </c>
    </row>
    <row r="1277" s="76" customFormat="1" ht="50" hidden="1" customHeight="1" spans="1:28">
      <c r="A1277" s="76" t="s">
        <v>2642</v>
      </c>
      <c r="B1277" s="6"/>
      <c r="C1277" s="76" t="s">
        <v>30</v>
      </c>
      <c r="D1277" s="76" t="s">
        <v>1188</v>
      </c>
      <c r="E1277" s="76" t="s">
        <v>2641</v>
      </c>
      <c r="F1277" s="76" t="s">
        <v>47</v>
      </c>
      <c r="H1277" s="76">
        <f>STOCK[[#This Row],[Precio Final]]</f>
        <v>20</v>
      </c>
      <c r="I1277" s="76">
        <f>STOCK[[#This Row],[Precio Venta Ideal (x1.5)]]</f>
        <v>19.44</v>
      </c>
      <c r="J1277" s="91">
        <v>2</v>
      </c>
      <c r="K1277" s="91">
        <f>SUMIFS(VENTAS[Cantidad],VENTAS[Código del producto Vendido],STOCK[[#This Row],[Code]])</f>
        <v>2</v>
      </c>
      <c r="L1277" s="91">
        <f>STOCK[[#This Row],[Entradas]]-STOCK[[#This Row],[Salidas]]</f>
        <v>0</v>
      </c>
      <c r="M1277" s="76">
        <f>STOCK[[#This Row],[Precio Final]]*10%</f>
        <v>2</v>
      </c>
      <c r="N1277" s="76">
        <v>0</v>
      </c>
      <c r="O1277" s="76">
        <v>0</v>
      </c>
      <c r="P1277" s="76">
        <v>8.99</v>
      </c>
      <c r="Q1277" s="91">
        <v>0</v>
      </c>
      <c r="R1277" s="76">
        <v>0</v>
      </c>
      <c r="S1277" s="76">
        <v>1.97</v>
      </c>
      <c r="T1277" s="76">
        <f>STOCK[[#This Row],[Costo Unitario (USD)]]+STOCK[[#This Row],[Costo Envío (USD)]]+STOCK[[#This Row],[Comisión 10%]]</f>
        <v>12.96</v>
      </c>
      <c r="U1277" s="76">
        <f>STOCK[[#This Row],[Costo total]]*1.5</f>
        <v>19.44</v>
      </c>
      <c r="V1277" s="76">
        <v>20</v>
      </c>
      <c r="W1277" s="76">
        <f>STOCK[[#This Row],[Precio Final]]-STOCK[[#This Row],[Costo total]]</f>
        <v>7.04</v>
      </c>
      <c r="X1277" s="76">
        <f>STOCK[[#This Row],[Ganancia Unitaria]]*STOCK[[#This Row],[Salidas]]</f>
        <v>14.08</v>
      </c>
      <c r="AA1277" s="76">
        <f>STOCK[[#This Row],[Costo total]]*STOCK[[#This Row],[Entradas]]</f>
        <v>25.92</v>
      </c>
      <c r="AB1277" s="76">
        <f>STOCK[[#This Row],[Stock Actual]]*STOCK[[#This Row],[Costo total]]</f>
        <v>0</v>
      </c>
    </row>
    <row r="1278" s="77" customFormat="1" ht="50" hidden="1" customHeight="1" spans="1:28">
      <c r="A1278" s="77" t="s">
        <v>2643</v>
      </c>
      <c r="B1278" s="6"/>
      <c r="C1278" s="77" t="s">
        <v>30</v>
      </c>
      <c r="D1278" s="77" t="s">
        <v>1188</v>
      </c>
      <c r="E1278" s="77" t="s">
        <v>2644</v>
      </c>
      <c r="F1278" s="77" t="s">
        <v>38</v>
      </c>
      <c r="H1278" s="77">
        <f>STOCK[[#This Row],[Precio Final]]</f>
        <v>25</v>
      </c>
      <c r="I1278" s="77">
        <f>STOCK[[#This Row],[Precio Venta Ideal (x1.5)]]</f>
        <v>21.69</v>
      </c>
      <c r="J1278" s="92">
        <v>1</v>
      </c>
      <c r="K1278" s="92">
        <f>SUMIFS(VENTAS[Cantidad],VENTAS[Código del producto Vendido],STOCK[[#This Row],[Code]])</f>
        <v>1</v>
      </c>
      <c r="L1278" s="92">
        <f>STOCK[[#This Row],[Entradas]]-STOCK[[#This Row],[Salidas]]</f>
        <v>0</v>
      </c>
      <c r="M1278" s="77">
        <f>STOCK[[#This Row],[Precio Final]]*10%</f>
        <v>2.5</v>
      </c>
      <c r="N1278" s="77">
        <v>0</v>
      </c>
      <c r="O1278" s="77">
        <v>0</v>
      </c>
      <c r="P1278" s="77">
        <v>9.99</v>
      </c>
      <c r="Q1278" s="92">
        <v>0</v>
      </c>
      <c r="R1278" s="77">
        <v>0</v>
      </c>
      <c r="S1278" s="77">
        <v>1.97</v>
      </c>
      <c r="T1278" s="76">
        <f>STOCK[[#This Row],[Costo Unitario (USD)]]+STOCK[[#This Row],[Costo Envío (USD)]]+STOCK[[#This Row],[Comisión 10%]]</f>
        <v>14.46</v>
      </c>
      <c r="U1278" s="77">
        <f>STOCK[[#This Row],[Costo total]]*1.5</f>
        <v>21.69</v>
      </c>
      <c r="V1278" s="77">
        <v>25</v>
      </c>
      <c r="W1278" s="77">
        <f>STOCK[[#This Row],[Precio Final]]-STOCK[[#This Row],[Costo total]]</f>
        <v>10.54</v>
      </c>
      <c r="X1278" s="77">
        <f>STOCK[[#This Row],[Ganancia Unitaria]]*STOCK[[#This Row],[Salidas]]</f>
        <v>10.54</v>
      </c>
      <c r="AA1278" s="77">
        <f>STOCK[[#This Row],[Costo total]]*STOCK[[#This Row],[Entradas]]</f>
        <v>14.46</v>
      </c>
      <c r="AB1278" s="77">
        <f>STOCK[[#This Row],[Stock Actual]]*STOCK[[#This Row],[Costo total]]</f>
        <v>0</v>
      </c>
    </row>
    <row r="1279" s="76" customFormat="1" ht="50" hidden="1" customHeight="1" spans="1:28">
      <c r="A1279" s="76" t="s">
        <v>2645</v>
      </c>
      <c r="B1279" s="6"/>
      <c r="C1279" s="76" t="s">
        <v>30</v>
      </c>
      <c r="D1279" s="76" t="s">
        <v>1188</v>
      </c>
      <c r="E1279" s="76" t="s">
        <v>2646</v>
      </c>
      <c r="F1279" s="76" t="s">
        <v>38</v>
      </c>
      <c r="H1279" s="76">
        <f>STOCK[[#This Row],[Precio Final]]</f>
        <v>35</v>
      </c>
      <c r="I1279" s="76">
        <f>STOCK[[#This Row],[Precio Venta Ideal (x1.5)]]</f>
        <v>47.58</v>
      </c>
      <c r="J1279" s="91">
        <v>1</v>
      </c>
      <c r="K1279" s="91">
        <f>SUMIFS(VENTAS[Cantidad],VENTAS[Código del producto Vendido],STOCK[[#This Row],[Code]])</f>
        <v>1</v>
      </c>
      <c r="L1279" s="91">
        <f>STOCK[[#This Row],[Entradas]]-STOCK[[#This Row],[Salidas]]</f>
        <v>0</v>
      </c>
      <c r="M1279" s="76">
        <f>STOCK[[#This Row],[Precio Final]]*10%</f>
        <v>3.5</v>
      </c>
      <c r="N1279" s="76">
        <v>0</v>
      </c>
      <c r="O1279" s="76">
        <v>0</v>
      </c>
      <c r="P1279" s="76">
        <v>26.25</v>
      </c>
      <c r="Q1279" s="91">
        <v>0</v>
      </c>
      <c r="R1279" s="76">
        <v>0</v>
      </c>
      <c r="S1279" s="76">
        <v>1.97</v>
      </c>
      <c r="T1279" s="76">
        <f>STOCK[[#This Row],[Costo Unitario (USD)]]+STOCK[[#This Row],[Costo Envío (USD)]]+STOCK[[#This Row],[Comisión 10%]]</f>
        <v>31.72</v>
      </c>
      <c r="U1279" s="76">
        <f>STOCK[[#This Row],[Costo total]]*1.5</f>
        <v>47.58</v>
      </c>
      <c r="V1279" s="76">
        <v>35</v>
      </c>
      <c r="W1279" s="76">
        <f>STOCK[[#This Row],[Precio Final]]-STOCK[[#This Row],[Costo total]]</f>
        <v>3.28</v>
      </c>
      <c r="X1279" s="76">
        <f>STOCK[[#This Row],[Ganancia Unitaria]]*STOCK[[#This Row],[Salidas]]</f>
        <v>3.28</v>
      </c>
      <c r="AA1279" s="76">
        <f>STOCK[[#This Row],[Costo total]]*STOCK[[#This Row],[Entradas]]</f>
        <v>31.72</v>
      </c>
      <c r="AB1279" s="76">
        <f>STOCK[[#This Row],[Stock Actual]]*STOCK[[#This Row],[Costo total]]</f>
        <v>0</v>
      </c>
    </row>
    <row r="1280" s="77" customFormat="1" ht="50" hidden="1" customHeight="1" spans="1:28">
      <c r="A1280" s="77" t="s">
        <v>2647</v>
      </c>
      <c r="B1280" s="6"/>
      <c r="C1280" s="77" t="s">
        <v>30</v>
      </c>
      <c r="D1280" s="77" t="s">
        <v>2636</v>
      </c>
      <c r="E1280" s="77" t="s">
        <v>2648</v>
      </c>
      <c r="F1280" s="77" t="s">
        <v>47</v>
      </c>
      <c r="H1280" s="77">
        <f>STOCK[[#This Row],[Precio Final]]</f>
        <v>30</v>
      </c>
      <c r="I1280" s="77">
        <f>STOCK[[#This Row],[Precio Venta Ideal (x1.5)]]</f>
        <v>29.955</v>
      </c>
      <c r="J1280" s="92">
        <v>1</v>
      </c>
      <c r="K1280" s="92">
        <f>SUMIFS(VENTAS[Cantidad],VENTAS[Código del producto Vendido],STOCK[[#This Row],[Code]])</f>
        <v>0</v>
      </c>
      <c r="L1280" s="92">
        <f>STOCK[[#This Row],[Entradas]]-STOCK[[#This Row],[Salidas]]</f>
        <v>1</v>
      </c>
      <c r="M1280" s="77">
        <f>STOCK[[#This Row],[Precio Final]]*10%</f>
        <v>3</v>
      </c>
      <c r="N1280" s="77">
        <v>0</v>
      </c>
      <c r="O1280" s="77">
        <v>0</v>
      </c>
      <c r="P1280" s="77">
        <v>15</v>
      </c>
      <c r="Q1280" s="92">
        <v>0</v>
      </c>
      <c r="R1280" s="77">
        <v>0</v>
      </c>
      <c r="S1280" s="77">
        <v>1.97</v>
      </c>
      <c r="T1280" s="76">
        <f>STOCK[[#This Row],[Costo Unitario (USD)]]+STOCK[[#This Row],[Costo Envío (USD)]]+STOCK[[#This Row],[Comisión 10%]]</f>
        <v>19.97</v>
      </c>
      <c r="U1280" s="77">
        <f>STOCK[[#This Row],[Costo total]]*1.5</f>
        <v>29.955</v>
      </c>
      <c r="V1280" s="77">
        <v>30</v>
      </c>
      <c r="W1280" s="77">
        <f>STOCK[[#This Row],[Precio Final]]-STOCK[[#This Row],[Costo total]]</f>
        <v>10.03</v>
      </c>
      <c r="X1280" s="77">
        <f>STOCK[[#This Row],[Ganancia Unitaria]]*STOCK[[#This Row],[Salidas]]</f>
        <v>0</v>
      </c>
      <c r="AA1280" s="77">
        <f>STOCK[[#This Row],[Costo total]]*STOCK[[#This Row],[Entradas]]</f>
        <v>19.97</v>
      </c>
      <c r="AB1280" s="77">
        <f>STOCK[[#This Row],[Stock Actual]]*STOCK[[#This Row],[Costo total]]</f>
        <v>19.97</v>
      </c>
    </row>
    <row r="1281" s="76" customFormat="1" ht="50" hidden="1" customHeight="1" spans="1:28">
      <c r="A1281" s="76" t="s">
        <v>2649</v>
      </c>
      <c r="B1281" s="6"/>
      <c r="C1281" s="76" t="s">
        <v>30</v>
      </c>
      <c r="D1281" s="76" t="s">
        <v>1806</v>
      </c>
      <c r="E1281" s="76" t="s">
        <v>2650</v>
      </c>
      <c r="F1281" s="76" t="s">
        <v>880</v>
      </c>
      <c r="H1281" s="76">
        <f>STOCK[[#This Row],[Precio Final]]</f>
        <v>19</v>
      </c>
      <c r="I1281" s="76">
        <f>STOCK[[#This Row],[Precio Venta Ideal (x1.5)]]</f>
        <v>25.29</v>
      </c>
      <c r="J1281" s="91">
        <v>1</v>
      </c>
      <c r="K1281" s="91">
        <f>SUMIFS(VENTAS[Cantidad],VENTAS[Código del producto Vendido],STOCK[[#This Row],[Code]])</f>
        <v>1</v>
      </c>
      <c r="L1281" s="91">
        <f>STOCK[[#This Row],[Entradas]]-STOCK[[#This Row],[Salidas]]</f>
        <v>0</v>
      </c>
      <c r="M1281" s="76">
        <f>STOCK[[#This Row],[Precio Final]]*10%</f>
        <v>1.9</v>
      </c>
      <c r="N1281" s="76">
        <v>0</v>
      </c>
      <c r="O1281" s="76">
        <v>0</v>
      </c>
      <c r="P1281" s="76">
        <v>12.99</v>
      </c>
      <c r="Q1281" s="91">
        <v>0</v>
      </c>
      <c r="R1281" s="76">
        <v>0</v>
      </c>
      <c r="S1281" s="76">
        <v>1.97</v>
      </c>
      <c r="T1281" s="76">
        <f>STOCK[[#This Row],[Costo Unitario (USD)]]+STOCK[[#This Row],[Costo Envío (USD)]]+STOCK[[#This Row],[Comisión 10%]]</f>
        <v>16.86</v>
      </c>
      <c r="U1281" s="76">
        <f>STOCK[[#This Row],[Costo total]]*1.5</f>
        <v>25.29</v>
      </c>
      <c r="V1281" s="76">
        <v>19</v>
      </c>
      <c r="W1281" s="76">
        <f>STOCK[[#This Row],[Precio Final]]-STOCK[[#This Row],[Costo total]]</f>
        <v>2.14</v>
      </c>
      <c r="X1281" s="76">
        <f>STOCK[[#This Row],[Ganancia Unitaria]]*STOCK[[#This Row],[Salidas]]</f>
        <v>2.14</v>
      </c>
      <c r="AA1281" s="76">
        <f>STOCK[[#This Row],[Costo total]]*STOCK[[#This Row],[Entradas]]</f>
        <v>16.86</v>
      </c>
      <c r="AB1281" s="76">
        <f>STOCK[[#This Row],[Stock Actual]]*STOCK[[#This Row],[Costo total]]</f>
        <v>0</v>
      </c>
    </row>
    <row r="1282" s="77" customFormat="1" ht="50" hidden="1" customHeight="1" spans="1:28">
      <c r="A1282" s="77" t="s">
        <v>2651</v>
      </c>
      <c r="B1282" s="6"/>
      <c r="C1282" s="77" t="s">
        <v>30</v>
      </c>
      <c r="D1282" s="77" t="s">
        <v>2628</v>
      </c>
      <c r="E1282" s="77" t="s">
        <v>2652</v>
      </c>
      <c r="F1282" s="77" t="s">
        <v>2634</v>
      </c>
      <c r="H1282" s="77">
        <f>STOCK[[#This Row],[Precio Final]]</f>
        <v>25</v>
      </c>
      <c r="I1282" s="77">
        <f>STOCK[[#This Row],[Precio Venta Ideal (x1.5)]]</f>
        <v>21.69</v>
      </c>
      <c r="J1282" s="92">
        <v>3</v>
      </c>
      <c r="K1282" s="92">
        <f>SUMIFS(VENTAS[Cantidad],VENTAS[Código del producto Vendido],STOCK[[#This Row],[Code]])</f>
        <v>0</v>
      </c>
      <c r="L1282" s="92">
        <f>STOCK[[#This Row],[Entradas]]-STOCK[[#This Row],[Salidas]]</f>
        <v>3</v>
      </c>
      <c r="M1282" s="77">
        <f>STOCK[[#This Row],[Precio Final]]*10%</f>
        <v>2.5</v>
      </c>
      <c r="N1282" s="77">
        <v>0</v>
      </c>
      <c r="O1282" s="77">
        <v>0</v>
      </c>
      <c r="P1282" s="77">
        <v>9.99</v>
      </c>
      <c r="Q1282" s="92">
        <v>0</v>
      </c>
      <c r="R1282" s="77">
        <v>0</v>
      </c>
      <c r="S1282" s="77">
        <v>1.97</v>
      </c>
      <c r="T1282" s="76">
        <f>STOCK[[#This Row],[Costo Unitario (USD)]]+STOCK[[#This Row],[Costo Envío (USD)]]+STOCK[[#This Row],[Comisión 10%]]</f>
        <v>14.46</v>
      </c>
      <c r="U1282" s="77">
        <f>STOCK[[#This Row],[Costo total]]*1.5</f>
        <v>21.69</v>
      </c>
      <c r="V1282" s="77">
        <v>25</v>
      </c>
      <c r="W1282" s="77">
        <f>STOCK[[#This Row],[Precio Final]]-STOCK[[#This Row],[Costo total]]</f>
        <v>10.54</v>
      </c>
      <c r="X1282" s="77">
        <f>STOCK[[#This Row],[Ganancia Unitaria]]*STOCK[[#This Row],[Salidas]]</f>
        <v>0</v>
      </c>
      <c r="AA1282" s="77">
        <f>STOCK[[#This Row],[Costo total]]*STOCK[[#This Row],[Entradas]]</f>
        <v>43.38</v>
      </c>
      <c r="AB1282" s="77">
        <f>STOCK[[#This Row],[Stock Actual]]*STOCK[[#This Row],[Costo total]]</f>
        <v>43.38</v>
      </c>
    </row>
    <row r="1283" s="76" customFormat="1" ht="50" hidden="1" customHeight="1" spans="1:28">
      <c r="A1283" s="76" t="s">
        <v>2653</v>
      </c>
      <c r="B1283" s="6"/>
      <c r="C1283" s="76" t="s">
        <v>30</v>
      </c>
      <c r="D1283" s="76" t="s">
        <v>1224</v>
      </c>
      <c r="E1283" s="76" t="s">
        <v>2654</v>
      </c>
      <c r="F1283" s="76" t="s">
        <v>764</v>
      </c>
      <c r="H1283" s="76">
        <f>STOCK[[#This Row],[Precio Final]]</f>
        <v>35</v>
      </c>
      <c r="I1283" s="76">
        <f>STOCK[[#This Row],[Precio Venta Ideal (x1.5)]]</f>
        <v>36.75</v>
      </c>
      <c r="J1283" s="91">
        <v>1</v>
      </c>
      <c r="K1283" s="91">
        <f>SUMIFS(VENTAS[Cantidad],VENTAS[Código del producto Vendido],STOCK[[#This Row],[Code]])</f>
        <v>1</v>
      </c>
      <c r="L1283" s="91">
        <f>STOCK[[#This Row],[Entradas]]-STOCK[[#This Row],[Salidas]]</f>
        <v>0</v>
      </c>
      <c r="M1283" s="76">
        <f>STOCK[[#This Row],[Precio Final]]*10%</f>
        <v>3.5</v>
      </c>
      <c r="N1283" s="76">
        <v>0</v>
      </c>
      <c r="O1283" s="76">
        <v>0</v>
      </c>
      <c r="P1283" s="76">
        <v>21</v>
      </c>
      <c r="Q1283" s="91">
        <v>0</v>
      </c>
      <c r="R1283" s="76">
        <v>0</v>
      </c>
      <c r="S1283" s="76">
        <v>0</v>
      </c>
      <c r="T1283" s="76">
        <f>STOCK[[#This Row],[Costo Unitario (USD)]]+STOCK[[#This Row],[Costo Envío (USD)]]+STOCK[[#This Row],[Comisión 10%]]</f>
        <v>24.5</v>
      </c>
      <c r="U1283" s="76">
        <f>STOCK[[#This Row],[Costo total]]*1.5</f>
        <v>36.75</v>
      </c>
      <c r="V1283" s="76">
        <v>35</v>
      </c>
      <c r="W1283" s="76">
        <f>STOCK[[#This Row],[Precio Final]]-STOCK[[#This Row],[Costo total]]</f>
        <v>10.5</v>
      </c>
      <c r="X1283" s="76">
        <f>STOCK[[#This Row],[Ganancia Unitaria]]*STOCK[[#This Row],[Salidas]]</f>
        <v>10.5</v>
      </c>
      <c r="AA1283" s="76">
        <f>STOCK[[#This Row],[Costo total]]*STOCK[[#This Row],[Entradas]]</f>
        <v>24.5</v>
      </c>
      <c r="AB1283" s="76">
        <f>STOCK[[#This Row],[Stock Actual]]*STOCK[[#This Row],[Costo total]]</f>
        <v>0</v>
      </c>
    </row>
    <row r="1284" s="77" customFormat="1" ht="50" hidden="1" customHeight="1" spans="1:28">
      <c r="A1284" s="77" t="s">
        <v>2655</v>
      </c>
      <c r="B1284" s="6"/>
      <c r="C1284" s="77" t="s">
        <v>30</v>
      </c>
      <c r="D1284" s="77" t="s">
        <v>1224</v>
      </c>
      <c r="E1284" s="77" t="s">
        <v>2656</v>
      </c>
      <c r="F1284" s="77" t="s">
        <v>516</v>
      </c>
      <c r="H1284" s="77">
        <f>STOCK[[#This Row],[Precio Final]]</f>
        <v>40</v>
      </c>
      <c r="I1284" s="77">
        <f>STOCK[[#This Row],[Precio Venta Ideal (x1.5)]]</f>
        <v>48</v>
      </c>
      <c r="J1284" s="92">
        <v>1</v>
      </c>
      <c r="K1284" s="92">
        <f>SUMIFS(VENTAS[Cantidad],VENTAS[Código del producto Vendido],STOCK[[#This Row],[Code]])</f>
        <v>1</v>
      </c>
      <c r="L1284" s="92">
        <f>STOCK[[#This Row],[Entradas]]-STOCK[[#This Row],[Salidas]]</f>
        <v>0</v>
      </c>
      <c r="M1284" s="77">
        <f>STOCK[[#This Row],[Precio Final]]*10%</f>
        <v>4</v>
      </c>
      <c r="N1284" s="77">
        <v>0</v>
      </c>
      <c r="O1284" s="77">
        <v>0</v>
      </c>
      <c r="P1284" s="77">
        <v>25</v>
      </c>
      <c r="Q1284" s="92">
        <v>0</v>
      </c>
      <c r="R1284" s="77">
        <v>0</v>
      </c>
      <c r="S1284" s="77">
        <v>3</v>
      </c>
      <c r="T1284" s="76">
        <f>STOCK[[#This Row],[Costo Unitario (USD)]]+STOCK[[#This Row],[Costo Envío (USD)]]+STOCK[[#This Row],[Comisión 10%]]</f>
        <v>32</v>
      </c>
      <c r="U1284" s="77">
        <f>STOCK[[#This Row],[Costo total]]*1.5</f>
        <v>48</v>
      </c>
      <c r="V1284" s="77">
        <v>40</v>
      </c>
      <c r="W1284" s="77">
        <f>STOCK[[#This Row],[Precio Final]]-STOCK[[#This Row],[Costo total]]</f>
        <v>8</v>
      </c>
      <c r="X1284" s="77">
        <f>STOCK[[#This Row],[Ganancia Unitaria]]*STOCK[[#This Row],[Salidas]]</f>
        <v>8</v>
      </c>
      <c r="AA1284" s="77">
        <f>STOCK[[#This Row],[Costo total]]*STOCK[[#This Row],[Entradas]]</f>
        <v>32</v>
      </c>
      <c r="AB1284" s="77">
        <f>STOCK[[#This Row],[Stock Actual]]*STOCK[[#This Row],[Costo total]]</f>
        <v>0</v>
      </c>
    </row>
    <row r="1285" s="76" customFormat="1" ht="50" hidden="1" customHeight="1" spans="1:28">
      <c r="A1285" s="76" t="s">
        <v>2657</v>
      </c>
      <c r="B1285" s="6"/>
      <c r="C1285" s="76" t="s">
        <v>30</v>
      </c>
      <c r="D1285" s="76" t="s">
        <v>1188</v>
      </c>
      <c r="E1285" s="76" t="s">
        <v>2658</v>
      </c>
      <c r="F1285" s="76" t="s">
        <v>60</v>
      </c>
      <c r="H1285" s="76">
        <f>STOCK[[#This Row],[Precio Final]]</f>
        <v>12</v>
      </c>
      <c r="I1285" s="76">
        <f>STOCK[[#This Row],[Precio Venta Ideal (x1.5)]]</f>
        <v>15.255</v>
      </c>
      <c r="J1285" s="91">
        <v>1</v>
      </c>
      <c r="K1285" s="91">
        <f>SUMIFS(VENTAS[Cantidad],VENTAS[Código del producto Vendido],STOCK[[#This Row],[Code]])</f>
        <v>1</v>
      </c>
      <c r="L1285" s="91">
        <f>STOCK[[#This Row],[Entradas]]-STOCK[[#This Row],[Salidas]]</f>
        <v>0</v>
      </c>
      <c r="M1285" s="76">
        <f>STOCK[[#This Row],[Precio Final]]*10%</f>
        <v>1.2</v>
      </c>
      <c r="N1285" s="76">
        <v>0</v>
      </c>
      <c r="O1285" s="76">
        <v>0</v>
      </c>
      <c r="P1285" s="76">
        <v>7</v>
      </c>
      <c r="Q1285" s="91">
        <v>0</v>
      </c>
      <c r="R1285" s="76">
        <v>0</v>
      </c>
      <c r="S1285" s="77">
        <v>1.97</v>
      </c>
      <c r="T1285" s="76">
        <f>STOCK[[#This Row],[Costo Unitario (USD)]]+STOCK[[#This Row],[Costo Envío (USD)]]+STOCK[[#This Row],[Comisión 10%]]</f>
        <v>10.17</v>
      </c>
      <c r="U1285" s="76">
        <f>STOCK[[#This Row],[Costo total]]*1.5</f>
        <v>15.255</v>
      </c>
      <c r="V1285" s="76">
        <v>12</v>
      </c>
      <c r="W1285" s="76">
        <f>STOCK[[#This Row],[Precio Final]]-STOCK[[#This Row],[Costo total]]</f>
        <v>1.83</v>
      </c>
      <c r="X1285" s="76">
        <f>STOCK[[#This Row],[Ganancia Unitaria]]*STOCK[[#This Row],[Salidas]]</f>
        <v>1.83</v>
      </c>
      <c r="AA1285" s="76">
        <f>STOCK[[#This Row],[Costo total]]*STOCK[[#This Row],[Entradas]]</f>
        <v>10.17</v>
      </c>
      <c r="AB1285" s="76">
        <f>STOCK[[#This Row],[Stock Actual]]*STOCK[[#This Row],[Costo total]]</f>
        <v>0</v>
      </c>
    </row>
    <row r="1286" s="77" customFormat="1" ht="50" hidden="1" customHeight="1" spans="1:28">
      <c r="A1286" s="77" t="s">
        <v>2659</v>
      </c>
      <c r="B1286" s="6"/>
      <c r="C1286" s="77" t="s">
        <v>30</v>
      </c>
      <c r="D1286" s="77" t="s">
        <v>1188</v>
      </c>
      <c r="E1286" s="77" t="s">
        <v>2658</v>
      </c>
      <c r="F1286" s="77" t="s">
        <v>47</v>
      </c>
      <c r="H1286" s="77">
        <f>STOCK[[#This Row],[Precio Final]]</f>
        <v>12</v>
      </c>
      <c r="I1286" s="77">
        <f>STOCK[[#This Row],[Precio Venta Ideal (x1.5)]]</f>
        <v>15.255</v>
      </c>
      <c r="J1286" s="92">
        <v>1</v>
      </c>
      <c r="K1286" s="92">
        <f>SUMIFS(VENTAS[Cantidad],VENTAS[Código del producto Vendido],STOCK[[#This Row],[Code]])</f>
        <v>1</v>
      </c>
      <c r="L1286" s="92">
        <f>STOCK[[#This Row],[Entradas]]-STOCK[[#This Row],[Salidas]]</f>
        <v>0</v>
      </c>
      <c r="M1286" s="77">
        <f>STOCK[[#This Row],[Precio Final]]*10%</f>
        <v>1.2</v>
      </c>
      <c r="N1286" s="77">
        <v>0</v>
      </c>
      <c r="O1286" s="77">
        <v>0</v>
      </c>
      <c r="P1286" s="77">
        <v>7</v>
      </c>
      <c r="Q1286" s="92">
        <v>0</v>
      </c>
      <c r="R1286" s="77">
        <v>0</v>
      </c>
      <c r="S1286" s="77">
        <v>1.97</v>
      </c>
      <c r="T1286" s="76">
        <f>STOCK[[#This Row],[Costo Unitario (USD)]]+STOCK[[#This Row],[Costo Envío (USD)]]+STOCK[[#This Row],[Comisión 10%]]</f>
        <v>10.17</v>
      </c>
      <c r="U1286" s="77">
        <f>STOCK[[#This Row],[Costo total]]*1.5</f>
        <v>15.255</v>
      </c>
      <c r="V1286" s="77">
        <v>12</v>
      </c>
      <c r="W1286" s="77">
        <f>STOCK[[#This Row],[Precio Final]]-STOCK[[#This Row],[Costo total]]</f>
        <v>1.83</v>
      </c>
      <c r="X1286" s="77">
        <f>STOCK[[#This Row],[Ganancia Unitaria]]*STOCK[[#This Row],[Salidas]]</f>
        <v>1.83</v>
      </c>
      <c r="AA1286" s="77">
        <f>STOCK[[#This Row],[Costo total]]*STOCK[[#This Row],[Entradas]]</f>
        <v>10.17</v>
      </c>
      <c r="AB1286" s="77">
        <f>STOCK[[#This Row],[Stock Actual]]*STOCK[[#This Row],[Costo total]]</f>
        <v>0</v>
      </c>
    </row>
    <row r="1287" s="76" customFormat="1" ht="50" hidden="1" customHeight="1" spans="1:28">
      <c r="A1287" s="76" t="s">
        <v>2660</v>
      </c>
      <c r="B1287" s="6"/>
      <c r="C1287" s="76" t="s">
        <v>30</v>
      </c>
      <c r="D1287" s="76" t="s">
        <v>1188</v>
      </c>
      <c r="E1287" s="76" t="s">
        <v>2661</v>
      </c>
      <c r="F1287" s="76" t="s">
        <v>47</v>
      </c>
      <c r="H1287" s="76">
        <f>STOCK[[#This Row],[Precio Final]]</f>
        <v>13</v>
      </c>
      <c r="I1287" s="76">
        <f>STOCK[[#This Row],[Precio Venta Ideal (x1.5)]]</f>
        <v>12.45</v>
      </c>
      <c r="J1287" s="91">
        <v>2</v>
      </c>
      <c r="K1287" s="91">
        <f>SUMIFS(VENTAS[Cantidad],VENTAS[Código del producto Vendido],STOCK[[#This Row],[Code]])</f>
        <v>1</v>
      </c>
      <c r="L1287" s="91">
        <f>STOCK[[#This Row],[Entradas]]-STOCK[[#This Row],[Salidas]]</f>
        <v>1</v>
      </c>
      <c r="M1287" s="76">
        <f>STOCK[[#This Row],[Precio Final]]*10%</f>
        <v>1.3</v>
      </c>
      <c r="N1287" s="76">
        <v>0</v>
      </c>
      <c r="O1287" s="76">
        <v>0</v>
      </c>
      <c r="P1287" s="76">
        <v>7</v>
      </c>
      <c r="Q1287" s="91">
        <v>0</v>
      </c>
      <c r="R1287" s="76">
        <v>0</v>
      </c>
      <c r="S1287" s="77">
        <v>0</v>
      </c>
      <c r="T1287" s="76">
        <f>STOCK[[#This Row],[Costo Unitario (USD)]]+STOCK[[#This Row],[Costo Envío (USD)]]+STOCK[[#This Row],[Comisión 10%]]</f>
        <v>8.3</v>
      </c>
      <c r="U1287" s="76">
        <f>STOCK[[#This Row],[Costo total]]*1.5</f>
        <v>12.45</v>
      </c>
      <c r="V1287" s="76">
        <v>13</v>
      </c>
      <c r="W1287" s="76">
        <f>STOCK[[#This Row],[Precio Final]]-STOCK[[#This Row],[Costo total]]</f>
        <v>4.7</v>
      </c>
      <c r="X1287" s="76">
        <f>STOCK[[#This Row],[Ganancia Unitaria]]*STOCK[[#This Row],[Salidas]]</f>
        <v>4.7</v>
      </c>
      <c r="AA1287" s="76">
        <f>STOCK[[#This Row],[Costo total]]*STOCK[[#This Row],[Entradas]]</f>
        <v>16.6</v>
      </c>
      <c r="AB1287" s="76">
        <f>STOCK[[#This Row],[Stock Actual]]*STOCK[[#This Row],[Costo total]]</f>
        <v>8.3</v>
      </c>
    </row>
    <row r="1288" s="77" customFormat="1" ht="50" hidden="1" customHeight="1" spans="1:28">
      <c r="A1288" s="77" t="s">
        <v>2662</v>
      </c>
      <c r="B1288" s="6"/>
      <c r="C1288" s="77" t="s">
        <v>30</v>
      </c>
      <c r="D1288" s="77" t="s">
        <v>1188</v>
      </c>
      <c r="E1288" s="77" t="s">
        <v>2663</v>
      </c>
      <c r="F1288" s="77" t="s">
        <v>47</v>
      </c>
      <c r="H1288" s="77">
        <f>STOCK[[#This Row],[Precio Final]]</f>
        <v>13</v>
      </c>
      <c r="I1288" s="77">
        <f>STOCK[[#This Row],[Precio Venta Ideal (x1.5)]]</f>
        <v>12.45</v>
      </c>
      <c r="J1288" s="92">
        <v>1</v>
      </c>
      <c r="K1288" s="92">
        <f>SUMIFS(VENTAS[Cantidad],VENTAS[Código del producto Vendido],STOCK[[#This Row],[Code]])</f>
        <v>1</v>
      </c>
      <c r="L1288" s="92">
        <f>STOCK[[#This Row],[Entradas]]-STOCK[[#This Row],[Salidas]]</f>
        <v>0</v>
      </c>
      <c r="M1288" s="77">
        <f>STOCK[[#This Row],[Precio Final]]*10%</f>
        <v>1.3</v>
      </c>
      <c r="N1288" s="77">
        <v>0</v>
      </c>
      <c r="O1288" s="77">
        <v>0</v>
      </c>
      <c r="P1288" s="77">
        <v>7</v>
      </c>
      <c r="Q1288" s="92">
        <v>0</v>
      </c>
      <c r="R1288" s="77">
        <v>0</v>
      </c>
      <c r="S1288" s="77">
        <v>0</v>
      </c>
      <c r="T1288" s="76">
        <f>STOCK[[#This Row],[Costo Unitario (USD)]]+STOCK[[#This Row],[Costo Envío (USD)]]+STOCK[[#This Row],[Comisión 10%]]</f>
        <v>8.3</v>
      </c>
      <c r="U1288" s="77">
        <f>STOCK[[#This Row],[Costo total]]*1.5</f>
        <v>12.45</v>
      </c>
      <c r="V1288" s="77">
        <v>13</v>
      </c>
      <c r="W1288" s="77">
        <f>STOCK[[#This Row],[Precio Final]]-STOCK[[#This Row],[Costo total]]</f>
        <v>4.7</v>
      </c>
      <c r="X1288" s="77">
        <f>STOCK[[#This Row],[Ganancia Unitaria]]*STOCK[[#This Row],[Salidas]]</f>
        <v>4.7</v>
      </c>
      <c r="AA1288" s="77">
        <f>STOCK[[#This Row],[Costo total]]*STOCK[[#This Row],[Entradas]]</f>
        <v>8.3</v>
      </c>
      <c r="AB1288" s="77">
        <f>STOCK[[#This Row],[Stock Actual]]*STOCK[[#This Row],[Costo total]]</f>
        <v>0</v>
      </c>
    </row>
    <row r="1289" s="76" customFormat="1" ht="50" hidden="1" customHeight="1" spans="1:28">
      <c r="A1289" s="76" t="s">
        <v>2664</v>
      </c>
      <c r="B1289" s="6"/>
      <c r="C1289" s="76" t="s">
        <v>30</v>
      </c>
      <c r="D1289" s="76" t="s">
        <v>1188</v>
      </c>
      <c r="E1289" s="76" t="s">
        <v>2665</v>
      </c>
      <c r="F1289" s="76" t="s">
        <v>47</v>
      </c>
      <c r="H1289" s="76">
        <f>STOCK[[#This Row],[Precio Final]]</f>
        <v>13</v>
      </c>
      <c r="I1289" s="76">
        <f>STOCK[[#This Row],[Precio Venta Ideal (x1.5)]]</f>
        <v>12.45</v>
      </c>
      <c r="J1289" s="91">
        <v>2</v>
      </c>
      <c r="K1289" s="91">
        <f>SUMIFS(VENTAS[Cantidad],VENTAS[Código del producto Vendido],STOCK[[#This Row],[Code]])</f>
        <v>1</v>
      </c>
      <c r="L1289" s="91">
        <f>STOCK[[#This Row],[Entradas]]-STOCK[[#This Row],[Salidas]]</f>
        <v>1</v>
      </c>
      <c r="M1289" s="76">
        <f>STOCK[[#This Row],[Precio Final]]*10%</f>
        <v>1.3</v>
      </c>
      <c r="N1289" s="76">
        <v>0</v>
      </c>
      <c r="O1289" s="76">
        <v>0</v>
      </c>
      <c r="P1289" s="76">
        <v>7</v>
      </c>
      <c r="Q1289" s="91">
        <v>0</v>
      </c>
      <c r="R1289" s="76">
        <v>0</v>
      </c>
      <c r="S1289" s="77">
        <v>0</v>
      </c>
      <c r="T1289" s="76">
        <f>STOCK[[#This Row],[Costo Unitario (USD)]]+STOCK[[#This Row],[Costo Envío (USD)]]+STOCK[[#This Row],[Comisión 10%]]</f>
        <v>8.3</v>
      </c>
      <c r="U1289" s="76">
        <f>STOCK[[#This Row],[Costo total]]*1.5</f>
        <v>12.45</v>
      </c>
      <c r="V1289" s="76">
        <v>13</v>
      </c>
      <c r="W1289" s="76">
        <f>STOCK[[#This Row],[Precio Final]]-STOCK[[#This Row],[Costo total]]</f>
        <v>4.7</v>
      </c>
      <c r="X1289" s="76">
        <f>STOCK[[#This Row],[Ganancia Unitaria]]*STOCK[[#This Row],[Salidas]]</f>
        <v>4.7</v>
      </c>
      <c r="AA1289" s="76">
        <f>STOCK[[#This Row],[Costo total]]*STOCK[[#This Row],[Entradas]]</f>
        <v>16.6</v>
      </c>
      <c r="AB1289" s="76">
        <f>STOCK[[#This Row],[Stock Actual]]*STOCK[[#This Row],[Costo total]]</f>
        <v>8.3</v>
      </c>
    </row>
    <row r="1290" s="77" customFormat="1" ht="50" hidden="1" customHeight="1" spans="1:28">
      <c r="A1290" s="77" t="s">
        <v>2666</v>
      </c>
      <c r="B1290" s="6"/>
      <c r="C1290" s="77" t="s">
        <v>30</v>
      </c>
      <c r="D1290" s="77" t="s">
        <v>1188</v>
      </c>
      <c r="E1290" s="77" t="s">
        <v>2667</v>
      </c>
      <c r="F1290" s="77" t="s">
        <v>47</v>
      </c>
      <c r="H1290" s="77">
        <f>STOCK[[#This Row],[Precio Final]]</f>
        <v>13</v>
      </c>
      <c r="I1290" s="77">
        <f>STOCK[[#This Row],[Precio Venta Ideal (x1.5)]]</f>
        <v>12.45</v>
      </c>
      <c r="J1290" s="92">
        <v>1</v>
      </c>
      <c r="K1290" s="92">
        <f>SUMIFS(VENTAS[Cantidad],VENTAS[Código del producto Vendido],STOCK[[#This Row],[Code]])</f>
        <v>0</v>
      </c>
      <c r="L1290" s="92">
        <f>STOCK[[#This Row],[Entradas]]-STOCK[[#This Row],[Salidas]]</f>
        <v>1</v>
      </c>
      <c r="M1290" s="77">
        <f>STOCK[[#This Row],[Precio Final]]*10%</f>
        <v>1.3</v>
      </c>
      <c r="N1290" s="77">
        <v>0</v>
      </c>
      <c r="O1290" s="77">
        <v>0</v>
      </c>
      <c r="P1290" s="77">
        <v>7</v>
      </c>
      <c r="Q1290" s="92">
        <v>0</v>
      </c>
      <c r="R1290" s="77">
        <v>0</v>
      </c>
      <c r="S1290" s="77">
        <v>0</v>
      </c>
      <c r="T1290" s="76">
        <f>STOCK[[#This Row],[Costo Unitario (USD)]]+STOCK[[#This Row],[Costo Envío (USD)]]+STOCK[[#This Row],[Comisión 10%]]</f>
        <v>8.3</v>
      </c>
      <c r="U1290" s="77">
        <f>STOCK[[#This Row],[Costo total]]*1.5</f>
        <v>12.45</v>
      </c>
      <c r="V1290" s="77">
        <v>13</v>
      </c>
      <c r="W1290" s="77">
        <f>STOCK[[#This Row],[Precio Final]]-STOCK[[#This Row],[Costo total]]</f>
        <v>4.7</v>
      </c>
      <c r="X1290" s="77">
        <f>STOCK[[#This Row],[Ganancia Unitaria]]*STOCK[[#This Row],[Salidas]]</f>
        <v>0</v>
      </c>
      <c r="AA1290" s="77">
        <f>STOCK[[#This Row],[Costo total]]*STOCK[[#This Row],[Entradas]]</f>
        <v>8.3</v>
      </c>
      <c r="AB1290" s="77">
        <f>STOCK[[#This Row],[Stock Actual]]*STOCK[[#This Row],[Costo total]]</f>
        <v>8.3</v>
      </c>
    </row>
    <row r="1291" s="76" customFormat="1" ht="50" hidden="1" customHeight="1" spans="1:28">
      <c r="A1291" s="76" t="s">
        <v>2668</v>
      </c>
      <c r="B1291" s="6"/>
      <c r="C1291" s="76" t="s">
        <v>30</v>
      </c>
      <c r="D1291" s="76" t="s">
        <v>1188</v>
      </c>
      <c r="E1291" s="76" t="s">
        <v>2669</v>
      </c>
      <c r="F1291" s="76" t="s">
        <v>47</v>
      </c>
      <c r="H1291" s="76">
        <f>STOCK[[#This Row],[Precio Final]]</f>
        <v>13</v>
      </c>
      <c r="I1291" s="76">
        <f>STOCK[[#This Row],[Precio Venta Ideal (x1.5)]]</f>
        <v>12.45</v>
      </c>
      <c r="J1291" s="91">
        <v>1</v>
      </c>
      <c r="K1291" s="91">
        <f>SUMIFS(VENTAS[Cantidad],VENTAS[Código del producto Vendido],STOCK[[#This Row],[Code]])</f>
        <v>1</v>
      </c>
      <c r="L1291" s="91">
        <f>STOCK[[#This Row],[Entradas]]-STOCK[[#This Row],[Salidas]]</f>
        <v>0</v>
      </c>
      <c r="M1291" s="76">
        <f>STOCK[[#This Row],[Precio Final]]*10%</f>
        <v>1.3</v>
      </c>
      <c r="N1291" s="76">
        <v>0</v>
      </c>
      <c r="O1291" s="76">
        <v>0</v>
      </c>
      <c r="P1291" s="76">
        <v>7</v>
      </c>
      <c r="Q1291" s="91">
        <v>0</v>
      </c>
      <c r="R1291" s="76">
        <v>0</v>
      </c>
      <c r="S1291" s="77">
        <v>0</v>
      </c>
      <c r="T1291" s="76">
        <f>STOCK[[#This Row],[Costo Unitario (USD)]]+STOCK[[#This Row],[Costo Envío (USD)]]+STOCK[[#This Row],[Comisión 10%]]</f>
        <v>8.3</v>
      </c>
      <c r="U1291" s="76">
        <f>STOCK[[#This Row],[Costo total]]*1.5</f>
        <v>12.45</v>
      </c>
      <c r="V1291" s="76">
        <v>13</v>
      </c>
      <c r="W1291" s="76">
        <f>STOCK[[#This Row],[Precio Final]]-STOCK[[#This Row],[Costo total]]</f>
        <v>4.7</v>
      </c>
      <c r="X1291" s="76">
        <f>STOCK[[#This Row],[Ganancia Unitaria]]*STOCK[[#This Row],[Salidas]]</f>
        <v>4.7</v>
      </c>
      <c r="AA1291" s="76">
        <f>STOCK[[#This Row],[Costo total]]*STOCK[[#This Row],[Entradas]]</f>
        <v>8.3</v>
      </c>
      <c r="AB1291" s="76">
        <f>STOCK[[#This Row],[Stock Actual]]*STOCK[[#This Row],[Costo total]]</f>
        <v>0</v>
      </c>
    </row>
    <row r="1292" s="77" customFormat="1" ht="50" hidden="1" customHeight="1" spans="1:28">
      <c r="A1292" s="77" t="s">
        <v>2670</v>
      </c>
      <c r="B1292" s="6"/>
      <c r="C1292" s="77" t="s">
        <v>30</v>
      </c>
      <c r="D1292" s="77" t="s">
        <v>1188</v>
      </c>
      <c r="E1292" s="77" t="s">
        <v>2671</v>
      </c>
      <c r="F1292" s="77" t="s">
        <v>44</v>
      </c>
      <c r="H1292" s="77">
        <f>STOCK[[#This Row],[Precio Final]]</f>
        <v>13</v>
      </c>
      <c r="I1292" s="77">
        <f>STOCK[[#This Row],[Precio Venta Ideal (x1.5)]]</f>
        <v>12.45</v>
      </c>
      <c r="J1292" s="92">
        <v>1</v>
      </c>
      <c r="K1292" s="92">
        <f>SUMIFS(VENTAS[Cantidad],VENTAS[Código del producto Vendido],STOCK[[#This Row],[Code]])</f>
        <v>0</v>
      </c>
      <c r="L1292" s="92">
        <f>STOCK[[#This Row],[Entradas]]-STOCK[[#This Row],[Salidas]]</f>
        <v>1</v>
      </c>
      <c r="M1292" s="77">
        <f>STOCK[[#This Row],[Precio Final]]*10%</f>
        <v>1.3</v>
      </c>
      <c r="N1292" s="77">
        <v>0</v>
      </c>
      <c r="O1292" s="77">
        <v>0</v>
      </c>
      <c r="P1292" s="77">
        <v>7</v>
      </c>
      <c r="Q1292" s="92">
        <v>0</v>
      </c>
      <c r="R1292" s="77">
        <v>0</v>
      </c>
      <c r="S1292" s="77">
        <v>0</v>
      </c>
      <c r="T1292" s="76">
        <f>STOCK[[#This Row],[Costo Unitario (USD)]]+STOCK[[#This Row],[Costo Envío (USD)]]+STOCK[[#This Row],[Comisión 10%]]</f>
        <v>8.3</v>
      </c>
      <c r="U1292" s="77">
        <f>STOCK[[#This Row],[Costo total]]*1.5</f>
        <v>12.45</v>
      </c>
      <c r="V1292" s="77">
        <v>13</v>
      </c>
      <c r="W1292" s="77">
        <f>STOCK[[#This Row],[Precio Final]]-STOCK[[#This Row],[Costo total]]</f>
        <v>4.7</v>
      </c>
      <c r="X1292" s="77">
        <f>STOCK[[#This Row],[Ganancia Unitaria]]*STOCK[[#This Row],[Salidas]]</f>
        <v>0</v>
      </c>
      <c r="AA1292" s="77">
        <f>STOCK[[#This Row],[Costo total]]*STOCK[[#This Row],[Entradas]]</f>
        <v>8.3</v>
      </c>
      <c r="AB1292" s="77">
        <f>STOCK[[#This Row],[Stock Actual]]*STOCK[[#This Row],[Costo total]]</f>
        <v>8.3</v>
      </c>
    </row>
    <row r="1293" s="76" customFormat="1" ht="50" hidden="1" customHeight="1" spans="1:28">
      <c r="A1293" s="76" t="s">
        <v>2672</v>
      </c>
      <c r="B1293" s="6"/>
      <c r="C1293" s="76" t="s">
        <v>30</v>
      </c>
      <c r="D1293" s="76" t="s">
        <v>2125</v>
      </c>
      <c r="E1293" s="76" t="s">
        <v>2673</v>
      </c>
      <c r="F1293" s="76" t="s">
        <v>60</v>
      </c>
      <c r="H1293" s="76">
        <f>STOCK[[#This Row],[Precio Final]]</f>
        <v>28</v>
      </c>
      <c r="I1293" s="76">
        <f>STOCK[[#This Row],[Precio Venta Ideal (x1.5)]]</f>
        <v>19.8</v>
      </c>
      <c r="J1293" s="91">
        <v>1</v>
      </c>
      <c r="K1293" s="91">
        <f>SUMIFS(VENTAS[Cantidad],VENTAS[Código del producto Vendido],STOCK[[#This Row],[Code]])</f>
        <v>1</v>
      </c>
      <c r="L1293" s="91">
        <f>STOCK[[#This Row],[Entradas]]-STOCK[[#This Row],[Salidas]]</f>
        <v>0</v>
      </c>
      <c r="M1293" s="76">
        <f>STOCK[[#This Row],[Precio Final]]*10%</f>
        <v>2.8</v>
      </c>
      <c r="N1293" s="76">
        <v>0</v>
      </c>
      <c r="O1293" s="76">
        <v>0</v>
      </c>
      <c r="P1293" s="76">
        <v>8.43</v>
      </c>
      <c r="Q1293" s="91">
        <v>0</v>
      </c>
      <c r="R1293" s="76">
        <v>0</v>
      </c>
      <c r="S1293" s="77">
        <v>1.97</v>
      </c>
      <c r="T1293" s="76">
        <f>STOCK[[#This Row],[Costo Unitario (USD)]]+STOCK[[#This Row],[Costo Envío (USD)]]+STOCK[[#This Row],[Comisión 10%]]</f>
        <v>13.2</v>
      </c>
      <c r="U1293" s="76">
        <f>STOCK[[#This Row],[Costo total]]*1.5</f>
        <v>19.8</v>
      </c>
      <c r="V1293" s="76">
        <v>28</v>
      </c>
      <c r="W1293" s="76">
        <f>STOCK[[#This Row],[Precio Final]]-STOCK[[#This Row],[Costo total]]</f>
        <v>14.8</v>
      </c>
      <c r="X1293" s="76">
        <f>STOCK[[#This Row],[Ganancia Unitaria]]*STOCK[[#This Row],[Salidas]]</f>
        <v>14.8</v>
      </c>
      <c r="AA1293" s="76">
        <f>STOCK[[#This Row],[Costo total]]*STOCK[[#This Row],[Entradas]]</f>
        <v>13.2</v>
      </c>
      <c r="AB1293" s="76">
        <f>STOCK[[#This Row],[Stock Actual]]*STOCK[[#This Row],[Costo total]]</f>
        <v>0</v>
      </c>
    </row>
    <row r="1294" s="77" customFormat="1" ht="50" hidden="1" customHeight="1" spans="1:28">
      <c r="A1294" s="77" t="s">
        <v>2674</v>
      </c>
      <c r="B1294" s="6"/>
      <c r="C1294" s="77" t="s">
        <v>30</v>
      </c>
      <c r="D1294" s="77" t="s">
        <v>2125</v>
      </c>
      <c r="E1294" s="77" t="s">
        <v>2673</v>
      </c>
      <c r="F1294" s="77" t="s">
        <v>47</v>
      </c>
      <c r="H1294" s="77">
        <f>STOCK[[#This Row],[Precio Final]]</f>
        <v>28</v>
      </c>
      <c r="I1294" s="77">
        <f>STOCK[[#This Row],[Precio Venta Ideal (x1.5)]]</f>
        <v>19.8</v>
      </c>
      <c r="J1294" s="92">
        <v>2</v>
      </c>
      <c r="K1294" s="92">
        <f>SUMIFS(VENTAS[Cantidad],VENTAS[Código del producto Vendido],STOCK[[#This Row],[Code]])</f>
        <v>2</v>
      </c>
      <c r="L1294" s="92">
        <f>STOCK[[#This Row],[Entradas]]-STOCK[[#This Row],[Salidas]]</f>
        <v>0</v>
      </c>
      <c r="M1294" s="77">
        <f>STOCK[[#This Row],[Precio Final]]*10%</f>
        <v>2.8</v>
      </c>
      <c r="N1294" s="77">
        <v>0</v>
      </c>
      <c r="O1294" s="77">
        <v>0</v>
      </c>
      <c r="P1294" s="77">
        <v>8.43</v>
      </c>
      <c r="Q1294" s="92">
        <v>0</v>
      </c>
      <c r="R1294" s="77">
        <v>0</v>
      </c>
      <c r="S1294" s="77">
        <v>1.97</v>
      </c>
      <c r="T1294" s="76">
        <f>STOCK[[#This Row],[Costo Unitario (USD)]]+STOCK[[#This Row],[Costo Envío (USD)]]+STOCK[[#This Row],[Comisión 10%]]</f>
        <v>13.2</v>
      </c>
      <c r="U1294" s="77">
        <f>STOCK[[#This Row],[Costo total]]*1.5</f>
        <v>19.8</v>
      </c>
      <c r="V1294" s="77">
        <v>28</v>
      </c>
      <c r="W1294" s="77">
        <f>STOCK[[#This Row],[Precio Final]]-STOCK[[#This Row],[Costo total]]</f>
        <v>14.8</v>
      </c>
      <c r="X1294" s="77">
        <f>STOCK[[#This Row],[Ganancia Unitaria]]*STOCK[[#This Row],[Salidas]]</f>
        <v>29.6</v>
      </c>
      <c r="AA1294" s="77">
        <f>STOCK[[#This Row],[Costo total]]*STOCK[[#This Row],[Entradas]]</f>
        <v>26.4</v>
      </c>
      <c r="AB1294" s="77">
        <f>STOCK[[#This Row],[Stock Actual]]*STOCK[[#This Row],[Costo total]]</f>
        <v>0</v>
      </c>
    </row>
    <row r="1295" s="76" customFormat="1" ht="50" hidden="1" customHeight="1" spans="1:28">
      <c r="A1295" s="76" t="s">
        <v>2675</v>
      </c>
      <c r="B1295" s="6"/>
      <c r="C1295" s="76" t="s">
        <v>30</v>
      </c>
      <c r="D1295" s="76" t="s">
        <v>1749</v>
      </c>
      <c r="E1295" s="76" t="s">
        <v>2673</v>
      </c>
      <c r="F1295" s="76" t="s">
        <v>44</v>
      </c>
      <c r="H1295" s="76">
        <f>STOCK[[#This Row],[Precio Final]]</f>
        <v>28</v>
      </c>
      <c r="I1295" s="76">
        <f>STOCK[[#This Row],[Precio Venta Ideal (x1.5)]]</f>
        <v>19.815</v>
      </c>
      <c r="J1295" s="91">
        <v>2</v>
      </c>
      <c r="K1295" s="91">
        <f>SUMIFS(VENTAS[Cantidad],VENTAS[Código del producto Vendido],STOCK[[#This Row],[Code]])</f>
        <v>1</v>
      </c>
      <c r="L1295" s="91">
        <f>STOCK[[#This Row],[Entradas]]-STOCK[[#This Row],[Salidas]]</f>
        <v>1</v>
      </c>
      <c r="M1295" s="76">
        <f>STOCK[[#This Row],[Precio Final]]*10%</f>
        <v>2.8</v>
      </c>
      <c r="N1295" s="76">
        <v>0</v>
      </c>
      <c r="O1295" s="76">
        <v>0</v>
      </c>
      <c r="P1295" s="77">
        <v>8.44</v>
      </c>
      <c r="Q1295" s="91">
        <v>0</v>
      </c>
      <c r="R1295" s="76">
        <v>0</v>
      </c>
      <c r="S1295" s="77">
        <v>1.97</v>
      </c>
      <c r="T1295" s="76">
        <f>STOCK[[#This Row],[Costo Unitario (USD)]]+STOCK[[#This Row],[Costo Envío (USD)]]+STOCK[[#This Row],[Comisión 10%]]</f>
        <v>13.21</v>
      </c>
      <c r="U1295" s="76">
        <f>STOCK[[#This Row],[Costo total]]*1.5</f>
        <v>19.815</v>
      </c>
      <c r="V1295" s="76">
        <v>28</v>
      </c>
      <c r="W1295" s="76">
        <f>STOCK[[#This Row],[Precio Final]]-STOCK[[#This Row],[Costo total]]</f>
        <v>14.79</v>
      </c>
      <c r="X1295" s="76">
        <f>STOCK[[#This Row],[Ganancia Unitaria]]*STOCK[[#This Row],[Salidas]]</f>
        <v>14.79</v>
      </c>
      <c r="AA1295" s="76">
        <f>STOCK[[#This Row],[Costo total]]*STOCK[[#This Row],[Entradas]]</f>
        <v>26.42</v>
      </c>
      <c r="AB1295" s="76">
        <f>STOCK[[#This Row],[Stock Actual]]*STOCK[[#This Row],[Costo total]]</f>
        <v>13.21</v>
      </c>
    </row>
    <row r="1296" s="77" customFormat="1" ht="50" hidden="1" customHeight="1" spans="1:28">
      <c r="A1296" s="77" t="s">
        <v>2676</v>
      </c>
      <c r="B1296" s="6"/>
      <c r="C1296" s="77" t="s">
        <v>30</v>
      </c>
      <c r="D1296" s="77" t="s">
        <v>1749</v>
      </c>
      <c r="E1296" s="77" t="s">
        <v>2673</v>
      </c>
      <c r="F1296" s="77" t="s">
        <v>40</v>
      </c>
      <c r="H1296" s="77">
        <f>STOCK[[#This Row],[Precio Final]]</f>
        <v>28</v>
      </c>
      <c r="I1296" s="77">
        <f>STOCK[[#This Row],[Precio Venta Ideal (x1.5)]]</f>
        <v>19.8</v>
      </c>
      <c r="J1296" s="92">
        <v>2</v>
      </c>
      <c r="K1296" s="92">
        <f>SUMIFS(VENTAS[Cantidad],VENTAS[Código del producto Vendido],STOCK[[#This Row],[Code]])</f>
        <v>2</v>
      </c>
      <c r="L1296" s="92">
        <f>STOCK[[#This Row],[Entradas]]-STOCK[[#This Row],[Salidas]]</f>
        <v>0</v>
      </c>
      <c r="M1296" s="77">
        <f>STOCK[[#This Row],[Precio Final]]*10%</f>
        <v>2.8</v>
      </c>
      <c r="N1296" s="77">
        <v>0</v>
      </c>
      <c r="O1296" s="77">
        <v>0</v>
      </c>
      <c r="P1296" s="77">
        <v>8.43</v>
      </c>
      <c r="Q1296" s="92">
        <v>0</v>
      </c>
      <c r="R1296" s="77">
        <v>0</v>
      </c>
      <c r="S1296" s="77">
        <v>1.97</v>
      </c>
      <c r="T1296" s="76">
        <f>STOCK[[#This Row],[Costo Unitario (USD)]]+STOCK[[#This Row],[Costo Envío (USD)]]+STOCK[[#This Row],[Comisión 10%]]</f>
        <v>13.2</v>
      </c>
      <c r="U1296" s="77">
        <f>STOCK[[#This Row],[Costo total]]*1.5</f>
        <v>19.8</v>
      </c>
      <c r="V1296" s="77">
        <v>28</v>
      </c>
      <c r="W1296" s="77">
        <f>STOCK[[#This Row],[Precio Final]]-STOCK[[#This Row],[Costo total]]</f>
        <v>14.8</v>
      </c>
      <c r="X1296" s="77">
        <f>STOCK[[#This Row],[Ganancia Unitaria]]*STOCK[[#This Row],[Salidas]]</f>
        <v>29.6</v>
      </c>
      <c r="AA1296" s="77">
        <f>STOCK[[#This Row],[Costo total]]*STOCK[[#This Row],[Entradas]]</f>
        <v>26.4</v>
      </c>
      <c r="AB1296" s="77">
        <f>STOCK[[#This Row],[Stock Actual]]*STOCK[[#This Row],[Costo total]]</f>
        <v>0</v>
      </c>
    </row>
    <row r="1297" s="76" customFormat="1" ht="50" hidden="1" customHeight="1" spans="1:28">
      <c r="A1297" s="76" t="s">
        <v>2677</v>
      </c>
      <c r="B1297" s="6"/>
      <c r="C1297" s="76" t="s">
        <v>30</v>
      </c>
      <c r="D1297" s="76" t="s">
        <v>1188</v>
      </c>
      <c r="E1297" s="76" t="s">
        <v>2678</v>
      </c>
      <c r="F1297" s="76" t="s">
        <v>60</v>
      </c>
      <c r="H1297" s="76">
        <f>STOCK[[#This Row],[Precio Final]]</f>
        <v>20</v>
      </c>
      <c r="I1297" s="76">
        <f>STOCK[[#This Row],[Precio Venta Ideal (x1.5)]]</f>
        <v>22.725</v>
      </c>
      <c r="J1297" s="91">
        <v>1</v>
      </c>
      <c r="K1297" s="91">
        <f>SUMIFS(VENTAS[Cantidad],VENTAS[Código del producto Vendido],STOCK[[#This Row],[Code]])</f>
        <v>1</v>
      </c>
      <c r="L1297" s="91">
        <f>STOCK[[#This Row],[Entradas]]-STOCK[[#This Row],[Salidas]]</f>
        <v>0</v>
      </c>
      <c r="M1297" s="76">
        <f>STOCK[[#This Row],[Precio Final]]*10%</f>
        <v>2</v>
      </c>
      <c r="N1297" s="76">
        <v>0</v>
      </c>
      <c r="O1297" s="76">
        <v>0</v>
      </c>
      <c r="P1297" s="76">
        <v>11.18</v>
      </c>
      <c r="Q1297" s="91">
        <v>0</v>
      </c>
      <c r="R1297" s="76">
        <v>0</v>
      </c>
      <c r="S1297" s="77">
        <v>1.97</v>
      </c>
      <c r="T1297" s="76">
        <f>STOCK[[#This Row],[Costo Unitario (USD)]]+STOCK[[#This Row],[Costo Envío (USD)]]+STOCK[[#This Row],[Comisión 10%]]</f>
        <v>15.15</v>
      </c>
      <c r="U1297" s="76">
        <f>STOCK[[#This Row],[Costo total]]*1.5</f>
        <v>22.725</v>
      </c>
      <c r="V1297" s="76">
        <v>20</v>
      </c>
      <c r="W1297" s="76">
        <f>STOCK[[#This Row],[Precio Final]]-STOCK[[#This Row],[Costo total]]</f>
        <v>4.85</v>
      </c>
      <c r="X1297" s="76">
        <f>STOCK[[#This Row],[Ganancia Unitaria]]*STOCK[[#This Row],[Salidas]]</f>
        <v>4.85</v>
      </c>
      <c r="AA1297" s="76">
        <f>STOCK[[#This Row],[Costo total]]*STOCK[[#This Row],[Entradas]]</f>
        <v>15.15</v>
      </c>
      <c r="AB1297" s="76">
        <f>STOCK[[#This Row],[Stock Actual]]*STOCK[[#This Row],[Costo total]]</f>
        <v>0</v>
      </c>
    </row>
    <row r="1298" s="77" customFormat="1" ht="50" hidden="1" customHeight="1" spans="1:28">
      <c r="A1298" s="77" t="s">
        <v>2679</v>
      </c>
      <c r="B1298" s="6"/>
      <c r="C1298" s="77" t="s">
        <v>30</v>
      </c>
      <c r="D1298" s="77" t="s">
        <v>1188</v>
      </c>
      <c r="E1298" s="77" t="s">
        <v>2680</v>
      </c>
      <c r="F1298" s="77" t="s">
        <v>38</v>
      </c>
      <c r="H1298" s="77">
        <f>STOCK[[#This Row],[Precio Final]]</f>
        <v>8</v>
      </c>
      <c r="I1298" s="77">
        <f>STOCK[[#This Row],[Precio Venta Ideal (x1.5)]]</f>
        <v>8.07</v>
      </c>
      <c r="J1298" s="92">
        <v>1</v>
      </c>
      <c r="K1298" s="92">
        <f>SUMIFS(VENTAS[Cantidad],VENTAS[Código del producto Vendido],STOCK[[#This Row],[Code]])</f>
        <v>1</v>
      </c>
      <c r="L1298" s="92">
        <f>STOCK[[#This Row],[Entradas]]-STOCK[[#This Row],[Salidas]]</f>
        <v>0</v>
      </c>
      <c r="M1298" s="77">
        <f>STOCK[[#This Row],[Precio Final]]*10%</f>
        <v>0.8</v>
      </c>
      <c r="N1298" s="77">
        <v>0</v>
      </c>
      <c r="O1298" s="77">
        <v>0</v>
      </c>
      <c r="P1298" s="77">
        <v>2.61</v>
      </c>
      <c r="Q1298" s="92">
        <v>0</v>
      </c>
      <c r="R1298" s="77">
        <v>0</v>
      </c>
      <c r="S1298" s="77">
        <v>1.97</v>
      </c>
      <c r="T1298" s="76">
        <f>STOCK[[#This Row],[Costo Unitario (USD)]]+STOCK[[#This Row],[Costo Envío (USD)]]+STOCK[[#This Row],[Comisión 10%]]</f>
        <v>5.38</v>
      </c>
      <c r="U1298" s="77">
        <f>STOCK[[#This Row],[Costo total]]*1.5</f>
        <v>8.07</v>
      </c>
      <c r="V1298" s="77">
        <v>8</v>
      </c>
      <c r="W1298" s="77">
        <f>STOCK[[#This Row],[Precio Final]]-STOCK[[#This Row],[Costo total]]</f>
        <v>2.62</v>
      </c>
      <c r="X1298" s="77">
        <f>STOCK[[#This Row],[Ganancia Unitaria]]*STOCK[[#This Row],[Salidas]]</f>
        <v>2.62</v>
      </c>
      <c r="AA1298" s="77">
        <f>STOCK[[#This Row],[Costo total]]*STOCK[[#This Row],[Entradas]]</f>
        <v>5.38</v>
      </c>
      <c r="AB1298" s="77">
        <f>STOCK[[#This Row],[Stock Actual]]*STOCK[[#This Row],[Costo total]]</f>
        <v>0</v>
      </c>
    </row>
    <row r="1299" s="76" customFormat="1" ht="50" hidden="1" customHeight="1" spans="1:28">
      <c r="A1299" s="76" t="s">
        <v>2681</v>
      </c>
      <c r="B1299" s="6"/>
      <c r="C1299" s="76" t="s">
        <v>30</v>
      </c>
      <c r="D1299" s="76" t="s">
        <v>1188</v>
      </c>
      <c r="E1299" s="76" t="s">
        <v>2682</v>
      </c>
      <c r="F1299" s="76" t="s">
        <v>38</v>
      </c>
      <c r="H1299" s="76">
        <f>STOCK[[#This Row],[Precio Final]]</f>
        <v>5</v>
      </c>
      <c r="I1299" s="76">
        <f>STOCK[[#This Row],[Precio Venta Ideal (x1.5)]]</f>
        <v>4.26</v>
      </c>
      <c r="J1299" s="91">
        <v>1</v>
      </c>
      <c r="K1299" s="91">
        <f>SUMIFS(VENTAS[Cantidad],VENTAS[Código del producto Vendido],STOCK[[#This Row],[Code]])</f>
        <v>0</v>
      </c>
      <c r="L1299" s="91">
        <f>STOCK[[#This Row],[Entradas]]-STOCK[[#This Row],[Salidas]]</f>
        <v>1</v>
      </c>
      <c r="M1299" s="76">
        <f>STOCK[[#This Row],[Precio Final]]*10%</f>
        <v>0.5</v>
      </c>
      <c r="N1299" s="76">
        <v>0</v>
      </c>
      <c r="O1299" s="76">
        <v>0</v>
      </c>
      <c r="P1299" s="76">
        <v>1.84</v>
      </c>
      <c r="Q1299" s="91">
        <v>0</v>
      </c>
      <c r="R1299" s="76">
        <v>0</v>
      </c>
      <c r="S1299" s="77">
        <v>0.5</v>
      </c>
      <c r="T1299" s="76">
        <f>STOCK[[#This Row],[Costo Unitario (USD)]]+STOCK[[#This Row],[Costo Envío (USD)]]+STOCK[[#This Row],[Comisión 10%]]</f>
        <v>2.84</v>
      </c>
      <c r="U1299" s="76">
        <f>STOCK[[#This Row],[Costo total]]*1.5</f>
        <v>4.26</v>
      </c>
      <c r="V1299" s="76">
        <v>5</v>
      </c>
      <c r="W1299" s="76">
        <f>STOCK[[#This Row],[Precio Final]]-STOCK[[#This Row],[Costo total]]</f>
        <v>2.16</v>
      </c>
      <c r="X1299" s="76">
        <f>STOCK[[#This Row],[Ganancia Unitaria]]*STOCK[[#This Row],[Salidas]]</f>
        <v>0</v>
      </c>
      <c r="AA1299" s="76">
        <f>STOCK[[#This Row],[Costo total]]*STOCK[[#This Row],[Entradas]]</f>
        <v>2.84</v>
      </c>
      <c r="AB1299" s="76">
        <f>STOCK[[#This Row],[Stock Actual]]*STOCK[[#This Row],[Costo total]]</f>
        <v>2.84</v>
      </c>
    </row>
    <row r="1300" s="77" customFormat="1" ht="50" hidden="1" customHeight="1" spans="1:28">
      <c r="A1300" s="77" t="s">
        <v>2683</v>
      </c>
      <c r="B1300" s="6"/>
      <c r="C1300" s="77" t="s">
        <v>30</v>
      </c>
      <c r="D1300" s="77" t="s">
        <v>1188</v>
      </c>
      <c r="E1300" s="77" t="s">
        <v>2684</v>
      </c>
      <c r="F1300" s="77" t="s">
        <v>38</v>
      </c>
      <c r="H1300" s="77">
        <f>STOCK[[#This Row],[Precio Final]]</f>
        <v>22</v>
      </c>
      <c r="I1300" s="77">
        <f>STOCK[[#This Row],[Precio Venta Ideal (x1.5)]]</f>
        <v>22.335</v>
      </c>
      <c r="J1300" s="92">
        <v>1</v>
      </c>
      <c r="K1300" s="92">
        <f>SUMIFS(VENTAS[Cantidad],VENTAS[Código del producto Vendido],STOCK[[#This Row],[Code]])</f>
        <v>1</v>
      </c>
      <c r="L1300" s="92">
        <f>STOCK[[#This Row],[Entradas]]-STOCK[[#This Row],[Salidas]]</f>
        <v>0</v>
      </c>
      <c r="M1300" s="77">
        <f>STOCK[[#This Row],[Precio Final]]*10%</f>
        <v>2.2</v>
      </c>
      <c r="N1300" s="77">
        <v>0</v>
      </c>
      <c r="O1300" s="77">
        <v>0</v>
      </c>
      <c r="P1300" s="77">
        <v>10.72</v>
      </c>
      <c r="Q1300" s="92">
        <v>0</v>
      </c>
      <c r="R1300" s="77">
        <v>0</v>
      </c>
      <c r="S1300" s="77">
        <v>1.97</v>
      </c>
      <c r="T1300" s="76">
        <f>STOCK[[#This Row],[Costo Unitario (USD)]]+STOCK[[#This Row],[Costo Envío (USD)]]+STOCK[[#This Row],[Comisión 10%]]</f>
        <v>14.89</v>
      </c>
      <c r="U1300" s="77">
        <f>STOCK[[#This Row],[Costo total]]*1.5</f>
        <v>22.335</v>
      </c>
      <c r="V1300" s="77">
        <v>22</v>
      </c>
      <c r="W1300" s="77">
        <f>STOCK[[#This Row],[Precio Final]]-STOCK[[#This Row],[Costo total]]</f>
        <v>7.11</v>
      </c>
      <c r="X1300" s="77">
        <f>STOCK[[#This Row],[Ganancia Unitaria]]*STOCK[[#This Row],[Salidas]]</f>
        <v>7.11</v>
      </c>
      <c r="AA1300" s="77">
        <f>STOCK[[#This Row],[Costo total]]*STOCK[[#This Row],[Entradas]]</f>
        <v>14.89</v>
      </c>
      <c r="AB1300" s="77">
        <f>STOCK[[#This Row],[Stock Actual]]*STOCK[[#This Row],[Costo total]]</f>
        <v>0</v>
      </c>
    </row>
    <row r="1301" s="76" customFormat="1" ht="50" hidden="1" customHeight="1" spans="1:28">
      <c r="A1301" s="76" t="s">
        <v>2685</v>
      </c>
      <c r="B1301" s="6"/>
      <c r="C1301" s="76" t="s">
        <v>30</v>
      </c>
      <c r="D1301" s="76" t="s">
        <v>1210</v>
      </c>
      <c r="E1301" s="76" t="s">
        <v>2686</v>
      </c>
      <c r="F1301" s="76" t="s">
        <v>38</v>
      </c>
      <c r="H1301" s="76">
        <f>STOCK[[#This Row],[Precio Final]]</f>
        <v>20</v>
      </c>
      <c r="I1301" s="76">
        <f>STOCK[[#This Row],[Precio Venta Ideal (x1.5)]]</f>
        <v>18.165</v>
      </c>
      <c r="J1301" s="91">
        <v>1</v>
      </c>
      <c r="K1301" s="91">
        <f>SUMIFS(VENTAS[Cantidad],VENTAS[Código del producto Vendido],STOCK[[#This Row],[Code]])</f>
        <v>0</v>
      </c>
      <c r="L1301" s="91">
        <f>STOCK[[#This Row],[Entradas]]-STOCK[[#This Row],[Salidas]]</f>
        <v>1</v>
      </c>
      <c r="M1301" s="76">
        <f>STOCK[[#This Row],[Precio Final]]*10%</f>
        <v>2</v>
      </c>
      <c r="N1301" s="76">
        <v>0</v>
      </c>
      <c r="O1301" s="76">
        <v>0</v>
      </c>
      <c r="P1301" s="76">
        <v>8.14</v>
      </c>
      <c r="Q1301" s="91">
        <v>0</v>
      </c>
      <c r="R1301" s="76">
        <v>0</v>
      </c>
      <c r="S1301" s="77">
        <v>1.97</v>
      </c>
      <c r="T1301" s="76">
        <f>STOCK[[#This Row],[Costo Unitario (USD)]]+STOCK[[#This Row],[Costo Envío (USD)]]+STOCK[[#This Row],[Comisión 10%]]</f>
        <v>12.11</v>
      </c>
      <c r="U1301" s="76">
        <f>STOCK[[#This Row],[Costo total]]*1.5</f>
        <v>18.165</v>
      </c>
      <c r="V1301" s="76">
        <v>20</v>
      </c>
      <c r="W1301" s="76">
        <f>STOCK[[#This Row],[Precio Final]]-STOCK[[#This Row],[Costo total]]</f>
        <v>7.89</v>
      </c>
      <c r="X1301" s="76">
        <f>STOCK[[#This Row],[Ganancia Unitaria]]*STOCK[[#This Row],[Salidas]]</f>
        <v>0</v>
      </c>
      <c r="AA1301" s="76">
        <f>STOCK[[#This Row],[Costo total]]*STOCK[[#This Row],[Entradas]]</f>
        <v>12.11</v>
      </c>
      <c r="AB1301" s="76">
        <f>STOCK[[#This Row],[Stock Actual]]*STOCK[[#This Row],[Costo total]]</f>
        <v>12.11</v>
      </c>
    </row>
    <row r="1302" s="77" customFormat="1" ht="50" hidden="1" customHeight="1" spans="1:28">
      <c r="A1302" s="77" t="s">
        <v>2687</v>
      </c>
      <c r="B1302" s="6"/>
      <c r="C1302" s="77" t="s">
        <v>30</v>
      </c>
      <c r="D1302" s="77" t="s">
        <v>1210</v>
      </c>
      <c r="E1302" s="77" t="s">
        <v>2688</v>
      </c>
      <c r="F1302" s="77" t="s">
        <v>60</v>
      </c>
      <c r="H1302" s="77">
        <f>STOCK[[#This Row],[Precio Final]]</f>
        <v>18</v>
      </c>
      <c r="I1302" s="77">
        <f>STOCK[[#This Row],[Precio Venta Ideal (x1.5)]]</f>
        <v>17.88</v>
      </c>
      <c r="J1302" s="92">
        <v>1</v>
      </c>
      <c r="K1302" s="92">
        <f>SUMIFS(VENTAS[Cantidad],VENTAS[Código del producto Vendido],STOCK[[#This Row],[Code]])</f>
        <v>1</v>
      </c>
      <c r="L1302" s="92">
        <f>STOCK[[#This Row],[Entradas]]-STOCK[[#This Row],[Salidas]]</f>
        <v>0</v>
      </c>
      <c r="M1302" s="77">
        <f>STOCK[[#This Row],[Precio Final]]*10%</f>
        <v>1.8</v>
      </c>
      <c r="N1302" s="77">
        <v>0</v>
      </c>
      <c r="O1302" s="77">
        <v>0</v>
      </c>
      <c r="P1302" s="77">
        <v>8.15</v>
      </c>
      <c r="Q1302" s="92">
        <v>0</v>
      </c>
      <c r="R1302" s="77">
        <v>0</v>
      </c>
      <c r="S1302" s="77">
        <v>1.97</v>
      </c>
      <c r="T1302" s="76">
        <f>STOCK[[#This Row],[Costo Unitario (USD)]]+STOCK[[#This Row],[Costo Envío (USD)]]+STOCK[[#This Row],[Comisión 10%]]</f>
        <v>11.92</v>
      </c>
      <c r="U1302" s="77">
        <f>STOCK[[#This Row],[Costo total]]*1.5</f>
        <v>17.88</v>
      </c>
      <c r="V1302" s="77">
        <v>18</v>
      </c>
      <c r="W1302" s="77">
        <f>STOCK[[#This Row],[Precio Final]]-STOCK[[#This Row],[Costo total]]</f>
        <v>6.08</v>
      </c>
      <c r="X1302" s="77">
        <f>STOCK[[#This Row],[Ganancia Unitaria]]*STOCK[[#This Row],[Salidas]]</f>
        <v>6.08</v>
      </c>
      <c r="AA1302" s="77">
        <f>STOCK[[#This Row],[Costo total]]*STOCK[[#This Row],[Entradas]]</f>
        <v>11.92</v>
      </c>
      <c r="AB1302" s="77">
        <f>STOCK[[#This Row],[Stock Actual]]*STOCK[[#This Row],[Costo total]]</f>
        <v>0</v>
      </c>
    </row>
    <row r="1303" s="76" customFormat="1" ht="50" hidden="1" customHeight="1" spans="1:28">
      <c r="A1303" s="76" t="s">
        <v>2689</v>
      </c>
      <c r="B1303" s="6"/>
      <c r="C1303" s="76" t="s">
        <v>30</v>
      </c>
      <c r="D1303" s="76" t="s">
        <v>2125</v>
      </c>
      <c r="E1303" s="76" t="s">
        <v>2690</v>
      </c>
      <c r="F1303" s="76" t="s">
        <v>60</v>
      </c>
      <c r="H1303" s="76">
        <f>STOCK[[#This Row],[Precio Final]]</f>
        <v>25</v>
      </c>
      <c r="I1303" s="76">
        <f>STOCK[[#This Row],[Precio Venta Ideal (x1.5)]]</f>
        <v>22.17</v>
      </c>
      <c r="J1303" s="91">
        <v>1</v>
      </c>
      <c r="K1303" s="91">
        <f>SUMIFS(VENTAS[Cantidad],VENTAS[Código del producto Vendido],STOCK[[#This Row],[Code]])</f>
        <v>1</v>
      </c>
      <c r="L1303" s="91">
        <f>STOCK[[#This Row],[Entradas]]-STOCK[[#This Row],[Salidas]]</f>
        <v>0</v>
      </c>
      <c r="M1303" s="76">
        <f>STOCK[[#This Row],[Precio Final]]*10%</f>
        <v>2.5</v>
      </c>
      <c r="N1303" s="76">
        <v>0</v>
      </c>
      <c r="O1303" s="76">
        <v>0</v>
      </c>
      <c r="P1303" s="76">
        <v>10.31</v>
      </c>
      <c r="Q1303" s="91">
        <v>0</v>
      </c>
      <c r="R1303" s="76">
        <v>0</v>
      </c>
      <c r="S1303" s="77">
        <v>1.97</v>
      </c>
      <c r="T1303" s="76">
        <f>STOCK[[#This Row],[Costo Unitario (USD)]]+STOCK[[#This Row],[Costo Envío (USD)]]+STOCK[[#This Row],[Comisión 10%]]</f>
        <v>14.78</v>
      </c>
      <c r="U1303" s="76">
        <f>STOCK[[#This Row],[Costo total]]*1.5</f>
        <v>22.17</v>
      </c>
      <c r="V1303" s="76">
        <v>25</v>
      </c>
      <c r="W1303" s="76">
        <f>STOCK[[#This Row],[Precio Final]]-STOCK[[#This Row],[Costo total]]</f>
        <v>10.22</v>
      </c>
      <c r="X1303" s="76">
        <f>STOCK[[#This Row],[Ganancia Unitaria]]*STOCK[[#This Row],[Salidas]]</f>
        <v>10.22</v>
      </c>
      <c r="AA1303" s="76">
        <f>STOCK[[#This Row],[Costo total]]*STOCK[[#This Row],[Entradas]]</f>
        <v>14.78</v>
      </c>
      <c r="AB1303" s="76">
        <f>STOCK[[#This Row],[Stock Actual]]*STOCK[[#This Row],[Costo total]]</f>
        <v>0</v>
      </c>
    </row>
    <row r="1304" s="77" customFormat="1" ht="50" hidden="1" customHeight="1" spans="1:28">
      <c r="A1304" s="77" t="s">
        <v>2691</v>
      </c>
      <c r="B1304" s="6"/>
      <c r="C1304" s="77" t="s">
        <v>30</v>
      </c>
      <c r="D1304" s="77" t="s">
        <v>391</v>
      </c>
      <c r="E1304" s="77" t="s">
        <v>2692</v>
      </c>
      <c r="H1304" s="77">
        <f>STOCK[[#This Row],[Precio Final]]</f>
        <v>40</v>
      </c>
      <c r="I1304" s="77">
        <f>STOCK[[#This Row],[Precio Venta Ideal (x1.5)]]</f>
        <v>30.555</v>
      </c>
      <c r="J1304" s="92">
        <v>1</v>
      </c>
      <c r="K1304" s="92">
        <f>SUMIFS(VENTAS[Cantidad],VENTAS[Código del producto Vendido],STOCK[[#This Row],[Code]])</f>
        <v>1</v>
      </c>
      <c r="L1304" s="92">
        <f>STOCK[[#This Row],[Entradas]]-STOCK[[#This Row],[Salidas]]</f>
        <v>0</v>
      </c>
      <c r="M1304" s="77">
        <f>STOCK[[#This Row],[Precio Final]]*10%</f>
        <v>4</v>
      </c>
      <c r="N1304" s="76">
        <v>0</v>
      </c>
      <c r="O1304" s="76">
        <v>0</v>
      </c>
      <c r="P1304" s="77">
        <v>14.4</v>
      </c>
      <c r="Q1304" s="92">
        <v>0</v>
      </c>
      <c r="R1304" s="77">
        <v>0</v>
      </c>
      <c r="S1304" s="77">
        <v>1.97</v>
      </c>
      <c r="T1304" s="76">
        <f>STOCK[[#This Row],[Costo Unitario (USD)]]+STOCK[[#This Row],[Costo Envío (USD)]]+STOCK[[#This Row],[Comisión 10%]]</f>
        <v>20.37</v>
      </c>
      <c r="U1304" s="77">
        <f>STOCK[[#This Row],[Costo total]]*1.5</f>
        <v>30.555</v>
      </c>
      <c r="V1304" s="77">
        <v>40</v>
      </c>
      <c r="W1304" s="77">
        <f>STOCK[[#This Row],[Precio Final]]-STOCK[[#This Row],[Costo total]]</f>
        <v>19.63</v>
      </c>
      <c r="X1304" s="77">
        <f>STOCK[[#This Row],[Ganancia Unitaria]]*STOCK[[#This Row],[Salidas]]</f>
        <v>19.63</v>
      </c>
      <c r="AA1304" s="77">
        <f>STOCK[[#This Row],[Costo total]]*STOCK[[#This Row],[Entradas]]</f>
        <v>20.37</v>
      </c>
      <c r="AB1304" s="77">
        <f>STOCK[[#This Row],[Stock Actual]]*STOCK[[#This Row],[Costo total]]</f>
        <v>0</v>
      </c>
    </row>
    <row r="1305" s="76" customFormat="1" ht="50" hidden="1" customHeight="1" spans="1:28">
      <c r="A1305" s="76" t="s">
        <v>2693</v>
      </c>
      <c r="B1305" s="6"/>
      <c r="C1305" s="76" t="s">
        <v>30</v>
      </c>
      <c r="D1305" s="76" t="s">
        <v>391</v>
      </c>
      <c r="E1305" s="76" t="s">
        <v>2694</v>
      </c>
      <c r="H1305" s="76">
        <f>STOCK[[#This Row],[Precio Final]]</f>
        <v>40</v>
      </c>
      <c r="I1305" s="76">
        <f>STOCK[[#This Row],[Precio Venta Ideal (x1.5)]]</f>
        <v>30.555</v>
      </c>
      <c r="J1305" s="91">
        <v>1</v>
      </c>
      <c r="K1305" s="91">
        <f>SUMIFS(VENTAS[Cantidad],VENTAS[Código del producto Vendido],STOCK[[#This Row],[Code]])</f>
        <v>1</v>
      </c>
      <c r="L1305" s="91">
        <f>STOCK[[#This Row],[Entradas]]-STOCK[[#This Row],[Salidas]]</f>
        <v>0</v>
      </c>
      <c r="M1305" s="76">
        <f>STOCK[[#This Row],[Precio Final]]*10%</f>
        <v>4</v>
      </c>
      <c r="N1305" s="76">
        <v>0</v>
      </c>
      <c r="O1305" s="76">
        <v>0</v>
      </c>
      <c r="P1305" s="77">
        <v>14.4</v>
      </c>
      <c r="Q1305" s="91">
        <v>0</v>
      </c>
      <c r="R1305" s="76">
        <v>0</v>
      </c>
      <c r="S1305" s="77">
        <v>1.97</v>
      </c>
      <c r="T1305" s="76">
        <f>STOCK[[#This Row],[Costo Unitario (USD)]]+STOCK[[#This Row],[Costo Envío (USD)]]+STOCK[[#This Row],[Comisión 10%]]</f>
        <v>20.37</v>
      </c>
      <c r="U1305" s="76">
        <f>STOCK[[#This Row],[Costo total]]*1.5</f>
        <v>30.555</v>
      </c>
      <c r="V1305" s="76">
        <v>40</v>
      </c>
      <c r="W1305" s="76">
        <f>STOCK[[#This Row],[Precio Final]]-STOCK[[#This Row],[Costo total]]</f>
        <v>19.63</v>
      </c>
      <c r="X1305" s="76">
        <f>STOCK[[#This Row],[Ganancia Unitaria]]*STOCK[[#This Row],[Salidas]]</f>
        <v>19.63</v>
      </c>
      <c r="AA1305" s="76">
        <f>STOCK[[#This Row],[Costo total]]*STOCK[[#This Row],[Entradas]]</f>
        <v>20.37</v>
      </c>
      <c r="AB1305" s="76">
        <f>STOCK[[#This Row],[Stock Actual]]*STOCK[[#This Row],[Costo total]]</f>
        <v>0</v>
      </c>
    </row>
    <row r="1306" s="77" customFormat="1" ht="50" hidden="1" customHeight="1" spans="1:28">
      <c r="A1306" s="77" t="s">
        <v>2695</v>
      </c>
      <c r="B1306" s="6"/>
      <c r="C1306" s="77" t="s">
        <v>30</v>
      </c>
      <c r="D1306" s="76" t="s">
        <v>391</v>
      </c>
      <c r="E1306" s="76" t="s">
        <v>2696</v>
      </c>
      <c r="F1306" s="77" t="s">
        <v>2697</v>
      </c>
      <c r="H1306" s="77">
        <f>STOCK[[#This Row],[Precio Final]]</f>
        <v>40</v>
      </c>
      <c r="I1306" s="77">
        <f>STOCK[[#This Row],[Precio Venta Ideal (x1.5)]]</f>
        <v>30.555</v>
      </c>
      <c r="J1306" s="92">
        <v>1</v>
      </c>
      <c r="K1306" s="92">
        <f>SUMIFS(VENTAS[Cantidad],VENTAS[Código del producto Vendido],STOCK[[#This Row],[Code]])</f>
        <v>1</v>
      </c>
      <c r="L1306" s="92">
        <f>STOCK[[#This Row],[Entradas]]-STOCK[[#This Row],[Salidas]]</f>
        <v>0</v>
      </c>
      <c r="M1306" s="77">
        <f>STOCK[[#This Row],[Precio Final]]*10%</f>
        <v>4</v>
      </c>
      <c r="N1306" s="76">
        <v>0</v>
      </c>
      <c r="O1306" s="76">
        <v>0</v>
      </c>
      <c r="P1306" s="77">
        <v>14.4</v>
      </c>
      <c r="Q1306" s="92">
        <v>0</v>
      </c>
      <c r="R1306" s="77">
        <v>0</v>
      </c>
      <c r="S1306" s="77">
        <v>1.97</v>
      </c>
      <c r="T1306" s="76">
        <f>STOCK[[#This Row],[Costo Unitario (USD)]]+STOCK[[#This Row],[Costo Envío (USD)]]+STOCK[[#This Row],[Comisión 10%]]</f>
        <v>20.37</v>
      </c>
      <c r="U1306" s="77">
        <f>STOCK[[#This Row],[Costo total]]*1.5</f>
        <v>30.555</v>
      </c>
      <c r="V1306" s="77">
        <v>40</v>
      </c>
      <c r="W1306" s="77">
        <f>STOCK[[#This Row],[Precio Final]]-STOCK[[#This Row],[Costo total]]</f>
        <v>19.63</v>
      </c>
      <c r="X1306" s="77">
        <f>STOCK[[#This Row],[Ganancia Unitaria]]*STOCK[[#This Row],[Salidas]]</f>
        <v>19.63</v>
      </c>
      <c r="AA1306" s="77">
        <f>STOCK[[#This Row],[Costo total]]*STOCK[[#This Row],[Entradas]]</f>
        <v>20.37</v>
      </c>
      <c r="AB1306" s="77">
        <f>STOCK[[#This Row],[Stock Actual]]*STOCK[[#This Row],[Costo total]]</f>
        <v>0</v>
      </c>
    </row>
    <row r="1307" s="76" customFormat="1" ht="50" hidden="1" customHeight="1" spans="1:28">
      <c r="A1307" s="76" t="s">
        <v>2698</v>
      </c>
      <c r="C1307" s="76" t="s">
        <v>30</v>
      </c>
      <c r="D1307" s="76" t="s">
        <v>391</v>
      </c>
      <c r="E1307" s="76" t="s">
        <v>2699</v>
      </c>
      <c r="F1307" s="76" t="s">
        <v>2697</v>
      </c>
      <c r="H1307" s="76">
        <f>STOCK[[#This Row],[Precio Final]]</f>
        <v>40</v>
      </c>
      <c r="I1307" s="76">
        <f>STOCK[[#This Row],[Precio Venta Ideal (x1.5)]]</f>
        <v>30.555</v>
      </c>
      <c r="J1307" s="91">
        <v>1</v>
      </c>
      <c r="K1307" s="91">
        <f>SUMIFS(VENTAS[Cantidad],VENTAS[Código del producto Vendido],STOCK[[#This Row],[Code]])</f>
        <v>0</v>
      </c>
      <c r="L1307" s="91">
        <f>STOCK[[#This Row],[Entradas]]-STOCK[[#This Row],[Salidas]]</f>
        <v>1</v>
      </c>
      <c r="M1307" s="76">
        <f>STOCK[[#This Row],[Precio Final]]*10%</f>
        <v>4</v>
      </c>
      <c r="N1307" s="76">
        <v>0</v>
      </c>
      <c r="O1307" s="76">
        <v>0</v>
      </c>
      <c r="P1307" s="77">
        <v>14.4</v>
      </c>
      <c r="Q1307" s="91">
        <v>0</v>
      </c>
      <c r="R1307" s="76">
        <v>0</v>
      </c>
      <c r="S1307" s="77">
        <v>1.97</v>
      </c>
      <c r="T1307" s="76">
        <f>STOCK[[#This Row],[Costo Unitario (USD)]]+STOCK[[#This Row],[Costo Envío (USD)]]+STOCK[[#This Row],[Comisión 10%]]</f>
        <v>20.37</v>
      </c>
      <c r="U1307" s="77">
        <f>STOCK[[#This Row],[Costo total]]*1.5</f>
        <v>30.555</v>
      </c>
      <c r="V1307" s="76">
        <v>40</v>
      </c>
      <c r="W1307" s="76">
        <f>STOCK[[#This Row],[Precio Final]]-STOCK[[#This Row],[Costo total]]</f>
        <v>19.63</v>
      </c>
      <c r="X1307" s="76">
        <f>STOCK[[#This Row],[Ganancia Unitaria]]*STOCK[[#This Row],[Salidas]]</f>
        <v>0</v>
      </c>
      <c r="AA1307" s="76">
        <f>STOCK[[#This Row],[Costo total]]*STOCK[[#This Row],[Entradas]]</f>
        <v>20.37</v>
      </c>
      <c r="AB1307" s="76">
        <f>STOCK[[#This Row],[Stock Actual]]*STOCK[[#This Row],[Costo total]]</f>
        <v>20.37</v>
      </c>
    </row>
    <row r="1308" s="76" customFormat="1" ht="50" hidden="1" customHeight="1" spans="1:29">
      <c r="A1308" s="76" t="s">
        <v>2700</v>
      </c>
      <c r="C1308" s="76" t="s">
        <v>30</v>
      </c>
      <c r="D1308" s="76" t="s">
        <v>391</v>
      </c>
      <c r="E1308" s="76" t="s">
        <v>2701</v>
      </c>
      <c r="F1308" s="94" t="s">
        <v>2702</v>
      </c>
      <c r="G1308" s="94"/>
      <c r="H1308" s="94">
        <f>STOCK[[#This Row],[Precio Final]]</f>
        <v>20</v>
      </c>
      <c r="I1308" s="94">
        <f>STOCK[[#This Row],[Precio Venta Ideal (x1.5)]]</f>
        <v>12</v>
      </c>
      <c r="J1308" s="96">
        <v>1</v>
      </c>
      <c r="K1308" s="96">
        <f>SUMIFS(VENTAS[Cantidad],VENTAS[Código del producto Vendido],STOCK[[#This Row],[Code]])</f>
        <v>1</v>
      </c>
      <c r="L1308" s="96">
        <f>STOCK[[#This Row],[Entradas]]-STOCK[[#This Row],[Salidas]]</f>
        <v>0</v>
      </c>
      <c r="M1308" s="94">
        <f>STOCK[[#This Row],[Precio Final]]*10%</f>
        <v>2</v>
      </c>
      <c r="N1308" s="76">
        <v>0</v>
      </c>
      <c r="O1308" s="76">
        <v>0</v>
      </c>
      <c r="P1308" s="77">
        <v>7.25</v>
      </c>
      <c r="Q1308" s="96">
        <v>0</v>
      </c>
      <c r="R1308" s="94">
        <v>0</v>
      </c>
      <c r="S1308" s="77">
        <v>1.97</v>
      </c>
      <c r="T1308" s="94">
        <f>STOCK[[#This Row],[Costo Unitario (USD)]]+STOCK[[#This Row],[Costo Envío (USD)]]+STOCK[[#This Row],[Comisión 10%]]</f>
        <v>11.22</v>
      </c>
      <c r="U1308" s="77">
        <f>ROUNDUP(T1308,0)</f>
        <v>12</v>
      </c>
      <c r="V1308" s="94">
        <v>20</v>
      </c>
      <c r="W1308" s="94">
        <f>STOCK[[#This Row],[Precio Final]]-STOCK[[#This Row],[Costo total]]</f>
        <v>8.78</v>
      </c>
      <c r="X1308" s="94">
        <f>STOCK[[#This Row],[Ganancia Unitaria]]*STOCK[[#This Row],[Salidas]]</f>
        <v>8.78</v>
      </c>
      <c r="Y1308" s="94"/>
      <c r="Z1308" s="94"/>
      <c r="AA1308" s="94">
        <f>STOCK[[#This Row],[Costo total]]*STOCK[[#This Row],[Entradas]]</f>
        <v>11.22</v>
      </c>
      <c r="AB1308" s="94">
        <f>STOCK[[#This Row],[Stock Actual]]*STOCK[[#This Row],[Costo total]]</f>
        <v>0</v>
      </c>
      <c r="AC1308" s="94"/>
    </row>
    <row r="1309" s="77" customFormat="1" ht="50" hidden="1" customHeight="1" spans="1:29">
      <c r="A1309" s="76" t="s">
        <v>2703</v>
      </c>
      <c r="B1309" s="76"/>
      <c r="C1309" s="76" t="s">
        <v>30</v>
      </c>
      <c r="D1309" s="76" t="s">
        <v>391</v>
      </c>
      <c r="E1309" s="76" t="s">
        <v>2704</v>
      </c>
      <c r="F1309" s="94" t="s">
        <v>2702</v>
      </c>
      <c r="G1309" s="94"/>
      <c r="H1309" s="94">
        <f>STOCK[[#This Row],[Precio Final]]</f>
        <v>22</v>
      </c>
      <c r="I1309" s="94">
        <f>STOCK[[#This Row],[Precio Venta Ideal (x1.5)]]</f>
        <v>17.13</v>
      </c>
      <c r="J1309" s="96">
        <v>1</v>
      </c>
      <c r="K1309" s="96">
        <f>SUMIFS(VENTAS[Cantidad],VENTAS[Código del producto Vendido],STOCK[[#This Row],[Code]])</f>
        <v>0</v>
      </c>
      <c r="L1309" s="96">
        <f>STOCK[[#This Row],[Entradas]]-STOCK[[#This Row],[Salidas]]</f>
        <v>1</v>
      </c>
      <c r="M1309" s="94">
        <f>STOCK[[#This Row],[Precio Final]]*10%</f>
        <v>2.2</v>
      </c>
      <c r="N1309" s="76">
        <v>0</v>
      </c>
      <c r="O1309" s="76">
        <v>0</v>
      </c>
      <c r="P1309" s="77">
        <v>7.25</v>
      </c>
      <c r="Q1309" s="96">
        <v>0</v>
      </c>
      <c r="R1309" s="94">
        <v>0</v>
      </c>
      <c r="S1309" s="77">
        <v>1.97</v>
      </c>
      <c r="T1309" s="94">
        <f>STOCK[[#This Row],[Costo Unitario (USD)]]+STOCK[[#This Row],[Costo Envío (USD)]]+STOCK[[#This Row],[Comisión 10%]]</f>
        <v>11.42</v>
      </c>
      <c r="U1309" s="77">
        <f>STOCK[[#This Row],[Costo total]]*1.5</f>
        <v>17.13</v>
      </c>
      <c r="V1309" s="94">
        <v>22</v>
      </c>
      <c r="W1309" s="94">
        <f>STOCK[[#This Row],[Precio Final]]-STOCK[[#This Row],[Costo total]]</f>
        <v>10.58</v>
      </c>
      <c r="X1309" s="94">
        <f>STOCK[[#This Row],[Ganancia Unitaria]]*STOCK[[#This Row],[Salidas]]</f>
        <v>0</v>
      </c>
      <c r="Y1309" s="94"/>
      <c r="Z1309" s="94"/>
      <c r="AA1309" s="94">
        <f>STOCK[[#This Row],[Costo total]]*STOCK[[#This Row],[Entradas]]</f>
        <v>11.42</v>
      </c>
      <c r="AB1309" s="94">
        <f>STOCK[[#This Row],[Stock Actual]]*STOCK[[#This Row],[Costo total]]</f>
        <v>11.42</v>
      </c>
      <c r="AC1309" s="94"/>
    </row>
    <row r="1310" s="76" customFormat="1" ht="50" hidden="1" customHeight="1" spans="1:29">
      <c r="A1310" s="76" t="s">
        <v>2705</v>
      </c>
      <c r="B1310" s="94"/>
      <c r="C1310" s="76" t="s">
        <v>30</v>
      </c>
      <c r="D1310" s="76" t="s">
        <v>391</v>
      </c>
      <c r="E1310" s="76" t="s">
        <v>2706</v>
      </c>
      <c r="F1310" s="94" t="s">
        <v>2707</v>
      </c>
      <c r="G1310" s="94"/>
      <c r="H1310" s="94">
        <v>22</v>
      </c>
      <c r="I1310" s="94">
        <f>STOCK[[#This Row],[Precio Venta Ideal (x1.5)]]</f>
        <v>16.83</v>
      </c>
      <c r="J1310" s="96">
        <v>1</v>
      </c>
      <c r="K1310" s="96">
        <f>SUMIFS(VENTAS[Cantidad],VENTAS[Código del producto Vendido],STOCK[[#This Row],[Code]])</f>
        <v>1</v>
      </c>
      <c r="L1310" s="96">
        <f>STOCK[[#This Row],[Entradas]]-STOCK[[#This Row],[Salidas]]</f>
        <v>0</v>
      </c>
      <c r="M1310" s="94">
        <f>STOCK[[#This Row],[Precio Final]]*10%</f>
        <v>2</v>
      </c>
      <c r="N1310" s="76">
        <v>0</v>
      </c>
      <c r="O1310" s="76">
        <v>0</v>
      </c>
      <c r="P1310" s="77">
        <v>7.25</v>
      </c>
      <c r="Q1310" s="96">
        <v>0</v>
      </c>
      <c r="R1310" s="94">
        <v>0</v>
      </c>
      <c r="S1310" s="77">
        <v>1.97</v>
      </c>
      <c r="T1310" s="94">
        <f>STOCK[[#This Row],[Costo Unitario (USD)]]+STOCK[[#This Row],[Costo Envío (USD)]]+STOCK[[#This Row],[Comisión 10%]]</f>
        <v>11.22</v>
      </c>
      <c r="U1310" s="77">
        <f>STOCK[[#This Row],[Costo total]]*1.5</f>
        <v>16.83</v>
      </c>
      <c r="V1310" s="94">
        <v>20</v>
      </c>
      <c r="W1310" s="94">
        <f>STOCK[[#This Row],[Precio Final]]-STOCK[[#This Row],[Costo total]]</f>
        <v>8.78</v>
      </c>
      <c r="X1310" s="94">
        <f>STOCK[[#This Row],[Ganancia Unitaria]]*STOCK[[#This Row],[Salidas]]</f>
        <v>8.78</v>
      </c>
      <c r="Y1310" s="94"/>
      <c r="Z1310" s="94"/>
      <c r="AA1310" s="94">
        <f>STOCK[[#This Row],[Costo total]]*STOCK[[#This Row],[Entradas]]</f>
        <v>11.22</v>
      </c>
      <c r="AB1310" s="94">
        <f>STOCK[[#This Row],[Stock Actual]]*STOCK[[#This Row],[Costo total]]</f>
        <v>0</v>
      </c>
      <c r="AC1310" s="94"/>
    </row>
    <row r="1311" s="76" customFormat="1" ht="50" hidden="1" customHeight="1" spans="1:29">
      <c r="A1311" s="76" t="s">
        <v>2708</v>
      </c>
      <c r="B1311" s="94"/>
      <c r="C1311" s="76" t="s">
        <v>30</v>
      </c>
      <c r="D1311" s="76" t="s">
        <v>391</v>
      </c>
      <c r="E1311" s="76" t="s">
        <v>2709</v>
      </c>
      <c r="F1311" s="94" t="s">
        <v>2707</v>
      </c>
      <c r="G1311" s="94"/>
      <c r="H1311" s="94">
        <v>20</v>
      </c>
      <c r="I1311" s="94">
        <f>STOCK[[#This Row],[Precio Venta Ideal (x1.5)]]</f>
        <v>12</v>
      </c>
      <c r="J1311" s="96">
        <v>1</v>
      </c>
      <c r="K1311" s="96">
        <f>SUMIFS(VENTAS[Cantidad],VENTAS[Código del producto Vendido],STOCK[[#This Row],[Code]])</f>
        <v>0</v>
      </c>
      <c r="L1311" s="96">
        <f>STOCK[[#This Row],[Entradas]]-STOCK[[#This Row],[Salidas]]</f>
        <v>1</v>
      </c>
      <c r="M1311" s="94">
        <f>STOCK[[#This Row],[Precio Final]]*10%</f>
        <v>2.2</v>
      </c>
      <c r="N1311" s="94">
        <v>0</v>
      </c>
      <c r="O1311" s="94">
        <v>0</v>
      </c>
      <c r="P1311" s="94">
        <v>7.25</v>
      </c>
      <c r="Q1311" s="96">
        <v>0</v>
      </c>
      <c r="R1311" s="94">
        <v>0</v>
      </c>
      <c r="S1311" s="77">
        <v>1.97</v>
      </c>
      <c r="T1311" s="94">
        <f>STOCK[[#This Row],[Costo Unitario (USD)]]+STOCK[[#This Row],[Costo Envío (USD)]]+STOCK[[#This Row],[Comisión 10%]]</f>
        <v>11.42</v>
      </c>
      <c r="U1311" s="94">
        <f>ROUNDUP(T1311,0)</f>
        <v>12</v>
      </c>
      <c r="V1311" s="94">
        <v>22</v>
      </c>
      <c r="W1311" s="94">
        <f>STOCK[[#This Row],[Precio Final]]-STOCK[[#This Row],[Costo total]]</f>
        <v>10.58</v>
      </c>
      <c r="X1311" s="94">
        <f>STOCK[[#This Row],[Ganancia Unitaria]]*STOCK[[#This Row],[Salidas]]</f>
        <v>0</v>
      </c>
      <c r="Y1311" s="94"/>
      <c r="Z1311" s="94"/>
      <c r="AA1311" s="94">
        <f>STOCK[[#This Row],[Costo total]]*STOCK[[#This Row],[Entradas]]</f>
        <v>11.42</v>
      </c>
      <c r="AB1311" s="94">
        <f>STOCK[[#This Row],[Stock Actual]]*STOCK[[#This Row],[Costo total]]</f>
        <v>11.42</v>
      </c>
      <c r="AC1311" s="94"/>
    </row>
    <row r="1312" s="77" customFormat="1" ht="50" hidden="1" customHeight="1" spans="1:29">
      <c r="A1312" s="76" t="s">
        <v>2710</v>
      </c>
      <c r="B1312" s="94"/>
      <c r="C1312" s="76" t="s">
        <v>30</v>
      </c>
      <c r="D1312" s="76" t="s">
        <v>391</v>
      </c>
      <c r="E1312" s="76" t="s">
        <v>2711</v>
      </c>
      <c r="F1312" s="94"/>
      <c r="G1312" s="94"/>
      <c r="H1312" s="94">
        <f>STOCK[[#This Row],[Precio Final]]</f>
        <v>40</v>
      </c>
      <c r="I1312" s="94">
        <f>STOCK[[#This Row],[Precio Venta Ideal (x1.5)]]</f>
        <v>21</v>
      </c>
      <c r="J1312" s="96">
        <v>1</v>
      </c>
      <c r="K1312" s="96">
        <f>SUMIFS(VENTAS[Cantidad],VENTAS[Código del producto Vendido],STOCK[[#This Row],[Code]])</f>
        <v>1</v>
      </c>
      <c r="L1312" s="96">
        <f>STOCK[[#This Row],[Entradas]]-STOCK[[#This Row],[Salidas]]</f>
        <v>0</v>
      </c>
      <c r="M1312" s="94">
        <f>STOCK[[#This Row],[Precio Final]]*10%</f>
        <v>4</v>
      </c>
      <c r="N1312" s="94">
        <v>0</v>
      </c>
      <c r="O1312" s="94">
        <v>0</v>
      </c>
      <c r="P1312" s="94">
        <v>14.4</v>
      </c>
      <c r="Q1312" s="96">
        <v>0</v>
      </c>
      <c r="R1312" s="94">
        <v>0</v>
      </c>
      <c r="S1312" s="94">
        <v>1.97</v>
      </c>
      <c r="T1312" s="94">
        <f>STOCK[[#This Row],[Costo Unitario (USD)]]+STOCK[[#This Row],[Costo Envío (USD)]]+STOCK[[#This Row],[Comisión 10%]]</f>
        <v>20.37</v>
      </c>
      <c r="U1312" s="94">
        <f>ROUNDUP(T1312,0)</f>
        <v>21</v>
      </c>
      <c r="V1312" s="94">
        <v>40</v>
      </c>
      <c r="W1312" s="94">
        <f>STOCK[[#This Row],[Precio Final]]-STOCK[[#This Row],[Costo total]]</f>
        <v>19.63</v>
      </c>
      <c r="X1312" s="94">
        <f>STOCK[[#This Row],[Ganancia Unitaria]]*STOCK[[#This Row],[Salidas]]</f>
        <v>19.63</v>
      </c>
      <c r="Y1312" s="94"/>
      <c r="Z1312" s="94"/>
      <c r="AA1312" s="94">
        <f>STOCK[[#This Row],[Costo total]]*STOCK[[#This Row],[Entradas]]</f>
        <v>20.37</v>
      </c>
      <c r="AB1312" s="94">
        <f>STOCK[[#This Row],[Stock Actual]]*STOCK[[#This Row],[Costo total]]</f>
        <v>0</v>
      </c>
      <c r="AC1312" s="94"/>
    </row>
    <row r="1313" s="76" customFormat="1" ht="50" hidden="1" customHeight="1" spans="1:28">
      <c r="A1313" s="76" t="s">
        <v>2712</v>
      </c>
      <c r="B1313" s="6"/>
      <c r="C1313" s="76" t="s">
        <v>30</v>
      </c>
      <c r="D1313" s="76" t="s">
        <v>1480</v>
      </c>
      <c r="E1313" s="76" t="s">
        <v>2458</v>
      </c>
      <c r="F1313" s="76" t="s">
        <v>516</v>
      </c>
      <c r="G1313" s="76" t="s">
        <v>2448</v>
      </c>
      <c r="H1313" s="76">
        <f>STOCK[[#This Row],[Precio Final]]</f>
        <v>45</v>
      </c>
      <c r="I1313" s="76">
        <f>STOCK[[#This Row],[Precio Venta Ideal (x1.5)]]</f>
        <v>43.455</v>
      </c>
      <c r="J1313" s="91">
        <v>2</v>
      </c>
      <c r="K1313" s="96">
        <f>SUMIFS(VENTAS[Cantidad],VENTAS[Código del producto Vendido],STOCK[[#This Row],[Code]])</f>
        <v>0</v>
      </c>
      <c r="L1313" s="91">
        <f>STOCK[[#This Row],[Entradas]]-STOCK[[#This Row],[Salidas]]</f>
        <v>2</v>
      </c>
      <c r="M1313" s="76">
        <f>STOCK[[#This Row],[Precio Final]]*10%</f>
        <v>4.5</v>
      </c>
      <c r="N1313" s="76">
        <v>0</v>
      </c>
      <c r="O1313" s="76">
        <v>0</v>
      </c>
      <c r="P1313" s="76">
        <v>22.5</v>
      </c>
      <c r="Q1313" s="91">
        <v>0</v>
      </c>
      <c r="R1313" s="76">
        <v>0</v>
      </c>
      <c r="S1313" s="76">
        <v>1.97</v>
      </c>
      <c r="T1313" s="76">
        <f>STOCK[[#This Row],[Costo Unitario (USD)]]+STOCK[[#This Row],[Costo Envío (USD)]]+STOCK[[#This Row],[Comisión 10%]]</f>
        <v>28.97</v>
      </c>
      <c r="U1313" s="76">
        <f>STOCK[[#This Row],[Costo total]]*1.5</f>
        <v>43.455</v>
      </c>
      <c r="V1313" s="76">
        <v>45</v>
      </c>
      <c r="W1313" s="76">
        <f>STOCK[[#This Row],[Precio Final]]-STOCK[[#This Row],[Costo total]]</f>
        <v>16.03</v>
      </c>
      <c r="X1313" s="76">
        <f>STOCK[[#This Row],[Ganancia Unitaria]]*STOCK[[#This Row],[Salidas]]</f>
        <v>0</v>
      </c>
      <c r="Y1313" s="76" t="s">
        <v>2449</v>
      </c>
      <c r="AA1313" s="76">
        <f>STOCK[[#This Row],[Costo total]]*STOCK[[#This Row],[Entradas]]</f>
        <v>57.94</v>
      </c>
      <c r="AB1313" s="76">
        <f>STOCK[[#This Row],[Stock Actual]]*STOCK[[#This Row],[Costo total]]</f>
        <v>57.94</v>
      </c>
    </row>
    <row r="1314" s="76" customFormat="1" ht="50" hidden="1" customHeight="1" spans="1:28">
      <c r="A1314" s="76" t="s">
        <v>2713</v>
      </c>
      <c r="B1314" s="6"/>
      <c r="C1314" s="76" t="s">
        <v>30</v>
      </c>
      <c r="D1314" s="76" t="s">
        <v>1480</v>
      </c>
      <c r="E1314" s="76" t="s">
        <v>2458</v>
      </c>
      <c r="F1314" s="76" t="s">
        <v>764</v>
      </c>
      <c r="G1314" s="76" t="s">
        <v>2448</v>
      </c>
      <c r="H1314" s="76">
        <f>STOCK[[#This Row],[Precio Final]]</f>
        <v>46</v>
      </c>
      <c r="I1314" s="76">
        <f>STOCK[[#This Row],[Precio Venta Ideal (x1.5)]]</f>
        <v>43.605</v>
      </c>
      <c r="J1314" s="91">
        <v>2</v>
      </c>
      <c r="K1314" s="96">
        <f>SUMIFS(VENTAS[Cantidad],VENTAS[Código del producto Vendido],STOCK[[#This Row],[Code]])</f>
        <v>2</v>
      </c>
      <c r="L1314" s="91">
        <f>STOCK[[#This Row],[Entradas]]-STOCK[[#This Row],[Salidas]]</f>
        <v>0</v>
      </c>
      <c r="M1314" s="76">
        <f>STOCK[[#This Row],[Precio Final]]*10%</f>
        <v>4.6</v>
      </c>
      <c r="N1314" s="76">
        <v>0</v>
      </c>
      <c r="O1314" s="76">
        <v>0</v>
      </c>
      <c r="P1314" s="76">
        <v>22.5</v>
      </c>
      <c r="Q1314" s="91">
        <v>0</v>
      </c>
      <c r="R1314" s="76">
        <v>0</v>
      </c>
      <c r="S1314" s="76">
        <v>1.97</v>
      </c>
      <c r="T1314" s="76">
        <f>STOCK[[#This Row],[Costo Unitario (USD)]]+STOCK[[#This Row],[Costo Envío (USD)]]+STOCK[[#This Row],[Comisión 10%]]</f>
        <v>29.07</v>
      </c>
      <c r="U1314" s="76">
        <f>STOCK[[#This Row],[Costo total]]*1.5</f>
        <v>43.605</v>
      </c>
      <c r="V1314" s="76">
        <v>46</v>
      </c>
      <c r="W1314" s="76">
        <f>STOCK[[#This Row],[Precio Final]]-STOCK[[#This Row],[Costo total]]</f>
        <v>16.93</v>
      </c>
      <c r="X1314" s="76">
        <f>STOCK[[#This Row],[Ganancia Unitaria]]*STOCK[[#This Row],[Salidas]]</f>
        <v>33.86</v>
      </c>
      <c r="Y1314" s="76" t="s">
        <v>2449</v>
      </c>
      <c r="AA1314" s="76">
        <f>STOCK[[#This Row],[Costo total]]*STOCK[[#This Row],[Entradas]]</f>
        <v>58.14</v>
      </c>
      <c r="AB1314" s="76">
        <f>STOCK[[#This Row],[Stock Actual]]*STOCK[[#This Row],[Costo total]]</f>
        <v>0</v>
      </c>
    </row>
    <row r="1315" s="76" customFormat="1" ht="50" hidden="1" customHeight="1" spans="1:28">
      <c r="A1315" s="76" t="s">
        <v>2714</v>
      </c>
      <c r="B1315" s="6"/>
      <c r="C1315" s="76" t="s">
        <v>30</v>
      </c>
      <c r="D1315" s="76" t="s">
        <v>1480</v>
      </c>
      <c r="E1315" s="76" t="s">
        <v>2458</v>
      </c>
      <c r="F1315" s="76" t="s">
        <v>539</v>
      </c>
      <c r="G1315" s="76" t="s">
        <v>2448</v>
      </c>
      <c r="H1315" s="76">
        <f>STOCK[[#This Row],[Precio Final]]</f>
        <v>47</v>
      </c>
      <c r="I1315" s="76">
        <f>STOCK[[#This Row],[Precio Venta Ideal (x1.5)]]</f>
        <v>43.755</v>
      </c>
      <c r="J1315" s="91">
        <v>2</v>
      </c>
      <c r="K1315" s="96">
        <f>SUMIFS(VENTAS[Cantidad],VENTAS[Código del producto Vendido],STOCK[[#This Row],[Code]])</f>
        <v>0</v>
      </c>
      <c r="L1315" s="91">
        <f>STOCK[[#This Row],[Entradas]]-STOCK[[#This Row],[Salidas]]</f>
        <v>2</v>
      </c>
      <c r="M1315" s="76">
        <f>STOCK[[#This Row],[Precio Final]]*10%</f>
        <v>4.7</v>
      </c>
      <c r="N1315" s="76">
        <v>0</v>
      </c>
      <c r="O1315" s="76">
        <v>0</v>
      </c>
      <c r="P1315" s="76">
        <v>22.5</v>
      </c>
      <c r="Q1315" s="91">
        <v>0</v>
      </c>
      <c r="R1315" s="76">
        <v>0</v>
      </c>
      <c r="S1315" s="76">
        <v>1.97</v>
      </c>
      <c r="T1315" s="76">
        <f>STOCK[[#This Row],[Costo Unitario (USD)]]+STOCK[[#This Row],[Costo Envío (USD)]]+STOCK[[#This Row],[Comisión 10%]]</f>
        <v>29.17</v>
      </c>
      <c r="U1315" s="76">
        <f>STOCK[[#This Row],[Costo total]]*1.5</f>
        <v>43.755</v>
      </c>
      <c r="V1315" s="76">
        <v>47</v>
      </c>
      <c r="W1315" s="76">
        <f>STOCK[[#This Row],[Precio Final]]-STOCK[[#This Row],[Costo total]]</f>
        <v>17.83</v>
      </c>
      <c r="X1315" s="76">
        <f>STOCK[[#This Row],[Ganancia Unitaria]]*STOCK[[#This Row],[Salidas]]</f>
        <v>0</v>
      </c>
      <c r="Y1315" s="76" t="s">
        <v>2449</v>
      </c>
      <c r="AA1315" s="76">
        <f>STOCK[[#This Row],[Costo total]]*STOCK[[#This Row],[Entradas]]</f>
        <v>58.34</v>
      </c>
      <c r="AB1315" s="76">
        <f>STOCK[[#This Row],[Stock Actual]]*STOCK[[#This Row],[Costo total]]</f>
        <v>58.34</v>
      </c>
    </row>
    <row r="1316" s="76" customFormat="1" ht="50" hidden="1" customHeight="1" spans="1:29">
      <c r="A1316" s="76" t="s">
        <v>2715</v>
      </c>
      <c r="B1316" s="95"/>
      <c r="C1316" s="94" t="s">
        <v>30</v>
      </c>
      <c r="D1316" s="94" t="s">
        <v>2636</v>
      </c>
      <c r="E1316" s="94" t="s">
        <v>2716</v>
      </c>
      <c r="F1316" s="94" t="s">
        <v>47</v>
      </c>
      <c r="G1316" s="94" t="s">
        <v>2392</v>
      </c>
      <c r="H1316" s="94">
        <f>STOCK[[#This Row],[Precio Final]]</f>
        <v>30</v>
      </c>
      <c r="I1316" s="76">
        <f>STOCK[[#This Row],[Precio Venta Ideal (x1.5)]]</f>
        <v>33</v>
      </c>
      <c r="J1316" s="96">
        <v>1</v>
      </c>
      <c r="K1316" s="96">
        <f>SUMIFS(VENTAS[Cantidad],VENTAS[Código del producto Vendido],STOCK[[#This Row],[Code]])</f>
        <v>1</v>
      </c>
      <c r="L1316" s="96">
        <f>STOCK[[#This Row],[Entradas]]-STOCK[[#This Row],[Salidas]]</f>
        <v>0</v>
      </c>
      <c r="M1316" s="94">
        <f>STOCK[[#This Row],[Precio Final]]*10%</f>
        <v>3</v>
      </c>
      <c r="N1316" s="76">
        <v>0</v>
      </c>
      <c r="O1316" s="76">
        <v>0</v>
      </c>
      <c r="P1316" s="94">
        <v>17</v>
      </c>
      <c r="Q1316" s="96">
        <v>0</v>
      </c>
      <c r="R1316" s="94">
        <v>0</v>
      </c>
      <c r="S1316" s="76">
        <v>2</v>
      </c>
      <c r="T1316" s="94">
        <f>STOCK[[#This Row],[Costo Unitario (USD)]]+STOCK[[#This Row],[Costo Envío (USD)]]+STOCK[[#This Row],[Comisión 10%]]</f>
        <v>22</v>
      </c>
      <c r="U1316" s="76">
        <f>STOCK[[#This Row],[Costo total]]*1.5</f>
        <v>33</v>
      </c>
      <c r="V1316" s="94">
        <v>30</v>
      </c>
      <c r="W1316" s="94">
        <f>STOCK[[#This Row],[Precio Final]]-STOCK[[#This Row],[Costo total]]</f>
        <v>8</v>
      </c>
      <c r="X1316" s="94">
        <f>STOCK[[#This Row],[Ganancia Unitaria]]*STOCK[[#This Row],[Salidas]]</f>
        <v>8</v>
      </c>
      <c r="Y1316" s="94"/>
      <c r="Z1316" s="94"/>
      <c r="AA1316" s="94">
        <f>STOCK[[#This Row],[Costo total]]*STOCK[[#This Row],[Entradas]]</f>
        <v>22</v>
      </c>
      <c r="AB1316" s="94">
        <f>STOCK[[#This Row],[Stock Actual]]*STOCK[[#This Row],[Costo total]]</f>
        <v>0</v>
      </c>
      <c r="AC1316" s="94"/>
    </row>
    <row r="1317" s="76" customFormat="1" ht="50" hidden="1" customHeight="1" spans="1:29">
      <c r="A1317" s="76" t="s">
        <v>2717</v>
      </c>
      <c r="B1317" s="95"/>
      <c r="C1317" s="94" t="s">
        <v>30</v>
      </c>
      <c r="D1317" s="94" t="s">
        <v>2718</v>
      </c>
      <c r="E1317" s="94" t="s">
        <v>2719</v>
      </c>
      <c r="F1317" s="94" t="s">
        <v>2720</v>
      </c>
      <c r="G1317" s="94" t="s">
        <v>2392</v>
      </c>
      <c r="H1317" s="94">
        <f>STOCK[[#This Row],[Precio Final]]</f>
        <v>35</v>
      </c>
      <c r="I1317" s="76">
        <f>STOCK[[#This Row],[Precio Venta Ideal (x1.5)]]</f>
        <v>47.7</v>
      </c>
      <c r="J1317" s="96">
        <v>1</v>
      </c>
      <c r="K1317" s="96">
        <f>SUMIFS(VENTAS[Cantidad],VENTAS[Código del producto Vendido],STOCK[[#This Row],[Code]])</f>
        <v>0</v>
      </c>
      <c r="L1317" s="96">
        <f>STOCK[[#This Row],[Entradas]]-STOCK[[#This Row],[Salidas]]</f>
        <v>1</v>
      </c>
      <c r="M1317" s="94">
        <f>STOCK[[#This Row],[Precio Final]]*10%</f>
        <v>3.5</v>
      </c>
      <c r="N1317" s="76">
        <v>0</v>
      </c>
      <c r="O1317" s="76">
        <v>0</v>
      </c>
      <c r="P1317" s="94">
        <v>26.3</v>
      </c>
      <c r="Q1317" s="96">
        <v>0</v>
      </c>
      <c r="R1317" s="94">
        <v>0</v>
      </c>
      <c r="S1317" s="76">
        <v>2</v>
      </c>
      <c r="T1317" s="94">
        <f>STOCK[[#This Row],[Costo Unitario (USD)]]+STOCK[[#This Row],[Costo Envío (USD)]]+STOCK[[#This Row],[Comisión 10%]]</f>
        <v>31.8</v>
      </c>
      <c r="U1317" s="76">
        <f>STOCK[[#This Row],[Costo total]]*1.5</f>
        <v>47.7</v>
      </c>
      <c r="V1317" s="94">
        <v>35</v>
      </c>
      <c r="W1317" s="94">
        <f>STOCK[[#This Row],[Precio Final]]-STOCK[[#This Row],[Costo total]]</f>
        <v>3.2</v>
      </c>
      <c r="X1317" s="94">
        <f>STOCK[[#This Row],[Ganancia Unitaria]]*STOCK[[#This Row],[Salidas]]</f>
        <v>0</v>
      </c>
      <c r="Y1317" s="94"/>
      <c r="Z1317" s="94"/>
      <c r="AA1317" s="94">
        <f>STOCK[[#This Row],[Costo total]]*STOCK[[#This Row],[Entradas]]</f>
        <v>31.8</v>
      </c>
      <c r="AB1317" s="94">
        <f>STOCK[[#This Row],[Stock Actual]]*STOCK[[#This Row],[Costo total]]</f>
        <v>31.8</v>
      </c>
      <c r="AC1317" s="94"/>
    </row>
    <row r="1318" s="76" customFormat="1" ht="50" hidden="1" customHeight="1" spans="1:29">
      <c r="A1318" s="76" t="s">
        <v>2721</v>
      </c>
      <c r="B1318" s="95"/>
      <c r="C1318" s="94" t="s">
        <v>30</v>
      </c>
      <c r="D1318" s="94" t="s">
        <v>2718</v>
      </c>
      <c r="E1318" s="94" t="s">
        <v>2722</v>
      </c>
      <c r="F1318" s="94" t="s">
        <v>2720</v>
      </c>
      <c r="G1318" s="94" t="s">
        <v>2392</v>
      </c>
      <c r="H1318" s="94">
        <f>STOCK[[#This Row],[Precio Final]]</f>
        <v>35</v>
      </c>
      <c r="I1318" s="76">
        <f>STOCK[[#This Row],[Precio Venta Ideal (x1.5)]]</f>
        <v>47.7</v>
      </c>
      <c r="J1318" s="96">
        <v>1</v>
      </c>
      <c r="K1318" s="96">
        <f>SUMIFS(VENTAS[Cantidad],VENTAS[Código del producto Vendido],STOCK[[#This Row],[Code]])</f>
        <v>0</v>
      </c>
      <c r="L1318" s="96">
        <f>STOCK[[#This Row],[Entradas]]-STOCK[[#This Row],[Salidas]]</f>
        <v>1</v>
      </c>
      <c r="M1318" s="94">
        <f>STOCK[[#This Row],[Precio Final]]*10%</f>
        <v>3.5</v>
      </c>
      <c r="N1318" s="76">
        <v>0</v>
      </c>
      <c r="O1318" s="76">
        <v>0</v>
      </c>
      <c r="P1318" s="94">
        <v>26.3</v>
      </c>
      <c r="Q1318" s="96">
        <v>0</v>
      </c>
      <c r="R1318" s="94">
        <v>0</v>
      </c>
      <c r="S1318" s="94">
        <v>2</v>
      </c>
      <c r="T1318" s="94">
        <f>STOCK[[#This Row],[Costo Unitario (USD)]]+STOCK[[#This Row],[Costo Envío (USD)]]+STOCK[[#This Row],[Comisión 10%]]</f>
        <v>31.8</v>
      </c>
      <c r="U1318" s="76">
        <f>STOCK[[#This Row],[Costo total]]*1.5</f>
        <v>47.7</v>
      </c>
      <c r="V1318" s="94">
        <v>35</v>
      </c>
      <c r="W1318" s="94">
        <f>STOCK[[#This Row],[Precio Final]]-STOCK[[#This Row],[Costo total]]</f>
        <v>3.2</v>
      </c>
      <c r="X1318" s="94">
        <f>STOCK[[#This Row],[Ganancia Unitaria]]*STOCK[[#This Row],[Salidas]]</f>
        <v>0</v>
      </c>
      <c r="Y1318" s="94"/>
      <c r="Z1318" s="94"/>
      <c r="AA1318" s="94">
        <f>STOCK[[#This Row],[Costo total]]*STOCK[[#This Row],[Entradas]]</f>
        <v>31.8</v>
      </c>
      <c r="AB1318" s="94">
        <f>STOCK[[#This Row],[Stock Actual]]*STOCK[[#This Row],[Costo total]]</f>
        <v>31.8</v>
      </c>
      <c r="AC1318" s="94"/>
    </row>
    <row r="1319" s="76" customFormat="1" ht="50" hidden="1" customHeight="1" spans="1:29">
      <c r="A1319" s="76" t="s">
        <v>2723</v>
      </c>
      <c r="B1319" s="95"/>
      <c r="C1319" s="94" t="s">
        <v>30</v>
      </c>
      <c r="D1319" s="94" t="s">
        <v>2718</v>
      </c>
      <c r="E1319" s="94" t="s">
        <v>2724</v>
      </c>
      <c r="F1319" s="94" t="s">
        <v>2720</v>
      </c>
      <c r="G1319" s="94" t="s">
        <v>2392</v>
      </c>
      <c r="H1319" s="94">
        <f>STOCK[[#This Row],[Precio Final]]</f>
        <v>35</v>
      </c>
      <c r="I1319" s="76">
        <f>STOCK[[#This Row],[Precio Venta Ideal (x1.5)]]</f>
        <v>47.7</v>
      </c>
      <c r="J1319" s="96">
        <v>1</v>
      </c>
      <c r="K1319" s="96">
        <f>SUMIFS(VENTAS[Cantidad],VENTAS[Código del producto Vendido],STOCK[[#This Row],[Code]])</f>
        <v>0</v>
      </c>
      <c r="L1319" s="96">
        <f>STOCK[[#This Row],[Entradas]]-STOCK[[#This Row],[Salidas]]</f>
        <v>1</v>
      </c>
      <c r="M1319" s="94">
        <f>STOCK[[#This Row],[Precio Final]]*10%</f>
        <v>3.5</v>
      </c>
      <c r="N1319" s="76">
        <v>0</v>
      </c>
      <c r="O1319" s="76">
        <v>0</v>
      </c>
      <c r="P1319" s="94">
        <v>26.3</v>
      </c>
      <c r="Q1319" s="96">
        <v>0</v>
      </c>
      <c r="R1319" s="94">
        <v>0</v>
      </c>
      <c r="S1319" s="94">
        <v>2</v>
      </c>
      <c r="T1319" s="94">
        <f>STOCK[[#This Row],[Costo Unitario (USD)]]+STOCK[[#This Row],[Costo Envío (USD)]]+STOCK[[#This Row],[Comisión 10%]]</f>
        <v>31.8</v>
      </c>
      <c r="U1319" s="76">
        <f>STOCK[[#This Row],[Costo total]]*1.5</f>
        <v>47.7</v>
      </c>
      <c r="V1319" s="94">
        <v>35</v>
      </c>
      <c r="W1319" s="94">
        <f>STOCK[[#This Row],[Precio Final]]-STOCK[[#This Row],[Costo total]]</f>
        <v>3.2</v>
      </c>
      <c r="X1319" s="94">
        <f>STOCK[[#This Row],[Ganancia Unitaria]]*STOCK[[#This Row],[Salidas]]</f>
        <v>0</v>
      </c>
      <c r="Y1319" s="94"/>
      <c r="Z1319" s="94"/>
      <c r="AA1319" s="94">
        <f>STOCK[[#This Row],[Costo total]]*STOCK[[#This Row],[Entradas]]</f>
        <v>31.8</v>
      </c>
      <c r="AB1319" s="94">
        <f>STOCK[[#This Row],[Stock Actual]]*STOCK[[#This Row],[Costo total]]</f>
        <v>31.8</v>
      </c>
      <c r="AC1319" s="94"/>
    </row>
    <row r="1320" s="76" customFormat="1" ht="50" hidden="1" customHeight="1" spans="1:29">
      <c r="A1320" s="76" t="s">
        <v>2725</v>
      </c>
      <c r="B1320" s="95"/>
      <c r="C1320" s="94" t="s">
        <v>30</v>
      </c>
      <c r="D1320" s="94" t="s">
        <v>1224</v>
      </c>
      <c r="E1320" s="94" t="s">
        <v>2726</v>
      </c>
      <c r="F1320" s="94" t="s">
        <v>539</v>
      </c>
      <c r="G1320" s="94" t="s">
        <v>1294</v>
      </c>
      <c r="H1320" s="94">
        <f>STOCK[[#This Row],[Precio Final]]</f>
        <v>60</v>
      </c>
      <c r="I1320" s="94">
        <f>STOCK[[#This Row],[Precio Venta Ideal (x1.5)]]</f>
        <v>61.5</v>
      </c>
      <c r="J1320" s="96">
        <v>1</v>
      </c>
      <c r="K1320" s="96">
        <f>SUMIFS(VENTAS[Cantidad],VENTAS[Código del producto Vendido],STOCK[[#This Row],[Code]])</f>
        <v>0</v>
      </c>
      <c r="L1320" s="96">
        <f>STOCK[[#This Row],[Entradas]]-STOCK[[#This Row],[Salidas]]</f>
        <v>1</v>
      </c>
      <c r="M1320" s="94">
        <f>STOCK[[#This Row],[Precio Final]]*10%</f>
        <v>6</v>
      </c>
      <c r="N1320" s="94">
        <v>0</v>
      </c>
      <c r="O1320" s="94">
        <v>0</v>
      </c>
      <c r="P1320" s="94">
        <v>35</v>
      </c>
      <c r="Q1320" s="96">
        <v>0</v>
      </c>
      <c r="R1320" s="94">
        <v>0</v>
      </c>
      <c r="S1320" s="94">
        <f>STOCK[[#This Row],[Peso (g)]]*STOCK[[#This Row],[Precio Envío Kilogramo (USD)]]/1000</f>
        <v>0</v>
      </c>
      <c r="T1320" s="94">
        <f>STOCK[[#This Row],[Costo Unitario (USD)]]+STOCK[[#This Row],[Costo Envío (USD)]]+STOCK[[#This Row],[Comisión 10%]]</f>
        <v>41</v>
      </c>
      <c r="U1320" s="76">
        <f>STOCK[[#This Row],[Costo total]]*1.5</f>
        <v>61.5</v>
      </c>
      <c r="V1320" s="94">
        <v>60</v>
      </c>
      <c r="W1320" s="94">
        <f>STOCK[[#This Row],[Precio Final]]-STOCK[[#This Row],[Costo total]]</f>
        <v>19</v>
      </c>
      <c r="X1320" s="94">
        <f>STOCK[[#This Row],[Ganancia Unitaria]]*STOCK[[#This Row],[Salidas]]</f>
        <v>0</v>
      </c>
      <c r="Y1320" s="94"/>
      <c r="Z1320" s="94"/>
      <c r="AA1320" s="94">
        <f>STOCK[[#This Row],[Costo total]]*STOCK[[#This Row],[Entradas]]</f>
        <v>41</v>
      </c>
      <c r="AB1320" s="94">
        <f>STOCK[[#This Row],[Stock Actual]]*STOCK[[#This Row],[Costo total]]</f>
        <v>41</v>
      </c>
      <c r="AC1320" s="94"/>
    </row>
    <row r="1321" s="76" customFormat="1" ht="50" hidden="1" customHeight="1" spans="1:29">
      <c r="A1321" s="76" t="s">
        <v>2727</v>
      </c>
      <c r="B1321" s="95"/>
      <c r="C1321" s="94" t="s">
        <v>30</v>
      </c>
      <c r="D1321" s="94" t="s">
        <v>42</v>
      </c>
      <c r="E1321" s="94" t="s">
        <v>2728</v>
      </c>
      <c r="F1321" s="94" t="s">
        <v>44</v>
      </c>
      <c r="G1321" s="94" t="s">
        <v>34</v>
      </c>
      <c r="H1321" s="94">
        <f>STOCK[[#This Row],[Precio Final]]</f>
        <v>55</v>
      </c>
      <c r="I1321" s="94">
        <f>STOCK[[#This Row],[Precio Venta Ideal (x1.5)]]</f>
        <v>55.935</v>
      </c>
      <c r="J1321" s="96">
        <v>0</v>
      </c>
      <c r="K1321" s="96">
        <f>SUMIFS(VENTAS[Cantidad],VENTAS[Código del producto Vendido],STOCK[[#This Row],[Code]])</f>
        <v>0</v>
      </c>
      <c r="L1321" s="96">
        <f>STOCK[[#This Row],[Entradas]]-STOCK[[#This Row],[Salidas]]</f>
        <v>0</v>
      </c>
      <c r="M1321" s="94">
        <f>STOCK[[#This Row],[Precio Final]]*10%</f>
        <v>5.5</v>
      </c>
      <c r="N1321" s="94">
        <v>0</v>
      </c>
      <c r="O1321" s="94">
        <v>0</v>
      </c>
      <c r="P1321" s="94">
        <v>29.41</v>
      </c>
      <c r="Q1321" s="96">
        <v>0</v>
      </c>
      <c r="R1321" s="94">
        <v>0</v>
      </c>
      <c r="S1321" s="94">
        <v>2.38</v>
      </c>
      <c r="T1321" s="94">
        <f>STOCK[[#This Row],[Costo Unitario (USD)]]+STOCK[[#This Row],[Costo Envío (USD)]]+STOCK[[#This Row],[Comisión 10%]]</f>
        <v>37.29</v>
      </c>
      <c r="U1321" s="76">
        <f>STOCK[[#This Row],[Costo total]]*1.5</f>
        <v>55.935</v>
      </c>
      <c r="V1321" s="94">
        <v>55</v>
      </c>
      <c r="W1321" s="94">
        <f>STOCK[[#This Row],[Precio Final]]-STOCK[[#This Row],[Costo total]]</f>
        <v>17.71</v>
      </c>
      <c r="X1321" s="94">
        <f>STOCK[[#This Row],[Ganancia Unitaria]]*STOCK[[#This Row],[Salidas]]</f>
        <v>0</v>
      </c>
      <c r="Y1321" s="94" t="s">
        <v>2729</v>
      </c>
      <c r="Z1321" s="94"/>
      <c r="AA1321" s="94">
        <f>STOCK[[#This Row],[Costo total]]*STOCK[[#This Row],[Entradas]]</f>
        <v>0</v>
      </c>
      <c r="AB1321" s="94">
        <f>STOCK[[#This Row],[Stock Actual]]*STOCK[[#This Row],[Costo total]]</f>
        <v>0</v>
      </c>
      <c r="AC1321" s="94"/>
    </row>
    <row r="1322" s="76" customFormat="1" ht="50" hidden="1" customHeight="1" spans="1:29">
      <c r="A1322" s="76" t="s">
        <v>2730</v>
      </c>
      <c r="B1322" s="95"/>
      <c r="C1322" s="94" t="s">
        <v>30</v>
      </c>
      <c r="D1322" s="94" t="s">
        <v>2125</v>
      </c>
      <c r="E1322" s="94" t="s">
        <v>2731</v>
      </c>
      <c r="F1322" s="94" t="s">
        <v>60</v>
      </c>
      <c r="G1322" s="94" t="s">
        <v>34</v>
      </c>
      <c r="H1322" s="94">
        <f>STOCK[[#This Row],[Precio Final]]</f>
        <v>20</v>
      </c>
      <c r="I1322" s="94">
        <f>STOCK[[#This Row],[Precio Venta Ideal (x1.5)]]</f>
        <v>19.59</v>
      </c>
      <c r="J1322" s="96">
        <v>2</v>
      </c>
      <c r="K1322" s="96">
        <f>SUMIFS(VENTAS[Cantidad],VENTAS[Código del producto Vendido],STOCK[[#This Row],[Code]])</f>
        <v>1</v>
      </c>
      <c r="L1322" s="96">
        <f>STOCK[[#This Row],[Entradas]]-STOCK[[#This Row],[Salidas]]</f>
        <v>1</v>
      </c>
      <c r="M1322" s="94">
        <f>STOCK[[#This Row],[Precio Final]]*10%</f>
        <v>2</v>
      </c>
      <c r="N1322" s="94">
        <v>0</v>
      </c>
      <c r="O1322" s="94">
        <v>0</v>
      </c>
      <c r="P1322" s="94">
        <v>8.69</v>
      </c>
      <c r="Q1322" s="96">
        <v>0</v>
      </c>
      <c r="R1322" s="94">
        <v>0</v>
      </c>
      <c r="S1322" s="94">
        <v>2.37</v>
      </c>
      <c r="T1322" s="94">
        <f>STOCK[[#This Row],[Costo Unitario (USD)]]+STOCK[[#This Row],[Costo Envío (USD)]]+STOCK[[#This Row],[Comisión 10%]]</f>
        <v>13.06</v>
      </c>
      <c r="U1322" s="76">
        <f>STOCK[[#This Row],[Costo total]]*1.5</f>
        <v>19.59</v>
      </c>
      <c r="V1322" s="94">
        <v>20</v>
      </c>
      <c r="W1322" s="94">
        <f>STOCK[[#This Row],[Precio Final]]-STOCK[[#This Row],[Costo total]]</f>
        <v>6.94</v>
      </c>
      <c r="X1322" s="94">
        <f>STOCK[[#This Row],[Ganancia Unitaria]]*STOCK[[#This Row],[Salidas]]</f>
        <v>6.94</v>
      </c>
      <c r="Y1322" s="94" t="s">
        <v>2729</v>
      </c>
      <c r="Z1322" s="94"/>
      <c r="AA1322" s="94">
        <f>STOCK[[#This Row],[Costo total]]*STOCK[[#This Row],[Entradas]]</f>
        <v>26.12</v>
      </c>
      <c r="AB1322" s="94">
        <f>STOCK[[#This Row],[Stock Actual]]*STOCK[[#This Row],[Costo total]]</f>
        <v>13.06</v>
      </c>
      <c r="AC1322" s="94"/>
    </row>
    <row r="1323" s="76" customFormat="1" ht="50" hidden="1" customHeight="1" spans="1:29">
      <c r="A1323" s="76" t="s">
        <v>2732</v>
      </c>
      <c r="B1323" s="95"/>
      <c r="C1323" s="94" t="s">
        <v>30</v>
      </c>
      <c r="D1323" s="94" t="s">
        <v>2125</v>
      </c>
      <c r="E1323" s="94" t="s">
        <v>2731</v>
      </c>
      <c r="F1323" s="94" t="s">
        <v>47</v>
      </c>
      <c r="G1323" s="94" t="s">
        <v>34</v>
      </c>
      <c r="H1323" s="94">
        <f>STOCK[[#This Row],[Precio Final]]</f>
        <v>20</v>
      </c>
      <c r="I1323" s="94">
        <f>STOCK[[#This Row],[Precio Venta Ideal (x1.5)]]</f>
        <v>19.59</v>
      </c>
      <c r="J1323" s="96">
        <v>2</v>
      </c>
      <c r="K1323" s="96">
        <f>SUMIFS(VENTAS[Cantidad],VENTAS[Código del producto Vendido],STOCK[[#This Row],[Code]])</f>
        <v>0</v>
      </c>
      <c r="L1323" s="96">
        <f>STOCK[[#This Row],[Entradas]]-STOCK[[#This Row],[Salidas]]</f>
        <v>2</v>
      </c>
      <c r="M1323" s="94">
        <f>STOCK[[#This Row],[Precio Final]]*10%</f>
        <v>2</v>
      </c>
      <c r="N1323" s="94">
        <v>0</v>
      </c>
      <c r="O1323" s="94">
        <v>0</v>
      </c>
      <c r="P1323" s="94">
        <v>8.69</v>
      </c>
      <c r="Q1323" s="96">
        <v>0</v>
      </c>
      <c r="R1323" s="94">
        <v>0</v>
      </c>
      <c r="S1323" s="94">
        <v>2.37</v>
      </c>
      <c r="T1323" s="94">
        <f>STOCK[[#This Row],[Costo Unitario (USD)]]+STOCK[[#This Row],[Costo Envío (USD)]]+STOCK[[#This Row],[Comisión 10%]]</f>
        <v>13.06</v>
      </c>
      <c r="U1323" s="76">
        <f>STOCK[[#This Row],[Costo total]]*1.5</f>
        <v>19.59</v>
      </c>
      <c r="V1323" s="94">
        <v>20</v>
      </c>
      <c r="W1323" s="94">
        <f>STOCK[[#This Row],[Precio Final]]-STOCK[[#This Row],[Costo total]]</f>
        <v>6.94</v>
      </c>
      <c r="X1323" s="94">
        <f>STOCK[[#This Row],[Ganancia Unitaria]]*STOCK[[#This Row],[Salidas]]</f>
        <v>0</v>
      </c>
      <c r="Y1323" s="94" t="s">
        <v>2729</v>
      </c>
      <c r="Z1323" s="94"/>
      <c r="AA1323" s="94">
        <f>STOCK[[#This Row],[Costo total]]*STOCK[[#This Row],[Entradas]]</f>
        <v>26.12</v>
      </c>
      <c r="AB1323" s="94">
        <f>STOCK[[#This Row],[Stock Actual]]*STOCK[[#This Row],[Costo total]]</f>
        <v>26.12</v>
      </c>
      <c r="AC1323" s="94"/>
    </row>
    <row r="1324" s="76" customFormat="1" ht="50" hidden="1" customHeight="1" spans="1:29">
      <c r="A1324" s="76" t="s">
        <v>2733</v>
      </c>
      <c r="B1324" s="95"/>
      <c r="C1324" s="94" t="s">
        <v>30</v>
      </c>
      <c r="D1324" s="94" t="s">
        <v>2125</v>
      </c>
      <c r="E1324" s="94" t="s">
        <v>2731</v>
      </c>
      <c r="F1324" s="94" t="s">
        <v>44</v>
      </c>
      <c r="G1324" s="94" t="s">
        <v>34</v>
      </c>
      <c r="H1324" s="94">
        <f>STOCK[[#This Row],[Precio Final]]</f>
        <v>20</v>
      </c>
      <c r="I1324" s="94">
        <f>STOCK[[#This Row],[Precio Venta Ideal (x1.5)]]</f>
        <v>19.59</v>
      </c>
      <c r="J1324" s="96">
        <v>2</v>
      </c>
      <c r="K1324" s="96">
        <f>SUMIFS(VENTAS[Cantidad],VENTAS[Código del producto Vendido],STOCK[[#This Row],[Code]])</f>
        <v>0</v>
      </c>
      <c r="L1324" s="96">
        <f>STOCK[[#This Row],[Entradas]]-STOCK[[#This Row],[Salidas]]</f>
        <v>2</v>
      </c>
      <c r="M1324" s="94">
        <f>STOCK[[#This Row],[Precio Final]]*10%</f>
        <v>2</v>
      </c>
      <c r="N1324" s="94">
        <v>0</v>
      </c>
      <c r="O1324" s="94">
        <v>0</v>
      </c>
      <c r="P1324" s="94">
        <v>8.69</v>
      </c>
      <c r="Q1324" s="96">
        <v>0</v>
      </c>
      <c r="R1324" s="94">
        <v>0</v>
      </c>
      <c r="S1324" s="94">
        <v>2.37</v>
      </c>
      <c r="T1324" s="94">
        <f>STOCK[[#This Row],[Costo Unitario (USD)]]+STOCK[[#This Row],[Costo Envío (USD)]]+STOCK[[#This Row],[Comisión 10%]]</f>
        <v>13.06</v>
      </c>
      <c r="U1324" s="76">
        <f>STOCK[[#This Row],[Costo total]]*1.5</f>
        <v>19.59</v>
      </c>
      <c r="V1324" s="94">
        <v>20</v>
      </c>
      <c r="W1324" s="94">
        <f>STOCK[[#This Row],[Precio Final]]-STOCK[[#This Row],[Costo total]]</f>
        <v>6.94</v>
      </c>
      <c r="X1324" s="94">
        <f>STOCK[[#This Row],[Ganancia Unitaria]]*STOCK[[#This Row],[Salidas]]</f>
        <v>0</v>
      </c>
      <c r="Y1324" s="94" t="s">
        <v>2729</v>
      </c>
      <c r="Z1324" s="94"/>
      <c r="AA1324" s="94">
        <f>STOCK[[#This Row],[Costo total]]*STOCK[[#This Row],[Entradas]]</f>
        <v>26.12</v>
      </c>
      <c r="AB1324" s="94">
        <f>STOCK[[#This Row],[Stock Actual]]*STOCK[[#This Row],[Costo total]]</f>
        <v>26.12</v>
      </c>
      <c r="AC1324" s="94"/>
    </row>
    <row r="1325" s="76" customFormat="1" ht="50" hidden="1" customHeight="1" spans="1:29">
      <c r="A1325" s="76" t="s">
        <v>2734</v>
      </c>
      <c r="B1325" s="95"/>
      <c r="C1325" s="94" t="s">
        <v>30</v>
      </c>
      <c r="D1325" s="94" t="s">
        <v>42</v>
      </c>
      <c r="E1325" s="94" t="s">
        <v>2735</v>
      </c>
      <c r="F1325" s="94" t="s">
        <v>60</v>
      </c>
      <c r="G1325" s="94" t="s">
        <v>34</v>
      </c>
      <c r="H1325" s="94">
        <f>STOCK[[#This Row],[Precio Final]]</f>
        <v>12</v>
      </c>
      <c r="I1325" s="94">
        <f>STOCK[[#This Row],[Precio Venta Ideal (x1.5)]]</f>
        <v>17.16</v>
      </c>
      <c r="J1325" s="96">
        <v>0</v>
      </c>
      <c r="K1325" s="96">
        <f>SUMIFS(VENTAS[Cantidad],VENTAS[Código del producto Vendido],STOCK[[#This Row],[Code]])</f>
        <v>0</v>
      </c>
      <c r="L1325" s="96">
        <f>STOCK[[#This Row],[Entradas]]-STOCK[[#This Row],[Salidas]]</f>
        <v>0</v>
      </c>
      <c r="M1325" s="94">
        <f>STOCK[[#This Row],[Precio Final]]*10%</f>
        <v>1.2</v>
      </c>
      <c r="N1325" s="94">
        <v>0</v>
      </c>
      <c r="O1325" s="94">
        <v>0</v>
      </c>
      <c r="P1325" s="94">
        <v>7.87</v>
      </c>
      <c r="Q1325" s="96">
        <v>0</v>
      </c>
      <c r="R1325" s="94">
        <v>0</v>
      </c>
      <c r="S1325" s="94">
        <v>2.37</v>
      </c>
      <c r="T1325" s="94">
        <f>STOCK[[#This Row],[Costo Unitario (USD)]]+STOCK[[#This Row],[Costo Envío (USD)]]+STOCK[[#This Row],[Comisión 10%]]</f>
        <v>11.44</v>
      </c>
      <c r="U1325" s="76">
        <f>STOCK[[#This Row],[Costo total]]*1.5</f>
        <v>17.16</v>
      </c>
      <c r="V1325" s="94">
        <v>12</v>
      </c>
      <c r="W1325" s="94">
        <f>STOCK[[#This Row],[Precio Final]]-STOCK[[#This Row],[Costo total]]</f>
        <v>0.559999999999999</v>
      </c>
      <c r="X1325" s="94">
        <f>STOCK[[#This Row],[Ganancia Unitaria]]*STOCK[[#This Row],[Salidas]]</f>
        <v>0</v>
      </c>
      <c r="Y1325" s="94" t="s">
        <v>2729</v>
      </c>
      <c r="Z1325" s="94"/>
      <c r="AA1325" s="94">
        <f>STOCK[[#This Row],[Costo total]]*STOCK[[#This Row],[Entradas]]</f>
        <v>0</v>
      </c>
      <c r="AB1325" s="94">
        <f>STOCK[[#This Row],[Stock Actual]]*STOCK[[#This Row],[Costo total]]</f>
        <v>0</v>
      </c>
      <c r="AC1325" s="94"/>
    </row>
    <row r="1326" s="76" customFormat="1" ht="50" hidden="1" customHeight="1" spans="1:29">
      <c r="A1326" s="76" t="s">
        <v>2736</v>
      </c>
      <c r="B1326" s="95"/>
      <c r="C1326" s="94" t="s">
        <v>30</v>
      </c>
      <c r="D1326" s="94" t="s">
        <v>1224</v>
      </c>
      <c r="E1326" s="94" t="s">
        <v>2737</v>
      </c>
      <c r="F1326" s="94" t="s">
        <v>752</v>
      </c>
      <c r="G1326" s="94" t="s">
        <v>34</v>
      </c>
      <c r="H1326" s="94">
        <f>STOCK[[#This Row],[Precio Final]]</f>
        <v>12</v>
      </c>
      <c r="I1326" s="94">
        <f>STOCK[[#This Row],[Precio Venta Ideal (x1.5)]]</f>
        <v>14.31</v>
      </c>
      <c r="J1326" s="96">
        <v>1</v>
      </c>
      <c r="K1326" s="96">
        <f>SUMIFS(VENTAS[Cantidad],VENTAS[Código del producto Vendido],STOCK[[#This Row],[Code]])</f>
        <v>0</v>
      </c>
      <c r="L1326" s="96">
        <f>STOCK[[#This Row],[Entradas]]-STOCK[[#This Row],[Salidas]]</f>
        <v>1</v>
      </c>
      <c r="M1326" s="94">
        <f>STOCK[[#This Row],[Precio Final]]*10%</f>
        <v>1.2</v>
      </c>
      <c r="N1326" s="94">
        <v>0</v>
      </c>
      <c r="O1326" s="94">
        <v>0</v>
      </c>
      <c r="P1326" s="94">
        <v>5.97</v>
      </c>
      <c r="Q1326" s="96">
        <v>0</v>
      </c>
      <c r="R1326" s="94">
        <v>0</v>
      </c>
      <c r="S1326" s="94">
        <v>2.37</v>
      </c>
      <c r="T1326" s="94">
        <f>STOCK[[#This Row],[Costo Unitario (USD)]]+STOCK[[#This Row],[Costo Envío (USD)]]+STOCK[[#This Row],[Comisión 10%]]</f>
        <v>9.54</v>
      </c>
      <c r="U1326" s="76">
        <f>STOCK[[#This Row],[Costo total]]*1.5</f>
        <v>14.31</v>
      </c>
      <c r="V1326" s="94">
        <v>12</v>
      </c>
      <c r="W1326" s="94">
        <f>STOCK[[#This Row],[Precio Final]]-STOCK[[#This Row],[Costo total]]</f>
        <v>2.46</v>
      </c>
      <c r="X1326" s="94">
        <f>STOCK[[#This Row],[Ganancia Unitaria]]*STOCK[[#This Row],[Salidas]]</f>
        <v>0</v>
      </c>
      <c r="Y1326" s="94" t="s">
        <v>2729</v>
      </c>
      <c r="Z1326" s="94"/>
      <c r="AA1326" s="94">
        <f>STOCK[[#This Row],[Costo total]]*STOCK[[#This Row],[Entradas]]</f>
        <v>9.54</v>
      </c>
      <c r="AB1326" s="94">
        <f>STOCK[[#This Row],[Stock Actual]]*STOCK[[#This Row],[Costo total]]</f>
        <v>9.54</v>
      </c>
      <c r="AC1326" s="94"/>
    </row>
    <row r="1327" s="76" customFormat="1" ht="50" hidden="1" customHeight="1" spans="1:29">
      <c r="A1327" s="76" t="s">
        <v>2738</v>
      </c>
      <c r="B1327" s="95"/>
      <c r="C1327" s="94" t="s">
        <v>30</v>
      </c>
      <c r="D1327" s="94" t="s">
        <v>1224</v>
      </c>
      <c r="E1327" s="94" t="s">
        <v>2739</v>
      </c>
      <c r="F1327" s="94" t="s">
        <v>2740</v>
      </c>
      <c r="G1327" s="94" t="s">
        <v>34</v>
      </c>
      <c r="H1327" s="94">
        <f>STOCK[[#This Row],[Precio Final]]</f>
        <v>12</v>
      </c>
      <c r="I1327" s="94">
        <f>STOCK[[#This Row],[Precio Venta Ideal (x1.5)]]</f>
        <v>14.31</v>
      </c>
      <c r="J1327" s="96">
        <v>1</v>
      </c>
      <c r="K1327" s="96">
        <f>SUMIFS(VENTAS[Cantidad],VENTAS[Código del producto Vendido],STOCK[[#This Row],[Code]])</f>
        <v>1</v>
      </c>
      <c r="L1327" s="96">
        <f>STOCK[[#This Row],[Entradas]]-STOCK[[#This Row],[Salidas]]</f>
        <v>0</v>
      </c>
      <c r="M1327" s="94">
        <f>STOCK[[#This Row],[Precio Final]]*10%</f>
        <v>1.2</v>
      </c>
      <c r="N1327" s="94">
        <v>0</v>
      </c>
      <c r="O1327" s="94">
        <v>0</v>
      </c>
      <c r="P1327" s="94">
        <v>5.97</v>
      </c>
      <c r="Q1327" s="96">
        <v>0</v>
      </c>
      <c r="R1327" s="94">
        <v>0</v>
      </c>
      <c r="S1327" s="94">
        <v>2.37</v>
      </c>
      <c r="T1327" s="94">
        <f>STOCK[[#This Row],[Costo Unitario (USD)]]+STOCK[[#This Row],[Costo Envío (USD)]]+STOCK[[#This Row],[Comisión 10%]]</f>
        <v>9.54</v>
      </c>
      <c r="U1327" s="76">
        <f>STOCK[[#This Row],[Costo total]]*1.5</f>
        <v>14.31</v>
      </c>
      <c r="V1327" s="94">
        <v>12</v>
      </c>
      <c r="W1327" s="94">
        <f>STOCK[[#This Row],[Precio Final]]-STOCK[[#This Row],[Costo total]]</f>
        <v>2.46</v>
      </c>
      <c r="X1327" s="94">
        <f>STOCK[[#This Row],[Ganancia Unitaria]]*STOCK[[#This Row],[Salidas]]</f>
        <v>2.46</v>
      </c>
      <c r="Y1327" s="94" t="s">
        <v>2729</v>
      </c>
      <c r="Z1327" s="94"/>
      <c r="AA1327" s="94">
        <f>STOCK[[#This Row],[Costo total]]*STOCK[[#This Row],[Entradas]]</f>
        <v>9.54</v>
      </c>
      <c r="AB1327" s="94">
        <f>STOCK[[#This Row],[Stock Actual]]*STOCK[[#This Row],[Costo total]]</f>
        <v>0</v>
      </c>
      <c r="AC1327" s="94"/>
    </row>
    <row r="1328" s="76" customFormat="1" ht="50" hidden="1" customHeight="1" spans="1:29">
      <c r="A1328" s="76" t="s">
        <v>2741</v>
      </c>
      <c r="B1328" s="95"/>
      <c r="C1328" s="94" t="s">
        <v>30</v>
      </c>
      <c r="D1328" s="94" t="s">
        <v>2125</v>
      </c>
      <c r="E1328" s="94" t="s">
        <v>2742</v>
      </c>
      <c r="F1328" s="94" t="s">
        <v>44</v>
      </c>
      <c r="G1328" s="94" t="s">
        <v>34</v>
      </c>
      <c r="H1328" s="94">
        <f>STOCK[[#This Row],[Precio Final]]</f>
        <v>15</v>
      </c>
      <c r="I1328" s="94">
        <f>STOCK[[#This Row],[Precio Venta Ideal (x1.5)]]</f>
        <v>13.095</v>
      </c>
      <c r="J1328" s="96">
        <v>1</v>
      </c>
      <c r="K1328" s="96">
        <f>SUMIFS(VENTAS[Cantidad],VENTAS[Código del producto Vendido],STOCK[[#This Row],[Code]])</f>
        <v>0</v>
      </c>
      <c r="L1328" s="96">
        <f>STOCK[[#This Row],[Entradas]]-STOCK[[#This Row],[Salidas]]</f>
        <v>1</v>
      </c>
      <c r="M1328" s="94">
        <f>STOCK[[#This Row],[Precio Final]]*10%</f>
        <v>1.5</v>
      </c>
      <c r="N1328" s="94">
        <v>0</v>
      </c>
      <c r="O1328" s="94">
        <v>0</v>
      </c>
      <c r="P1328" s="94">
        <v>4.86</v>
      </c>
      <c r="Q1328" s="96">
        <v>0</v>
      </c>
      <c r="R1328" s="94">
        <v>0</v>
      </c>
      <c r="S1328" s="94">
        <v>2.37</v>
      </c>
      <c r="T1328" s="94">
        <f>STOCK[[#This Row],[Costo Unitario (USD)]]+STOCK[[#This Row],[Costo Envío (USD)]]+STOCK[[#This Row],[Comisión 10%]]</f>
        <v>8.73</v>
      </c>
      <c r="U1328" s="76">
        <f>STOCK[[#This Row],[Costo total]]*1.5</f>
        <v>13.095</v>
      </c>
      <c r="V1328" s="94">
        <v>15</v>
      </c>
      <c r="W1328" s="94">
        <f>STOCK[[#This Row],[Precio Final]]-STOCK[[#This Row],[Costo total]]</f>
        <v>6.27</v>
      </c>
      <c r="X1328" s="94">
        <f>STOCK[[#This Row],[Ganancia Unitaria]]*STOCK[[#This Row],[Salidas]]</f>
        <v>0</v>
      </c>
      <c r="Y1328" s="94" t="s">
        <v>2729</v>
      </c>
      <c r="Z1328" s="94"/>
      <c r="AA1328" s="94">
        <f>STOCK[[#This Row],[Costo total]]*STOCK[[#This Row],[Entradas]]</f>
        <v>8.73</v>
      </c>
      <c r="AB1328" s="94">
        <f>STOCK[[#This Row],[Stock Actual]]*STOCK[[#This Row],[Costo total]]</f>
        <v>8.73</v>
      </c>
      <c r="AC1328" s="94"/>
    </row>
    <row r="1329" s="76" customFormat="1" ht="50" hidden="1" customHeight="1" spans="1:29">
      <c r="A1329" s="76" t="s">
        <v>2743</v>
      </c>
      <c r="B1329" s="95"/>
      <c r="C1329" s="94" t="s">
        <v>30</v>
      </c>
      <c r="D1329" s="94" t="s">
        <v>2125</v>
      </c>
      <c r="E1329" s="94" t="s">
        <v>2744</v>
      </c>
      <c r="F1329" s="94" t="s">
        <v>47</v>
      </c>
      <c r="G1329" s="94" t="s">
        <v>34</v>
      </c>
      <c r="H1329" s="94">
        <f>STOCK[[#This Row],[Precio Final]]</f>
        <v>25</v>
      </c>
      <c r="I1329" s="94">
        <f>STOCK[[#This Row],[Precio Venta Ideal (x1.5)]]</f>
        <v>26.73</v>
      </c>
      <c r="J1329" s="96">
        <v>1</v>
      </c>
      <c r="K1329" s="96">
        <f>SUMIFS(VENTAS[Cantidad],VENTAS[Código del producto Vendido],STOCK[[#This Row],[Code]])</f>
        <v>0</v>
      </c>
      <c r="L1329" s="96">
        <f>STOCK[[#This Row],[Entradas]]-STOCK[[#This Row],[Salidas]]</f>
        <v>1</v>
      </c>
      <c r="M1329" s="94">
        <f>STOCK[[#This Row],[Precio Final]]*10%</f>
        <v>2.5</v>
      </c>
      <c r="N1329" s="94">
        <v>0</v>
      </c>
      <c r="O1329" s="94">
        <v>0</v>
      </c>
      <c r="P1329" s="94">
        <v>12.95</v>
      </c>
      <c r="Q1329" s="96">
        <v>0</v>
      </c>
      <c r="R1329" s="94">
        <v>0</v>
      </c>
      <c r="S1329" s="94">
        <v>2.37</v>
      </c>
      <c r="T1329" s="94">
        <f>STOCK[[#This Row],[Costo Unitario (USD)]]+STOCK[[#This Row],[Costo Envío (USD)]]+STOCK[[#This Row],[Comisión 10%]]</f>
        <v>17.82</v>
      </c>
      <c r="U1329" s="76">
        <f>STOCK[[#This Row],[Costo total]]*1.5</f>
        <v>26.73</v>
      </c>
      <c r="V1329" s="94">
        <v>25</v>
      </c>
      <c r="W1329" s="94">
        <f>STOCK[[#This Row],[Precio Final]]-STOCK[[#This Row],[Costo total]]</f>
        <v>7.18</v>
      </c>
      <c r="X1329" s="94">
        <f>STOCK[[#This Row],[Ganancia Unitaria]]*STOCK[[#This Row],[Salidas]]</f>
        <v>0</v>
      </c>
      <c r="Y1329" s="94" t="s">
        <v>2729</v>
      </c>
      <c r="Z1329" s="94"/>
      <c r="AA1329" s="94">
        <f>STOCK[[#This Row],[Costo total]]*STOCK[[#This Row],[Entradas]]</f>
        <v>17.82</v>
      </c>
      <c r="AB1329" s="94">
        <f>STOCK[[#This Row],[Stock Actual]]*STOCK[[#This Row],[Costo total]]</f>
        <v>17.82</v>
      </c>
      <c r="AC1329" s="94"/>
    </row>
    <row r="1330" s="76" customFormat="1" ht="50" hidden="1" customHeight="1" spans="1:29">
      <c r="A1330" s="76" t="s">
        <v>2745</v>
      </c>
      <c r="B1330" s="95"/>
      <c r="C1330" s="94" t="s">
        <v>30</v>
      </c>
      <c r="D1330" s="94" t="s">
        <v>2131</v>
      </c>
      <c r="E1330" s="94" t="s">
        <v>2746</v>
      </c>
      <c r="F1330" s="94" t="s">
        <v>60</v>
      </c>
      <c r="G1330" s="94" t="s">
        <v>34</v>
      </c>
      <c r="H1330" s="94">
        <f>STOCK[[#This Row],[Precio Final]]</f>
        <v>35</v>
      </c>
      <c r="I1330" s="94">
        <f>STOCK[[#This Row],[Precio Venta Ideal (x1.5)]]</f>
        <v>27.03</v>
      </c>
      <c r="J1330" s="96">
        <v>2</v>
      </c>
      <c r="K1330" s="96">
        <f>SUMIFS(VENTAS[Cantidad],VENTAS[Código del producto Vendido],STOCK[[#This Row],[Code]])</f>
        <v>1</v>
      </c>
      <c r="L1330" s="96">
        <f>STOCK[[#This Row],[Entradas]]-STOCK[[#This Row],[Salidas]]</f>
        <v>1</v>
      </c>
      <c r="M1330" s="94">
        <f>STOCK[[#This Row],[Precio Final]]*10%</f>
        <v>3.5</v>
      </c>
      <c r="N1330" s="94">
        <v>0</v>
      </c>
      <c r="O1330" s="94">
        <v>0</v>
      </c>
      <c r="P1330" s="94">
        <v>12.15</v>
      </c>
      <c r="Q1330" s="96">
        <v>0</v>
      </c>
      <c r="R1330" s="94">
        <v>0</v>
      </c>
      <c r="S1330" s="94">
        <v>2.37</v>
      </c>
      <c r="T1330" s="94">
        <f>STOCK[[#This Row],[Costo Unitario (USD)]]+STOCK[[#This Row],[Costo Envío (USD)]]+STOCK[[#This Row],[Comisión 10%]]</f>
        <v>18.02</v>
      </c>
      <c r="U1330" s="76">
        <f>STOCK[[#This Row],[Costo total]]*1.5</f>
        <v>27.03</v>
      </c>
      <c r="V1330" s="94">
        <v>35</v>
      </c>
      <c r="W1330" s="94">
        <f>STOCK[[#This Row],[Precio Final]]-STOCK[[#This Row],[Costo total]]</f>
        <v>16.98</v>
      </c>
      <c r="X1330" s="94">
        <f>STOCK[[#This Row],[Ganancia Unitaria]]*STOCK[[#This Row],[Salidas]]</f>
        <v>16.98</v>
      </c>
      <c r="Y1330" s="94" t="s">
        <v>2729</v>
      </c>
      <c r="Z1330" s="94"/>
      <c r="AA1330" s="94">
        <f>STOCK[[#This Row],[Costo total]]*STOCK[[#This Row],[Entradas]]</f>
        <v>36.04</v>
      </c>
      <c r="AB1330" s="94">
        <f>STOCK[[#This Row],[Stock Actual]]*STOCK[[#This Row],[Costo total]]</f>
        <v>18.02</v>
      </c>
      <c r="AC1330" s="94"/>
    </row>
    <row r="1331" s="76" customFormat="1" ht="50" hidden="1" customHeight="1" spans="1:29">
      <c r="A1331" s="76" t="s">
        <v>2747</v>
      </c>
      <c r="B1331" s="95"/>
      <c r="C1331" s="94" t="s">
        <v>30</v>
      </c>
      <c r="D1331" s="94" t="s">
        <v>2626</v>
      </c>
      <c r="E1331" s="94" t="s">
        <v>2748</v>
      </c>
      <c r="F1331" s="94" t="s">
        <v>60</v>
      </c>
      <c r="G1331" s="94" t="s">
        <v>34</v>
      </c>
      <c r="H1331" s="94">
        <f>STOCK[[#This Row],[Precio Final]]</f>
        <v>20</v>
      </c>
      <c r="I1331" s="94">
        <f>STOCK[[#This Row],[Precio Venta Ideal (x1.5)]]</f>
        <v>12.18</v>
      </c>
      <c r="J1331" s="96">
        <v>2</v>
      </c>
      <c r="K1331" s="96">
        <f>SUMIFS(VENTAS[Cantidad],VENTAS[Código del producto Vendido],STOCK[[#This Row],[Code]])</f>
        <v>0</v>
      </c>
      <c r="L1331" s="96">
        <f>STOCK[[#This Row],[Entradas]]-STOCK[[#This Row],[Salidas]]</f>
        <v>2</v>
      </c>
      <c r="M1331" s="94">
        <f>STOCK[[#This Row],[Precio Final]]*10%</f>
        <v>2</v>
      </c>
      <c r="N1331" s="94">
        <v>0</v>
      </c>
      <c r="O1331" s="94">
        <v>0</v>
      </c>
      <c r="P1331" s="94">
        <v>3.75</v>
      </c>
      <c r="Q1331" s="96">
        <v>0</v>
      </c>
      <c r="R1331" s="94">
        <v>0</v>
      </c>
      <c r="S1331" s="94">
        <v>2.37</v>
      </c>
      <c r="T1331" s="94">
        <f>STOCK[[#This Row],[Costo Unitario (USD)]]+STOCK[[#This Row],[Costo Envío (USD)]]+STOCK[[#This Row],[Comisión 10%]]</f>
        <v>8.12</v>
      </c>
      <c r="U1331" s="76">
        <f>STOCK[[#This Row],[Costo total]]*1.5</f>
        <v>12.18</v>
      </c>
      <c r="V1331" s="94">
        <v>20</v>
      </c>
      <c r="W1331" s="94">
        <f>STOCK[[#This Row],[Precio Final]]-STOCK[[#This Row],[Costo total]]</f>
        <v>11.88</v>
      </c>
      <c r="X1331" s="94">
        <f>STOCK[[#This Row],[Ganancia Unitaria]]*STOCK[[#This Row],[Salidas]]</f>
        <v>0</v>
      </c>
      <c r="Y1331" s="94" t="s">
        <v>2729</v>
      </c>
      <c r="Z1331" s="94"/>
      <c r="AA1331" s="94">
        <f>STOCK[[#This Row],[Costo total]]*STOCK[[#This Row],[Entradas]]</f>
        <v>16.24</v>
      </c>
      <c r="AB1331" s="94">
        <f>STOCK[[#This Row],[Stock Actual]]*STOCK[[#This Row],[Costo total]]</f>
        <v>16.24</v>
      </c>
      <c r="AC1331" s="94"/>
    </row>
    <row r="1332" s="76" customFormat="1" ht="50" hidden="1" customHeight="1" spans="1:29">
      <c r="A1332" s="76" t="s">
        <v>2749</v>
      </c>
      <c r="B1332" s="95"/>
      <c r="C1332" s="94" t="s">
        <v>30</v>
      </c>
      <c r="D1332" s="94" t="s">
        <v>2626</v>
      </c>
      <c r="E1332" s="94" t="s">
        <v>2748</v>
      </c>
      <c r="F1332" s="94" t="s">
        <v>47</v>
      </c>
      <c r="G1332" s="94" t="s">
        <v>34</v>
      </c>
      <c r="H1332" s="94">
        <f>STOCK[[#This Row],[Precio Final]]</f>
        <v>20</v>
      </c>
      <c r="I1332" s="94">
        <f>STOCK[[#This Row],[Precio Venta Ideal (x1.5)]]</f>
        <v>12.18</v>
      </c>
      <c r="J1332" s="96">
        <v>2</v>
      </c>
      <c r="K1332" s="96">
        <f>SUMIFS(VENTAS[Cantidad],VENTAS[Código del producto Vendido],STOCK[[#This Row],[Code]])</f>
        <v>1</v>
      </c>
      <c r="L1332" s="96">
        <f>STOCK[[#This Row],[Entradas]]-STOCK[[#This Row],[Salidas]]</f>
        <v>1</v>
      </c>
      <c r="M1332" s="94">
        <f>STOCK[[#This Row],[Precio Final]]*10%</f>
        <v>2</v>
      </c>
      <c r="N1332" s="94">
        <v>0</v>
      </c>
      <c r="O1332" s="94">
        <v>0</v>
      </c>
      <c r="P1332" s="94">
        <v>3.75</v>
      </c>
      <c r="Q1332" s="96">
        <v>0</v>
      </c>
      <c r="R1332" s="94">
        <v>0</v>
      </c>
      <c r="S1332" s="94">
        <v>2.37</v>
      </c>
      <c r="T1332" s="94">
        <f>STOCK[[#This Row],[Costo Unitario (USD)]]+STOCK[[#This Row],[Costo Envío (USD)]]+STOCK[[#This Row],[Comisión 10%]]</f>
        <v>8.12</v>
      </c>
      <c r="U1332" s="76">
        <f>STOCK[[#This Row],[Costo total]]*1.5</f>
        <v>12.18</v>
      </c>
      <c r="V1332" s="94">
        <v>20</v>
      </c>
      <c r="W1332" s="94">
        <f>STOCK[[#This Row],[Precio Final]]-STOCK[[#This Row],[Costo total]]</f>
        <v>11.88</v>
      </c>
      <c r="X1332" s="94">
        <f>STOCK[[#This Row],[Ganancia Unitaria]]*STOCK[[#This Row],[Salidas]]</f>
        <v>11.88</v>
      </c>
      <c r="Y1332" s="94" t="s">
        <v>2729</v>
      </c>
      <c r="Z1332" s="94"/>
      <c r="AA1332" s="94">
        <f>STOCK[[#This Row],[Costo total]]*STOCK[[#This Row],[Entradas]]</f>
        <v>16.24</v>
      </c>
      <c r="AB1332" s="94">
        <f>STOCK[[#This Row],[Stock Actual]]*STOCK[[#This Row],[Costo total]]</f>
        <v>8.12</v>
      </c>
      <c r="AC1332" s="94"/>
    </row>
    <row r="1333" s="76" customFormat="1" ht="50" hidden="1" customHeight="1" spans="1:29">
      <c r="A1333" s="76" t="s">
        <v>2750</v>
      </c>
      <c r="B1333" s="95"/>
      <c r="C1333" s="94" t="s">
        <v>30</v>
      </c>
      <c r="D1333" s="94" t="s">
        <v>2626</v>
      </c>
      <c r="E1333" s="94" t="s">
        <v>2748</v>
      </c>
      <c r="F1333" s="94" t="s">
        <v>44</v>
      </c>
      <c r="G1333" s="94" t="s">
        <v>34</v>
      </c>
      <c r="H1333" s="94">
        <f>STOCK[[#This Row],[Precio Final]]</f>
        <v>20</v>
      </c>
      <c r="I1333" s="94">
        <f>STOCK[[#This Row],[Precio Venta Ideal (x1.5)]]</f>
        <v>12.18</v>
      </c>
      <c r="J1333" s="96">
        <v>2</v>
      </c>
      <c r="K1333" s="96">
        <f>SUMIFS(VENTAS[Cantidad],VENTAS[Código del producto Vendido],STOCK[[#This Row],[Code]])</f>
        <v>1</v>
      </c>
      <c r="L1333" s="96">
        <f>STOCK[[#This Row],[Entradas]]-STOCK[[#This Row],[Salidas]]</f>
        <v>1</v>
      </c>
      <c r="M1333" s="94">
        <f>STOCK[[#This Row],[Precio Final]]*10%</f>
        <v>2</v>
      </c>
      <c r="N1333" s="94">
        <v>0</v>
      </c>
      <c r="O1333" s="94">
        <v>0</v>
      </c>
      <c r="P1333" s="94">
        <v>3.75</v>
      </c>
      <c r="Q1333" s="96">
        <v>0</v>
      </c>
      <c r="R1333" s="94">
        <v>0</v>
      </c>
      <c r="S1333" s="94">
        <v>2.37</v>
      </c>
      <c r="T1333" s="94">
        <f>STOCK[[#This Row],[Costo Unitario (USD)]]+STOCK[[#This Row],[Costo Envío (USD)]]+STOCK[[#This Row],[Comisión 10%]]</f>
        <v>8.12</v>
      </c>
      <c r="U1333" s="76">
        <f>STOCK[[#This Row],[Costo total]]*1.5</f>
        <v>12.18</v>
      </c>
      <c r="V1333" s="94">
        <v>20</v>
      </c>
      <c r="W1333" s="94">
        <f>STOCK[[#This Row],[Precio Final]]-STOCK[[#This Row],[Costo total]]</f>
        <v>11.88</v>
      </c>
      <c r="X1333" s="94">
        <f>STOCK[[#This Row],[Ganancia Unitaria]]*STOCK[[#This Row],[Salidas]]</f>
        <v>11.88</v>
      </c>
      <c r="Y1333" s="94" t="s">
        <v>2729</v>
      </c>
      <c r="Z1333" s="94"/>
      <c r="AA1333" s="94">
        <f>STOCK[[#This Row],[Costo total]]*STOCK[[#This Row],[Entradas]]</f>
        <v>16.24</v>
      </c>
      <c r="AB1333" s="94">
        <f>STOCK[[#This Row],[Stock Actual]]*STOCK[[#This Row],[Costo total]]</f>
        <v>8.12</v>
      </c>
      <c r="AC1333" s="94"/>
    </row>
    <row r="1334" s="76" customFormat="1" ht="50" hidden="1" customHeight="1" spans="1:29">
      <c r="A1334" s="76" t="s">
        <v>2751</v>
      </c>
      <c r="B1334" s="95"/>
      <c r="C1334" s="94" t="s">
        <v>30</v>
      </c>
      <c r="D1334" s="94" t="s">
        <v>2626</v>
      </c>
      <c r="E1334" s="94" t="s">
        <v>2752</v>
      </c>
      <c r="F1334" s="94" t="s">
        <v>60</v>
      </c>
      <c r="G1334" s="94" t="s">
        <v>34</v>
      </c>
      <c r="H1334" s="94">
        <f>STOCK[[#This Row],[Precio Final]]</f>
        <v>35</v>
      </c>
      <c r="I1334" s="94">
        <f>STOCK[[#This Row],[Precio Venta Ideal (x1.5)]]</f>
        <v>24.285</v>
      </c>
      <c r="J1334" s="96">
        <v>3</v>
      </c>
      <c r="K1334" s="96">
        <f>SUMIFS(VENTAS[Cantidad],VENTAS[Código del producto Vendido],STOCK[[#This Row],[Code]])</f>
        <v>0</v>
      </c>
      <c r="L1334" s="96">
        <f>STOCK[[#This Row],[Entradas]]-STOCK[[#This Row],[Salidas]]</f>
        <v>3</v>
      </c>
      <c r="M1334" s="94">
        <f>STOCK[[#This Row],[Precio Final]]*10%</f>
        <v>3.5</v>
      </c>
      <c r="N1334" s="94">
        <v>0</v>
      </c>
      <c r="O1334" s="94">
        <v>0</v>
      </c>
      <c r="P1334" s="94">
        <v>10.32</v>
      </c>
      <c r="Q1334" s="96">
        <v>0</v>
      </c>
      <c r="R1334" s="94">
        <v>0</v>
      </c>
      <c r="S1334" s="94">
        <v>2.37</v>
      </c>
      <c r="T1334" s="94">
        <f>STOCK[[#This Row],[Costo Unitario (USD)]]+STOCK[[#This Row],[Costo Envío (USD)]]+STOCK[[#This Row],[Comisión 10%]]</f>
        <v>16.19</v>
      </c>
      <c r="U1334" s="76">
        <f>STOCK[[#This Row],[Costo total]]*1.5</f>
        <v>24.285</v>
      </c>
      <c r="V1334" s="94">
        <v>35</v>
      </c>
      <c r="W1334" s="94">
        <f>STOCK[[#This Row],[Precio Final]]-STOCK[[#This Row],[Costo total]]</f>
        <v>18.81</v>
      </c>
      <c r="X1334" s="94">
        <f>STOCK[[#This Row],[Ganancia Unitaria]]*STOCK[[#This Row],[Salidas]]</f>
        <v>0</v>
      </c>
      <c r="Y1334" s="94" t="s">
        <v>2729</v>
      </c>
      <c r="Z1334" s="94"/>
      <c r="AA1334" s="94">
        <f>STOCK[[#This Row],[Costo total]]*STOCK[[#This Row],[Entradas]]</f>
        <v>48.57</v>
      </c>
      <c r="AB1334" s="94">
        <f>STOCK[[#This Row],[Stock Actual]]*STOCK[[#This Row],[Costo total]]</f>
        <v>48.57</v>
      </c>
      <c r="AC1334" s="94">
        <v>30</v>
      </c>
    </row>
    <row r="1335" s="76" customFormat="1" ht="50" hidden="1" customHeight="1" spans="1:29">
      <c r="A1335" s="76" t="s">
        <v>2753</v>
      </c>
      <c r="B1335" s="95"/>
      <c r="C1335" s="94" t="s">
        <v>30</v>
      </c>
      <c r="D1335" s="94" t="s">
        <v>2626</v>
      </c>
      <c r="E1335" s="94" t="s">
        <v>2752</v>
      </c>
      <c r="F1335" s="94" t="s">
        <v>47</v>
      </c>
      <c r="G1335" s="94" t="s">
        <v>34</v>
      </c>
      <c r="H1335" s="94">
        <f>STOCK[[#This Row],[Precio Final]]</f>
        <v>35</v>
      </c>
      <c r="I1335" s="94">
        <f>STOCK[[#This Row],[Precio Venta Ideal (x1.5)]]</f>
        <v>24.285</v>
      </c>
      <c r="J1335" s="96">
        <v>3</v>
      </c>
      <c r="K1335" s="96">
        <f>SUMIFS(VENTAS[Cantidad],VENTAS[Código del producto Vendido],STOCK[[#This Row],[Code]])</f>
        <v>0</v>
      </c>
      <c r="L1335" s="96">
        <f>STOCK[[#This Row],[Entradas]]-STOCK[[#This Row],[Salidas]]</f>
        <v>3</v>
      </c>
      <c r="M1335" s="94">
        <f>STOCK[[#This Row],[Precio Final]]*10%</f>
        <v>3.5</v>
      </c>
      <c r="N1335" s="94">
        <v>0</v>
      </c>
      <c r="O1335" s="94">
        <v>0</v>
      </c>
      <c r="P1335" s="94">
        <v>10.32</v>
      </c>
      <c r="Q1335" s="96">
        <v>0</v>
      </c>
      <c r="R1335" s="94">
        <v>0</v>
      </c>
      <c r="S1335" s="94">
        <v>2.37</v>
      </c>
      <c r="T1335" s="94">
        <f>STOCK[[#This Row],[Costo Unitario (USD)]]+STOCK[[#This Row],[Costo Envío (USD)]]+STOCK[[#This Row],[Comisión 10%]]</f>
        <v>16.19</v>
      </c>
      <c r="U1335" s="76">
        <f>STOCK[[#This Row],[Costo total]]*1.5</f>
        <v>24.285</v>
      </c>
      <c r="V1335" s="94">
        <v>35</v>
      </c>
      <c r="W1335" s="94">
        <f>STOCK[[#This Row],[Precio Final]]-STOCK[[#This Row],[Costo total]]</f>
        <v>18.81</v>
      </c>
      <c r="X1335" s="94">
        <f>STOCK[[#This Row],[Ganancia Unitaria]]*STOCK[[#This Row],[Salidas]]</f>
        <v>0</v>
      </c>
      <c r="Y1335" s="94" t="s">
        <v>2729</v>
      </c>
      <c r="Z1335" s="94"/>
      <c r="AA1335" s="94">
        <f>STOCK[[#This Row],[Costo total]]*STOCK[[#This Row],[Entradas]]</f>
        <v>48.57</v>
      </c>
      <c r="AB1335" s="94">
        <f>STOCK[[#This Row],[Stock Actual]]*STOCK[[#This Row],[Costo total]]</f>
        <v>48.57</v>
      </c>
      <c r="AC1335" s="94">
        <v>30</v>
      </c>
    </row>
    <row r="1336" s="76" customFormat="1" ht="50" hidden="1" customHeight="1" spans="1:29">
      <c r="A1336" s="76" t="s">
        <v>2754</v>
      </c>
      <c r="B1336" s="95"/>
      <c r="C1336" s="94" t="s">
        <v>30</v>
      </c>
      <c r="D1336" s="94" t="s">
        <v>2626</v>
      </c>
      <c r="E1336" s="94" t="s">
        <v>2752</v>
      </c>
      <c r="F1336" s="94" t="s">
        <v>44</v>
      </c>
      <c r="G1336" s="94" t="s">
        <v>34</v>
      </c>
      <c r="H1336" s="76">
        <f>STOCK[[#This Row],[Precio Final]]</f>
        <v>35</v>
      </c>
      <c r="I1336" s="97">
        <f>STOCK[[#This Row],[Precio Venta Ideal (x1.5)]]</f>
        <v>24.285</v>
      </c>
      <c r="J1336" s="96">
        <v>3</v>
      </c>
      <c r="K1336" s="91">
        <f>SUMIFS(VENTAS[Cantidad],VENTAS[Código del producto Vendido],STOCK[[#This Row],[Code]])</f>
        <v>0</v>
      </c>
      <c r="L1336" s="91">
        <f>STOCK[[#This Row],[Entradas]]-STOCK[[#This Row],[Salidas]]</f>
        <v>3</v>
      </c>
      <c r="M1336" s="76">
        <f>STOCK[[#This Row],[Precio Final]]*10%</f>
        <v>3.5</v>
      </c>
      <c r="N1336" s="94">
        <v>0</v>
      </c>
      <c r="O1336" s="94">
        <v>0</v>
      </c>
      <c r="P1336" s="76">
        <v>10.32</v>
      </c>
      <c r="Q1336" s="96">
        <v>0</v>
      </c>
      <c r="R1336" s="94">
        <v>0</v>
      </c>
      <c r="S1336" s="94">
        <v>2.37</v>
      </c>
      <c r="T1336" s="76">
        <f>STOCK[[#This Row],[Costo Unitario (USD)]]+STOCK[[#This Row],[Costo Envío (USD)]]+STOCK[[#This Row],[Comisión 10%]]</f>
        <v>16.19</v>
      </c>
      <c r="U1336" s="76">
        <f>STOCK[[#This Row],[Costo total]]*1.5</f>
        <v>24.285</v>
      </c>
      <c r="V1336" s="76">
        <v>35</v>
      </c>
      <c r="W1336" s="76">
        <f>STOCK[[#This Row],[Precio Final]]-STOCK[[#This Row],[Costo total]]</f>
        <v>18.81</v>
      </c>
      <c r="X1336" s="76">
        <f>STOCK[[#This Row],[Ganancia Unitaria]]*STOCK[[#This Row],[Salidas]]</f>
        <v>0</v>
      </c>
      <c r="Y1336" s="94" t="s">
        <v>2729</v>
      </c>
      <c r="AA1336" s="76">
        <f>STOCK[[#This Row],[Costo total]]*STOCK[[#This Row],[Entradas]]</f>
        <v>48.57</v>
      </c>
      <c r="AB1336" s="76">
        <f>STOCK[[#This Row],[Stock Actual]]*STOCK[[#This Row],[Costo total]]</f>
        <v>48.57</v>
      </c>
      <c r="AC1336" s="76">
        <v>30</v>
      </c>
    </row>
    <row r="1337" s="76" customFormat="1" ht="50" hidden="1" customHeight="1" spans="1:29">
      <c r="A1337" s="76" t="s">
        <v>2755</v>
      </c>
      <c r="B1337" s="95"/>
      <c r="C1337" s="94" t="s">
        <v>30</v>
      </c>
      <c r="D1337" s="94" t="s">
        <v>2626</v>
      </c>
      <c r="E1337" s="94" t="s">
        <v>2756</v>
      </c>
      <c r="F1337" s="94" t="s">
        <v>60</v>
      </c>
      <c r="G1337" s="94" t="s">
        <v>34</v>
      </c>
      <c r="H1337" s="94">
        <f>STOCK[[#This Row],[Precio Final]]</f>
        <v>15</v>
      </c>
      <c r="I1337" s="98">
        <f>STOCK[[#This Row],[Precio Venta Ideal (x1.5)]]</f>
        <v>18.675</v>
      </c>
      <c r="J1337" s="96">
        <v>0</v>
      </c>
      <c r="K1337" s="96">
        <f>SUMIFS(VENTAS[Cantidad],VENTAS[Código del producto Vendido],STOCK[[#This Row],[Code]])</f>
        <v>0</v>
      </c>
      <c r="L1337" s="96">
        <f>STOCK[[#This Row],[Entradas]]-STOCK[[#This Row],[Salidas]]</f>
        <v>0</v>
      </c>
      <c r="M1337" s="94">
        <f>STOCK[[#This Row],[Precio Final]]*10%</f>
        <v>1.5</v>
      </c>
      <c r="N1337" s="94">
        <v>0</v>
      </c>
      <c r="O1337" s="94">
        <v>0</v>
      </c>
      <c r="P1337" s="94">
        <v>8.58</v>
      </c>
      <c r="Q1337" s="96">
        <v>0</v>
      </c>
      <c r="R1337" s="94">
        <v>0</v>
      </c>
      <c r="S1337" s="94">
        <v>2.37</v>
      </c>
      <c r="T1337" s="94">
        <f>STOCK[[#This Row],[Costo Unitario (USD)]]+STOCK[[#This Row],[Costo Envío (USD)]]+STOCK[[#This Row],[Comisión 10%]]</f>
        <v>12.45</v>
      </c>
      <c r="U1337" s="76">
        <f>STOCK[[#This Row],[Costo total]]*1.5</f>
        <v>18.675</v>
      </c>
      <c r="V1337" s="94">
        <v>15</v>
      </c>
      <c r="W1337" s="94">
        <f>STOCK[[#This Row],[Precio Final]]-STOCK[[#This Row],[Costo total]]</f>
        <v>2.55</v>
      </c>
      <c r="X1337" s="94">
        <f>STOCK[[#This Row],[Ganancia Unitaria]]*STOCK[[#This Row],[Salidas]]</f>
        <v>0</v>
      </c>
      <c r="Y1337" s="94" t="s">
        <v>2729</v>
      </c>
      <c r="Z1337" s="94"/>
      <c r="AA1337" s="94">
        <f>STOCK[[#This Row],[Costo total]]*STOCK[[#This Row],[Entradas]]</f>
        <v>0</v>
      </c>
      <c r="AB1337" s="94">
        <f>STOCK[[#This Row],[Stock Actual]]*STOCK[[#This Row],[Costo total]]</f>
        <v>0</v>
      </c>
      <c r="AC1337" s="94"/>
    </row>
    <row r="1338" s="76" customFormat="1" ht="50" hidden="1" customHeight="1" spans="1:29">
      <c r="A1338" s="76" t="s">
        <v>2757</v>
      </c>
      <c r="B1338" s="95"/>
      <c r="C1338" s="94" t="s">
        <v>30</v>
      </c>
      <c r="D1338" s="94" t="s">
        <v>2626</v>
      </c>
      <c r="E1338" s="94" t="s">
        <v>2758</v>
      </c>
      <c r="F1338" s="94" t="s">
        <v>60</v>
      </c>
      <c r="G1338" s="94" t="s">
        <v>34</v>
      </c>
      <c r="H1338" s="94">
        <f>STOCK[[#This Row],[Precio Final]]</f>
        <v>25</v>
      </c>
      <c r="I1338" s="98">
        <f>STOCK[[#This Row],[Precio Venta Ideal (x1.5)]]</f>
        <v>21.15</v>
      </c>
      <c r="J1338" s="96">
        <v>1</v>
      </c>
      <c r="K1338" s="96">
        <f>SUMIFS(VENTAS[Cantidad],VENTAS[Código del producto Vendido],STOCK[[#This Row],[Code]])</f>
        <v>1</v>
      </c>
      <c r="L1338" s="96">
        <f>STOCK[[#This Row],[Entradas]]-STOCK[[#This Row],[Salidas]]</f>
        <v>0</v>
      </c>
      <c r="M1338" s="94">
        <f>STOCK[[#This Row],[Precio Final]]*10%</f>
        <v>2.5</v>
      </c>
      <c r="N1338" s="94">
        <v>0</v>
      </c>
      <c r="O1338" s="94">
        <v>0</v>
      </c>
      <c r="P1338" s="94">
        <v>9.23</v>
      </c>
      <c r="Q1338" s="96">
        <v>0</v>
      </c>
      <c r="R1338" s="94">
        <v>0</v>
      </c>
      <c r="S1338" s="94">
        <v>2.37</v>
      </c>
      <c r="T1338" s="94">
        <f>STOCK[[#This Row],[Costo Unitario (USD)]]+STOCK[[#This Row],[Costo Envío (USD)]]+STOCK[[#This Row],[Comisión 10%]]</f>
        <v>14.1</v>
      </c>
      <c r="U1338" s="76">
        <f>STOCK[[#This Row],[Costo total]]*1.5</f>
        <v>21.15</v>
      </c>
      <c r="V1338" s="94">
        <v>25</v>
      </c>
      <c r="W1338" s="94">
        <f>STOCK[[#This Row],[Precio Final]]-STOCK[[#This Row],[Costo total]]</f>
        <v>10.9</v>
      </c>
      <c r="X1338" s="94">
        <f>STOCK[[#This Row],[Ganancia Unitaria]]*STOCK[[#This Row],[Salidas]]</f>
        <v>10.9</v>
      </c>
      <c r="Y1338" s="94" t="s">
        <v>2729</v>
      </c>
      <c r="Z1338" s="94"/>
      <c r="AA1338" s="94">
        <f>STOCK[[#This Row],[Costo total]]*STOCK[[#This Row],[Entradas]]</f>
        <v>14.1</v>
      </c>
      <c r="AB1338" s="94">
        <f>STOCK[[#This Row],[Stock Actual]]*STOCK[[#This Row],[Costo total]]</f>
        <v>0</v>
      </c>
      <c r="AC1338" s="94"/>
    </row>
    <row r="1339" s="76" customFormat="1" ht="50" hidden="1" customHeight="1" spans="1:29">
      <c r="A1339" s="76" t="s">
        <v>2759</v>
      </c>
      <c r="B1339" s="95"/>
      <c r="C1339" s="94" t="s">
        <v>30</v>
      </c>
      <c r="D1339" s="94" t="s">
        <v>2125</v>
      </c>
      <c r="E1339" s="94" t="s">
        <v>2760</v>
      </c>
      <c r="F1339" s="94" t="s">
        <v>60</v>
      </c>
      <c r="G1339" s="94" t="s">
        <v>34</v>
      </c>
      <c r="H1339" s="94">
        <f>STOCK[[#This Row],[Precio Final]]</f>
        <v>22</v>
      </c>
      <c r="I1339" s="98">
        <f>STOCK[[#This Row],[Precio Venta Ideal (x1.5)]]</f>
        <v>23.145</v>
      </c>
      <c r="J1339" s="96">
        <v>2</v>
      </c>
      <c r="K1339" s="96">
        <f>SUMIFS(VENTAS[Cantidad],VENTAS[Código del producto Vendido],STOCK[[#This Row],[Code]])</f>
        <v>2</v>
      </c>
      <c r="L1339" s="96">
        <f>STOCK[[#This Row],[Entradas]]-STOCK[[#This Row],[Salidas]]</f>
        <v>0</v>
      </c>
      <c r="M1339" s="94">
        <f>STOCK[[#This Row],[Precio Final]]*10%</f>
        <v>2.2</v>
      </c>
      <c r="N1339" s="94">
        <v>0</v>
      </c>
      <c r="O1339" s="94">
        <v>0</v>
      </c>
      <c r="P1339" s="94">
        <v>10.86</v>
      </c>
      <c r="Q1339" s="96">
        <v>0</v>
      </c>
      <c r="R1339" s="94">
        <v>0</v>
      </c>
      <c r="S1339" s="94">
        <v>2.37</v>
      </c>
      <c r="T1339" s="94">
        <f>STOCK[[#This Row],[Costo Unitario (USD)]]+STOCK[[#This Row],[Costo Envío (USD)]]+STOCK[[#This Row],[Comisión 10%]]</f>
        <v>15.43</v>
      </c>
      <c r="U1339" s="76">
        <f>STOCK[[#This Row],[Costo total]]*1.5</f>
        <v>23.145</v>
      </c>
      <c r="V1339" s="94">
        <v>22</v>
      </c>
      <c r="W1339" s="94">
        <f>STOCK[[#This Row],[Precio Final]]-STOCK[[#This Row],[Costo total]]</f>
        <v>6.57</v>
      </c>
      <c r="X1339" s="94">
        <f>STOCK[[#This Row],[Ganancia Unitaria]]*STOCK[[#This Row],[Salidas]]</f>
        <v>13.14</v>
      </c>
      <c r="Y1339" s="94" t="s">
        <v>2729</v>
      </c>
      <c r="Z1339" s="94"/>
      <c r="AA1339" s="94">
        <f>STOCK[[#This Row],[Costo total]]*STOCK[[#This Row],[Entradas]]</f>
        <v>30.86</v>
      </c>
      <c r="AB1339" s="94">
        <f>STOCK[[#This Row],[Stock Actual]]*STOCK[[#This Row],[Costo total]]</f>
        <v>0</v>
      </c>
      <c r="AC1339" s="94"/>
    </row>
    <row r="1340" s="76" customFormat="1" ht="50" hidden="1" customHeight="1" spans="1:29">
      <c r="A1340" s="76" t="s">
        <v>2761</v>
      </c>
      <c r="B1340" s="95"/>
      <c r="C1340" s="94" t="s">
        <v>30</v>
      </c>
      <c r="D1340" s="94" t="s">
        <v>2125</v>
      </c>
      <c r="E1340" s="94" t="s">
        <v>2760</v>
      </c>
      <c r="F1340" s="94" t="s">
        <v>47</v>
      </c>
      <c r="G1340" s="94" t="s">
        <v>34</v>
      </c>
      <c r="H1340" s="94">
        <f>STOCK[[#This Row],[Precio Final]]</f>
        <v>22</v>
      </c>
      <c r="I1340" s="98">
        <f>STOCK[[#This Row],[Precio Venta Ideal (x1.5)]]</f>
        <v>23.145</v>
      </c>
      <c r="J1340" s="96">
        <v>2</v>
      </c>
      <c r="K1340" s="96">
        <f>SUMIFS(VENTAS[Cantidad],VENTAS[Código del producto Vendido],STOCK[[#This Row],[Code]])</f>
        <v>0</v>
      </c>
      <c r="L1340" s="96">
        <f>STOCK[[#This Row],[Entradas]]-STOCK[[#This Row],[Salidas]]</f>
        <v>2</v>
      </c>
      <c r="M1340" s="94">
        <f>STOCK[[#This Row],[Precio Final]]*10%</f>
        <v>2.2</v>
      </c>
      <c r="N1340" s="94">
        <v>0</v>
      </c>
      <c r="O1340" s="94">
        <v>0</v>
      </c>
      <c r="P1340" s="94">
        <v>10.86</v>
      </c>
      <c r="Q1340" s="96">
        <v>0</v>
      </c>
      <c r="R1340" s="94">
        <v>0</v>
      </c>
      <c r="S1340" s="94">
        <v>2.37</v>
      </c>
      <c r="T1340" s="94">
        <f>STOCK[[#This Row],[Costo Unitario (USD)]]+STOCK[[#This Row],[Costo Envío (USD)]]+STOCK[[#This Row],[Comisión 10%]]</f>
        <v>15.43</v>
      </c>
      <c r="U1340" s="76">
        <f>STOCK[[#This Row],[Costo total]]*1.5</f>
        <v>23.145</v>
      </c>
      <c r="V1340" s="94">
        <v>22</v>
      </c>
      <c r="W1340" s="94">
        <f>STOCK[[#This Row],[Precio Final]]-STOCK[[#This Row],[Costo total]]</f>
        <v>6.57</v>
      </c>
      <c r="X1340" s="94">
        <f>STOCK[[#This Row],[Ganancia Unitaria]]*STOCK[[#This Row],[Salidas]]</f>
        <v>0</v>
      </c>
      <c r="Y1340" s="94" t="s">
        <v>2729</v>
      </c>
      <c r="Z1340" s="94"/>
      <c r="AA1340" s="94">
        <f>STOCK[[#This Row],[Costo total]]*STOCK[[#This Row],[Entradas]]</f>
        <v>30.86</v>
      </c>
      <c r="AB1340" s="94">
        <f>STOCK[[#This Row],[Stock Actual]]*STOCK[[#This Row],[Costo total]]</f>
        <v>30.86</v>
      </c>
      <c r="AC1340" s="94"/>
    </row>
    <row r="1341" s="76" customFormat="1" ht="50" hidden="1" customHeight="1" spans="1:29">
      <c r="A1341" s="76" t="s">
        <v>2762</v>
      </c>
      <c r="B1341" s="95"/>
      <c r="C1341" s="94" t="s">
        <v>30</v>
      </c>
      <c r="D1341" s="94" t="s">
        <v>2125</v>
      </c>
      <c r="E1341" s="94" t="s">
        <v>2760</v>
      </c>
      <c r="F1341" s="94" t="s">
        <v>44</v>
      </c>
      <c r="G1341" s="94" t="s">
        <v>34</v>
      </c>
      <c r="H1341" s="94">
        <f>STOCK[[#This Row],[Precio Final]]</f>
        <v>22</v>
      </c>
      <c r="I1341" s="98">
        <f>STOCK[[#This Row],[Precio Venta Ideal (x1.5)]]</f>
        <v>23.145</v>
      </c>
      <c r="J1341" s="96">
        <v>2</v>
      </c>
      <c r="K1341" s="96">
        <f>SUMIFS(VENTAS[Cantidad],VENTAS[Código del producto Vendido],STOCK[[#This Row],[Code]])</f>
        <v>0</v>
      </c>
      <c r="L1341" s="96">
        <f>STOCK[[#This Row],[Entradas]]-STOCK[[#This Row],[Salidas]]</f>
        <v>2</v>
      </c>
      <c r="M1341" s="94">
        <f>STOCK[[#This Row],[Precio Final]]*10%</f>
        <v>2.2</v>
      </c>
      <c r="N1341" s="94">
        <v>0</v>
      </c>
      <c r="O1341" s="94">
        <v>0</v>
      </c>
      <c r="P1341" s="94">
        <v>10.86</v>
      </c>
      <c r="Q1341" s="96">
        <v>0</v>
      </c>
      <c r="R1341" s="94">
        <v>0</v>
      </c>
      <c r="S1341" s="94">
        <v>2.37</v>
      </c>
      <c r="T1341" s="94">
        <f>STOCK[[#This Row],[Costo Unitario (USD)]]+STOCK[[#This Row],[Costo Envío (USD)]]+STOCK[[#This Row],[Comisión 10%]]</f>
        <v>15.43</v>
      </c>
      <c r="U1341" s="76">
        <f>STOCK[[#This Row],[Costo total]]*1.5</f>
        <v>23.145</v>
      </c>
      <c r="V1341" s="94">
        <v>22</v>
      </c>
      <c r="W1341" s="94">
        <f>STOCK[[#This Row],[Precio Final]]-STOCK[[#This Row],[Costo total]]</f>
        <v>6.57</v>
      </c>
      <c r="X1341" s="94">
        <f>STOCK[[#This Row],[Ganancia Unitaria]]*STOCK[[#This Row],[Salidas]]</f>
        <v>0</v>
      </c>
      <c r="Y1341" s="94" t="s">
        <v>2729</v>
      </c>
      <c r="Z1341" s="94"/>
      <c r="AA1341" s="94">
        <f>STOCK[[#This Row],[Costo total]]*STOCK[[#This Row],[Entradas]]</f>
        <v>30.86</v>
      </c>
      <c r="AB1341" s="94">
        <f>STOCK[[#This Row],[Stock Actual]]*STOCK[[#This Row],[Costo total]]</f>
        <v>30.86</v>
      </c>
      <c r="AC1341" s="94"/>
    </row>
    <row r="1342" s="76" customFormat="1" ht="50" hidden="1" customHeight="1" spans="1:29">
      <c r="A1342" s="76" t="s">
        <v>2763</v>
      </c>
      <c r="B1342" s="95"/>
      <c r="C1342" s="94" t="s">
        <v>30</v>
      </c>
      <c r="D1342" s="94" t="s">
        <v>2125</v>
      </c>
      <c r="E1342" s="94" t="s">
        <v>2764</v>
      </c>
      <c r="F1342" s="94" t="s">
        <v>60</v>
      </c>
      <c r="G1342" s="94" t="s">
        <v>34</v>
      </c>
      <c r="H1342" s="94">
        <f>STOCK[[#This Row],[Precio Final]]</f>
        <v>22</v>
      </c>
      <c r="I1342" s="98">
        <f>STOCK[[#This Row],[Precio Venta Ideal (x1.5)]]</f>
        <v>22.605</v>
      </c>
      <c r="J1342" s="96">
        <v>2</v>
      </c>
      <c r="K1342" s="96">
        <f>SUMIFS(VENTAS[Cantidad],VENTAS[Código del producto Vendido],STOCK[[#This Row],[Code]])</f>
        <v>0</v>
      </c>
      <c r="L1342" s="96">
        <f>STOCK[[#This Row],[Entradas]]-STOCK[[#This Row],[Salidas]]</f>
        <v>2</v>
      </c>
      <c r="M1342" s="94">
        <f>STOCK[[#This Row],[Precio Final]]*10%</f>
        <v>2.2</v>
      </c>
      <c r="N1342" s="94">
        <v>0</v>
      </c>
      <c r="O1342" s="94">
        <v>0</v>
      </c>
      <c r="P1342" s="94">
        <v>10.5</v>
      </c>
      <c r="Q1342" s="96">
        <v>0</v>
      </c>
      <c r="R1342" s="94">
        <v>0</v>
      </c>
      <c r="S1342" s="94">
        <v>2.37</v>
      </c>
      <c r="T1342" s="94">
        <f>STOCK[[#This Row],[Costo Unitario (USD)]]+STOCK[[#This Row],[Costo Envío (USD)]]+STOCK[[#This Row],[Comisión 10%]]</f>
        <v>15.07</v>
      </c>
      <c r="U1342" s="76">
        <f>STOCK[[#This Row],[Costo total]]*1.5</f>
        <v>22.605</v>
      </c>
      <c r="V1342" s="94">
        <v>22</v>
      </c>
      <c r="W1342" s="94">
        <f>STOCK[[#This Row],[Precio Final]]-STOCK[[#This Row],[Costo total]]</f>
        <v>6.93</v>
      </c>
      <c r="X1342" s="94">
        <f>STOCK[[#This Row],[Ganancia Unitaria]]*STOCK[[#This Row],[Salidas]]</f>
        <v>0</v>
      </c>
      <c r="Y1342" s="94" t="s">
        <v>2729</v>
      </c>
      <c r="Z1342" s="94"/>
      <c r="AA1342" s="94">
        <f>STOCK[[#This Row],[Costo total]]*STOCK[[#This Row],[Entradas]]</f>
        <v>30.14</v>
      </c>
      <c r="AB1342" s="94">
        <f>STOCK[[#This Row],[Stock Actual]]*STOCK[[#This Row],[Costo total]]</f>
        <v>30.14</v>
      </c>
      <c r="AC1342" s="94"/>
    </row>
    <row r="1343" s="76" customFormat="1" ht="50" hidden="1" customHeight="1" spans="1:29">
      <c r="A1343" s="76" t="s">
        <v>2765</v>
      </c>
      <c r="B1343" s="95"/>
      <c r="C1343" s="94" t="s">
        <v>30</v>
      </c>
      <c r="D1343" s="94" t="s">
        <v>2125</v>
      </c>
      <c r="E1343" s="94" t="s">
        <v>2764</v>
      </c>
      <c r="F1343" s="94" t="s">
        <v>47</v>
      </c>
      <c r="G1343" s="94" t="s">
        <v>34</v>
      </c>
      <c r="H1343" s="94">
        <f>STOCK[[#This Row],[Precio Final]]</f>
        <v>22</v>
      </c>
      <c r="I1343" s="98">
        <f>STOCK[[#This Row],[Precio Venta Ideal (x1.5)]]</f>
        <v>22.605</v>
      </c>
      <c r="J1343" s="96">
        <v>2</v>
      </c>
      <c r="K1343" s="96">
        <f>SUMIFS(VENTAS[Cantidad],VENTAS[Código del producto Vendido],STOCK[[#This Row],[Code]])</f>
        <v>0</v>
      </c>
      <c r="L1343" s="96">
        <f>STOCK[[#This Row],[Entradas]]-STOCK[[#This Row],[Salidas]]</f>
        <v>2</v>
      </c>
      <c r="M1343" s="94">
        <f>STOCK[[#This Row],[Precio Final]]*10%</f>
        <v>2.2</v>
      </c>
      <c r="N1343" s="94">
        <v>0</v>
      </c>
      <c r="O1343" s="94">
        <v>0</v>
      </c>
      <c r="P1343" s="94">
        <v>10.5</v>
      </c>
      <c r="Q1343" s="96">
        <v>0</v>
      </c>
      <c r="R1343" s="94">
        <v>0</v>
      </c>
      <c r="S1343" s="94">
        <v>2.37</v>
      </c>
      <c r="T1343" s="94">
        <f>STOCK[[#This Row],[Costo Unitario (USD)]]+STOCK[[#This Row],[Costo Envío (USD)]]+STOCK[[#This Row],[Comisión 10%]]</f>
        <v>15.07</v>
      </c>
      <c r="U1343" s="76">
        <f>STOCK[[#This Row],[Costo total]]*1.5</f>
        <v>22.605</v>
      </c>
      <c r="V1343" s="94">
        <v>22</v>
      </c>
      <c r="W1343" s="94">
        <f>STOCK[[#This Row],[Precio Final]]-STOCK[[#This Row],[Costo total]]</f>
        <v>6.93</v>
      </c>
      <c r="X1343" s="94">
        <f>STOCK[[#This Row],[Ganancia Unitaria]]*STOCK[[#This Row],[Salidas]]</f>
        <v>0</v>
      </c>
      <c r="Y1343" s="94" t="s">
        <v>2729</v>
      </c>
      <c r="Z1343" s="94"/>
      <c r="AA1343" s="94">
        <f>STOCK[[#This Row],[Costo total]]*STOCK[[#This Row],[Entradas]]</f>
        <v>30.14</v>
      </c>
      <c r="AB1343" s="94">
        <f>STOCK[[#This Row],[Stock Actual]]*STOCK[[#This Row],[Costo total]]</f>
        <v>30.14</v>
      </c>
      <c r="AC1343" s="94"/>
    </row>
    <row r="1344" s="76" customFormat="1" ht="50" hidden="1" customHeight="1" spans="1:29">
      <c r="A1344" s="76" t="s">
        <v>2766</v>
      </c>
      <c r="B1344" s="95"/>
      <c r="C1344" s="94" t="s">
        <v>30</v>
      </c>
      <c r="D1344" s="94" t="s">
        <v>2125</v>
      </c>
      <c r="E1344" s="94" t="s">
        <v>2764</v>
      </c>
      <c r="F1344" s="94" t="s">
        <v>44</v>
      </c>
      <c r="G1344" s="94" t="s">
        <v>34</v>
      </c>
      <c r="H1344" s="94">
        <f>STOCK[[#This Row],[Precio Final]]</f>
        <v>22</v>
      </c>
      <c r="I1344" s="98">
        <f>STOCK[[#This Row],[Precio Venta Ideal (x1.5)]]</f>
        <v>22.605</v>
      </c>
      <c r="J1344" s="96">
        <v>2</v>
      </c>
      <c r="K1344" s="96">
        <f>SUMIFS(VENTAS[Cantidad],VENTAS[Código del producto Vendido],STOCK[[#This Row],[Code]])</f>
        <v>1</v>
      </c>
      <c r="L1344" s="96">
        <f>STOCK[[#This Row],[Entradas]]-STOCK[[#This Row],[Salidas]]</f>
        <v>1</v>
      </c>
      <c r="M1344" s="94">
        <f>STOCK[[#This Row],[Precio Final]]*10%</f>
        <v>2.2</v>
      </c>
      <c r="N1344" s="94">
        <v>0</v>
      </c>
      <c r="O1344" s="94">
        <v>0</v>
      </c>
      <c r="P1344" s="94">
        <v>10.5</v>
      </c>
      <c r="Q1344" s="96">
        <v>0</v>
      </c>
      <c r="R1344" s="94">
        <v>0</v>
      </c>
      <c r="S1344" s="94">
        <v>2.37</v>
      </c>
      <c r="T1344" s="94">
        <f>STOCK[[#This Row],[Costo Unitario (USD)]]+STOCK[[#This Row],[Costo Envío (USD)]]+STOCK[[#This Row],[Comisión 10%]]</f>
        <v>15.07</v>
      </c>
      <c r="U1344" s="76">
        <f>STOCK[[#This Row],[Costo total]]*1.5</f>
        <v>22.605</v>
      </c>
      <c r="V1344" s="94">
        <v>22</v>
      </c>
      <c r="W1344" s="94">
        <f>STOCK[[#This Row],[Precio Final]]-STOCK[[#This Row],[Costo total]]</f>
        <v>6.93</v>
      </c>
      <c r="X1344" s="94">
        <f>STOCK[[#This Row],[Ganancia Unitaria]]*STOCK[[#This Row],[Salidas]]</f>
        <v>6.93</v>
      </c>
      <c r="Y1344" s="94" t="s">
        <v>2729</v>
      </c>
      <c r="Z1344" s="94"/>
      <c r="AA1344" s="94">
        <f>STOCK[[#This Row],[Costo total]]*STOCK[[#This Row],[Entradas]]</f>
        <v>30.14</v>
      </c>
      <c r="AB1344" s="94">
        <f>STOCK[[#This Row],[Stock Actual]]*STOCK[[#This Row],[Costo total]]</f>
        <v>15.07</v>
      </c>
      <c r="AC1344" s="94"/>
    </row>
    <row r="1345" s="76" customFormat="1" ht="50" hidden="1" customHeight="1" spans="1:29">
      <c r="A1345" s="76" t="s">
        <v>2767</v>
      </c>
      <c r="B1345" s="95"/>
      <c r="C1345" s="94" t="s">
        <v>30</v>
      </c>
      <c r="D1345" s="94" t="s">
        <v>1224</v>
      </c>
      <c r="E1345" s="94" t="s">
        <v>2768</v>
      </c>
      <c r="F1345" s="94" t="s">
        <v>516</v>
      </c>
      <c r="G1345" s="94" t="s">
        <v>2448</v>
      </c>
      <c r="H1345" s="94">
        <f>STOCK[[#This Row],[Precio Final]]</f>
        <v>45</v>
      </c>
      <c r="I1345" s="98">
        <f>STOCK[[#This Row],[Precio Venta Ideal (x1.5)]]</f>
        <v>36.225</v>
      </c>
      <c r="J1345" s="96">
        <v>2</v>
      </c>
      <c r="K1345" s="96">
        <f>SUMIFS(VENTAS[Cantidad],VENTAS[Código del producto Vendido],STOCK[[#This Row],[Code]])</f>
        <v>0</v>
      </c>
      <c r="L1345" s="96">
        <f>STOCK[[#This Row],[Entradas]]-STOCK[[#This Row],[Salidas]]</f>
        <v>2</v>
      </c>
      <c r="M1345" s="94">
        <f>STOCK[[#This Row],[Precio Final]]*10%</f>
        <v>4.5</v>
      </c>
      <c r="N1345" s="94">
        <v>0</v>
      </c>
      <c r="O1345" s="94">
        <v>0</v>
      </c>
      <c r="P1345" s="94">
        <v>18</v>
      </c>
      <c r="Q1345" s="96">
        <v>0</v>
      </c>
      <c r="R1345" s="94">
        <v>0</v>
      </c>
      <c r="S1345" s="94">
        <v>1.65</v>
      </c>
      <c r="T1345" s="94">
        <f>STOCK[[#This Row],[Costo Unitario (USD)]]+STOCK[[#This Row],[Costo Envío (USD)]]+STOCK[[#This Row],[Comisión 10%]]</f>
        <v>24.15</v>
      </c>
      <c r="U1345" s="76">
        <f>STOCK[[#This Row],[Costo total]]*1.5</f>
        <v>36.225</v>
      </c>
      <c r="V1345" s="94">
        <v>45</v>
      </c>
      <c r="W1345" s="94">
        <f>STOCK[[#This Row],[Precio Final]]-STOCK[[#This Row],[Costo total]]</f>
        <v>20.85</v>
      </c>
      <c r="X1345" s="94">
        <f>STOCK[[#This Row],[Ganancia Unitaria]]*STOCK[[#This Row],[Salidas]]</f>
        <v>0</v>
      </c>
      <c r="Y1345" s="94" t="s">
        <v>2769</v>
      </c>
      <c r="Z1345" s="94"/>
      <c r="AA1345" s="94">
        <f>STOCK[[#This Row],[Costo total]]*STOCK[[#This Row],[Entradas]]</f>
        <v>48.3</v>
      </c>
      <c r="AB1345" s="94">
        <f>STOCK[[#This Row],[Stock Actual]]*STOCK[[#This Row],[Costo total]]</f>
        <v>48.3</v>
      </c>
      <c r="AC1345" s="94"/>
    </row>
    <row r="1346" s="76" customFormat="1" ht="50" hidden="1" customHeight="1" spans="1:29">
      <c r="A1346" s="76" t="s">
        <v>2770</v>
      </c>
      <c r="B1346" s="95"/>
      <c r="C1346" s="94" t="s">
        <v>30</v>
      </c>
      <c r="D1346" s="94" t="s">
        <v>1224</v>
      </c>
      <c r="E1346" s="94" t="s">
        <v>2768</v>
      </c>
      <c r="F1346" s="94" t="s">
        <v>764</v>
      </c>
      <c r="G1346" s="94" t="s">
        <v>2448</v>
      </c>
      <c r="H1346" s="94">
        <f>STOCK[[#This Row],[Precio Final]]</f>
        <v>45</v>
      </c>
      <c r="I1346" s="98">
        <f>STOCK[[#This Row],[Precio Venta Ideal (x1.5)]]</f>
        <v>36.225</v>
      </c>
      <c r="J1346" s="96">
        <v>2</v>
      </c>
      <c r="K1346" s="96">
        <f>SUMIFS(VENTAS[Cantidad],VENTAS[Código del producto Vendido],STOCK[[#This Row],[Code]])</f>
        <v>1</v>
      </c>
      <c r="L1346" s="96">
        <f>STOCK[[#This Row],[Entradas]]-STOCK[[#This Row],[Salidas]]</f>
        <v>1</v>
      </c>
      <c r="M1346" s="94">
        <f>STOCK[[#This Row],[Precio Final]]*10%</f>
        <v>4.5</v>
      </c>
      <c r="N1346" s="94">
        <v>0</v>
      </c>
      <c r="O1346" s="94">
        <v>0</v>
      </c>
      <c r="P1346" s="94">
        <v>18</v>
      </c>
      <c r="Q1346" s="96">
        <v>0</v>
      </c>
      <c r="R1346" s="94">
        <v>0</v>
      </c>
      <c r="S1346" s="94">
        <v>1.65</v>
      </c>
      <c r="T1346" s="94">
        <f>STOCK[[#This Row],[Costo Unitario (USD)]]+STOCK[[#This Row],[Costo Envío (USD)]]+STOCK[[#This Row],[Comisión 10%]]</f>
        <v>24.15</v>
      </c>
      <c r="U1346" s="76">
        <f>STOCK[[#This Row],[Costo total]]*1.5</f>
        <v>36.225</v>
      </c>
      <c r="V1346" s="94">
        <v>45</v>
      </c>
      <c r="W1346" s="94">
        <f>STOCK[[#This Row],[Precio Final]]-STOCK[[#This Row],[Costo total]]</f>
        <v>20.85</v>
      </c>
      <c r="X1346" s="94">
        <f>STOCK[[#This Row],[Ganancia Unitaria]]*STOCK[[#This Row],[Salidas]]</f>
        <v>20.85</v>
      </c>
      <c r="Y1346" s="94"/>
      <c r="Z1346" s="94"/>
      <c r="AA1346" s="94">
        <f>STOCK[[#This Row],[Costo total]]*STOCK[[#This Row],[Entradas]]</f>
        <v>48.3</v>
      </c>
      <c r="AB1346" s="94">
        <f>STOCK[[#This Row],[Stock Actual]]*STOCK[[#This Row],[Costo total]]</f>
        <v>24.15</v>
      </c>
      <c r="AC1346" s="94"/>
    </row>
    <row r="1347" s="76" customFormat="1" ht="50" hidden="1" customHeight="1" spans="1:29">
      <c r="A1347" s="76" t="s">
        <v>2771</v>
      </c>
      <c r="B1347" s="95"/>
      <c r="C1347" s="94" t="s">
        <v>30</v>
      </c>
      <c r="D1347" s="94" t="s">
        <v>1224</v>
      </c>
      <c r="E1347" s="94" t="s">
        <v>2768</v>
      </c>
      <c r="F1347" s="94" t="s">
        <v>762</v>
      </c>
      <c r="G1347" s="94" t="s">
        <v>2448</v>
      </c>
      <c r="H1347" s="94">
        <f>STOCK[[#This Row],[Precio Final]]</f>
        <v>45</v>
      </c>
      <c r="I1347" s="98">
        <f>STOCK[[#This Row],[Precio Venta Ideal (x1.5)]]</f>
        <v>36.225</v>
      </c>
      <c r="J1347" s="96">
        <v>1</v>
      </c>
      <c r="K1347" s="96">
        <f>SUMIFS(VENTAS[Cantidad],VENTAS[Código del producto Vendido],STOCK[[#This Row],[Code]])</f>
        <v>1</v>
      </c>
      <c r="L1347" s="96">
        <f>STOCK[[#This Row],[Entradas]]-STOCK[[#This Row],[Salidas]]</f>
        <v>0</v>
      </c>
      <c r="M1347" s="94">
        <f>STOCK[[#This Row],[Precio Final]]*10%</f>
        <v>4.5</v>
      </c>
      <c r="N1347" s="94">
        <v>0</v>
      </c>
      <c r="O1347" s="94">
        <v>0</v>
      </c>
      <c r="P1347" s="94">
        <v>18</v>
      </c>
      <c r="Q1347" s="96">
        <v>0</v>
      </c>
      <c r="R1347" s="94">
        <v>0</v>
      </c>
      <c r="S1347" s="94">
        <v>1.65</v>
      </c>
      <c r="T1347" s="94">
        <f>STOCK[[#This Row],[Costo Unitario (USD)]]+STOCK[[#This Row],[Costo Envío (USD)]]+STOCK[[#This Row],[Comisión 10%]]</f>
        <v>24.15</v>
      </c>
      <c r="U1347" s="76">
        <f>STOCK[[#This Row],[Costo total]]*1.5</f>
        <v>36.225</v>
      </c>
      <c r="V1347" s="94">
        <v>45</v>
      </c>
      <c r="W1347" s="94">
        <f>STOCK[[#This Row],[Precio Final]]-STOCK[[#This Row],[Costo total]]</f>
        <v>20.85</v>
      </c>
      <c r="X1347" s="94">
        <f>STOCK[[#This Row],[Ganancia Unitaria]]*STOCK[[#This Row],[Salidas]]</f>
        <v>20.85</v>
      </c>
      <c r="Y1347" s="94"/>
      <c r="Z1347" s="94"/>
      <c r="AA1347" s="94">
        <f>STOCK[[#This Row],[Costo total]]*STOCK[[#This Row],[Entradas]]</f>
        <v>24.15</v>
      </c>
      <c r="AB1347" s="94">
        <f>STOCK[[#This Row],[Stock Actual]]*STOCK[[#This Row],[Costo total]]</f>
        <v>0</v>
      </c>
      <c r="AC1347" s="94"/>
    </row>
    <row r="1348" s="76" customFormat="1" ht="50" hidden="1" customHeight="1" spans="1:29">
      <c r="A1348" s="76" t="s">
        <v>2772</v>
      </c>
      <c r="B1348" s="95"/>
      <c r="C1348" s="94" t="s">
        <v>30</v>
      </c>
      <c r="D1348" s="94" t="s">
        <v>1224</v>
      </c>
      <c r="E1348" s="94" t="s">
        <v>2768</v>
      </c>
      <c r="F1348" s="94" t="s">
        <v>757</v>
      </c>
      <c r="G1348" s="94" t="s">
        <v>2448</v>
      </c>
      <c r="H1348" s="94">
        <f>STOCK[[#This Row],[Precio Final]]</f>
        <v>45</v>
      </c>
      <c r="I1348" s="98">
        <f>STOCK[[#This Row],[Precio Venta Ideal (x1.5)]]</f>
        <v>36.225</v>
      </c>
      <c r="J1348" s="96">
        <v>2</v>
      </c>
      <c r="K1348" s="96">
        <f>SUMIFS(VENTAS[Cantidad],VENTAS[Código del producto Vendido],STOCK[[#This Row],[Code]])</f>
        <v>0</v>
      </c>
      <c r="L1348" s="96">
        <f>STOCK[[#This Row],[Entradas]]-STOCK[[#This Row],[Salidas]]</f>
        <v>2</v>
      </c>
      <c r="M1348" s="94">
        <f>STOCK[[#This Row],[Precio Final]]*10%</f>
        <v>4.5</v>
      </c>
      <c r="N1348" s="94">
        <v>0</v>
      </c>
      <c r="O1348" s="94">
        <v>0</v>
      </c>
      <c r="P1348" s="94">
        <v>18</v>
      </c>
      <c r="Q1348" s="96">
        <v>0</v>
      </c>
      <c r="R1348" s="94">
        <v>0</v>
      </c>
      <c r="S1348" s="94">
        <v>1.65</v>
      </c>
      <c r="T1348" s="94">
        <f>STOCK[[#This Row],[Costo Unitario (USD)]]+STOCK[[#This Row],[Costo Envío (USD)]]+STOCK[[#This Row],[Comisión 10%]]</f>
        <v>24.15</v>
      </c>
      <c r="U1348" s="76">
        <f>STOCK[[#This Row],[Costo total]]*1.5</f>
        <v>36.225</v>
      </c>
      <c r="V1348" s="94">
        <v>45</v>
      </c>
      <c r="W1348" s="94">
        <f>STOCK[[#This Row],[Precio Final]]-STOCK[[#This Row],[Costo total]]</f>
        <v>20.85</v>
      </c>
      <c r="X1348" s="94">
        <f>STOCK[[#This Row],[Ganancia Unitaria]]*STOCK[[#This Row],[Salidas]]</f>
        <v>0</v>
      </c>
      <c r="Y1348" s="94"/>
      <c r="Z1348" s="94"/>
      <c r="AA1348" s="94">
        <f>STOCK[[#This Row],[Costo total]]*STOCK[[#This Row],[Entradas]]</f>
        <v>48.3</v>
      </c>
      <c r="AB1348" s="94">
        <f>STOCK[[#This Row],[Stock Actual]]*STOCK[[#This Row],[Costo total]]</f>
        <v>48.3</v>
      </c>
      <c r="AC1348" s="94"/>
    </row>
    <row r="1349" s="76" customFormat="1" ht="50" hidden="1" customHeight="1" spans="1:29">
      <c r="A1349" s="76" t="s">
        <v>2773</v>
      </c>
      <c r="B1349" s="95"/>
      <c r="C1349" s="94" t="s">
        <v>30</v>
      </c>
      <c r="D1349" s="94" t="s">
        <v>1224</v>
      </c>
      <c r="E1349" s="94" t="s">
        <v>2774</v>
      </c>
      <c r="F1349" s="94" t="s">
        <v>516</v>
      </c>
      <c r="G1349" s="94" t="s">
        <v>2448</v>
      </c>
      <c r="H1349" s="94">
        <f>STOCK[[#This Row],[Precio Final]]</f>
        <v>35</v>
      </c>
      <c r="I1349" s="98">
        <f>STOCK[[#This Row],[Precio Venta Ideal (x1.5)]]</f>
        <v>23.475</v>
      </c>
      <c r="J1349" s="96">
        <v>1</v>
      </c>
      <c r="K1349" s="96">
        <f>SUMIFS(VENTAS[Cantidad],VENTAS[Código del producto Vendido],STOCK[[#This Row],[Code]])</f>
        <v>0</v>
      </c>
      <c r="L1349" s="96">
        <f>STOCK[[#This Row],[Entradas]]-STOCK[[#This Row],[Salidas]]</f>
        <v>1</v>
      </c>
      <c r="M1349" s="94">
        <f>STOCK[[#This Row],[Precio Final]]*10%</f>
        <v>3.5</v>
      </c>
      <c r="N1349" s="94">
        <v>0</v>
      </c>
      <c r="O1349" s="94">
        <v>0</v>
      </c>
      <c r="P1349" s="94">
        <v>10.5</v>
      </c>
      <c r="Q1349" s="96">
        <v>0</v>
      </c>
      <c r="R1349" s="94">
        <v>0</v>
      </c>
      <c r="S1349" s="94">
        <v>1.65</v>
      </c>
      <c r="T1349" s="94">
        <f>STOCK[[#This Row],[Costo Unitario (USD)]]+STOCK[[#This Row],[Costo Envío (USD)]]+STOCK[[#This Row],[Comisión 10%]]</f>
        <v>15.65</v>
      </c>
      <c r="U1349" s="76">
        <f>STOCK[[#This Row],[Costo total]]*1.5</f>
        <v>23.475</v>
      </c>
      <c r="V1349" s="94">
        <v>35</v>
      </c>
      <c r="W1349" s="94">
        <f>STOCK[[#This Row],[Precio Final]]-STOCK[[#This Row],[Costo total]]</f>
        <v>19.35</v>
      </c>
      <c r="X1349" s="94">
        <f>STOCK[[#This Row],[Ganancia Unitaria]]*STOCK[[#This Row],[Salidas]]</f>
        <v>0</v>
      </c>
      <c r="Y1349" s="94"/>
      <c r="Z1349" s="94"/>
      <c r="AA1349" s="94">
        <f>STOCK[[#This Row],[Costo total]]*STOCK[[#This Row],[Entradas]]</f>
        <v>15.65</v>
      </c>
      <c r="AB1349" s="94">
        <f>STOCK[[#This Row],[Stock Actual]]*STOCK[[#This Row],[Costo total]]</f>
        <v>15.65</v>
      </c>
      <c r="AC1349" s="94"/>
    </row>
    <row r="1350" s="76" customFormat="1" ht="50" hidden="1" customHeight="1" spans="1:29">
      <c r="A1350" s="76" t="s">
        <v>2775</v>
      </c>
      <c r="B1350" s="95"/>
      <c r="C1350" s="94" t="s">
        <v>30</v>
      </c>
      <c r="D1350" s="94" t="s">
        <v>1224</v>
      </c>
      <c r="E1350" s="94" t="s">
        <v>2774</v>
      </c>
      <c r="F1350" s="94" t="s">
        <v>539</v>
      </c>
      <c r="G1350" s="94" t="s">
        <v>2448</v>
      </c>
      <c r="H1350" s="94">
        <f>STOCK[[#This Row],[Precio Final]]</f>
        <v>35</v>
      </c>
      <c r="I1350" s="98">
        <f>STOCK[[#This Row],[Precio Venta Ideal (x1.5)]]</f>
        <v>23.475</v>
      </c>
      <c r="J1350" s="96">
        <v>2</v>
      </c>
      <c r="K1350" s="96">
        <f>SUMIFS(VENTAS[Cantidad],VENTAS[Código del producto Vendido],STOCK[[#This Row],[Code]])</f>
        <v>0</v>
      </c>
      <c r="L1350" s="96">
        <f>STOCK[[#This Row],[Entradas]]-STOCK[[#This Row],[Salidas]]</f>
        <v>2</v>
      </c>
      <c r="M1350" s="94">
        <f>STOCK[[#This Row],[Precio Final]]*10%</f>
        <v>3.5</v>
      </c>
      <c r="N1350" s="94">
        <v>0</v>
      </c>
      <c r="O1350" s="94">
        <v>0</v>
      </c>
      <c r="P1350" s="94">
        <v>10.5</v>
      </c>
      <c r="Q1350" s="96">
        <v>0</v>
      </c>
      <c r="R1350" s="94">
        <v>0</v>
      </c>
      <c r="S1350" s="94">
        <v>1.65</v>
      </c>
      <c r="T1350" s="94">
        <f>STOCK[[#This Row],[Costo Unitario (USD)]]+STOCK[[#This Row],[Costo Envío (USD)]]+STOCK[[#This Row],[Comisión 10%]]</f>
        <v>15.65</v>
      </c>
      <c r="U1350" s="76">
        <f>STOCK[[#This Row],[Costo total]]*1.5</f>
        <v>23.475</v>
      </c>
      <c r="V1350" s="94">
        <v>35</v>
      </c>
      <c r="W1350" s="94">
        <f>STOCK[[#This Row],[Precio Final]]-STOCK[[#This Row],[Costo total]]</f>
        <v>19.35</v>
      </c>
      <c r="X1350" s="94">
        <f>STOCK[[#This Row],[Ganancia Unitaria]]*STOCK[[#This Row],[Salidas]]</f>
        <v>0</v>
      </c>
      <c r="Y1350" s="94"/>
      <c r="Z1350" s="94"/>
      <c r="AA1350" s="94">
        <f>STOCK[[#This Row],[Costo total]]*STOCK[[#This Row],[Entradas]]</f>
        <v>31.3</v>
      </c>
      <c r="AB1350" s="94">
        <f>STOCK[[#This Row],[Stock Actual]]*STOCK[[#This Row],[Costo total]]</f>
        <v>31.3</v>
      </c>
      <c r="AC1350" s="94"/>
    </row>
    <row r="1351" s="76" customFormat="1" ht="50" hidden="1" customHeight="1" spans="1:29">
      <c r="A1351" s="76" t="s">
        <v>2776</v>
      </c>
      <c r="B1351" s="95"/>
      <c r="C1351" s="94" t="s">
        <v>30</v>
      </c>
      <c r="D1351" s="94" t="s">
        <v>1224</v>
      </c>
      <c r="E1351" s="94" t="s">
        <v>2774</v>
      </c>
      <c r="F1351" s="94" t="s">
        <v>752</v>
      </c>
      <c r="G1351" s="94" t="s">
        <v>2448</v>
      </c>
      <c r="H1351" s="94">
        <f>STOCK[[#This Row],[Precio Final]]</f>
        <v>35</v>
      </c>
      <c r="I1351" s="98">
        <f>STOCK[[#This Row],[Precio Venta Ideal (x1.5)]]</f>
        <v>23.475</v>
      </c>
      <c r="J1351" s="96">
        <v>2</v>
      </c>
      <c r="K1351" s="96">
        <f>SUMIFS(VENTAS[Cantidad],VENTAS[Código del producto Vendido],STOCK[[#This Row],[Code]])</f>
        <v>0</v>
      </c>
      <c r="L1351" s="96">
        <f>STOCK[[#This Row],[Entradas]]-STOCK[[#This Row],[Salidas]]</f>
        <v>2</v>
      </c>
      <c r="M1351" s="94">
        <f>STOCK[[#This Row],[Precio Final]]*10%</f>
        <v>3.5</v>
      </c>
      <c r="N1351" s="94">
        <v>0</v>
      </c>
      <c r="O1351" s="94">
        <v>0</v>
      </c>
      <c r="P1351" s="94">
        <v>10.5</v>
      </c>
      <c r="Q1351" s="96">
        <v>0</v>
      </c>
      <c r="R1351" s="94">
        <v>0</v>
      </c>
      <c r="S1351" s="94">
        <v>1.65</v>
      </c>
      <c r="T1351" s="94">
        <f>STOCK[[#This Row],[Costo Unitario (USD)]]+STOCK[[#This Row],[Costo Envío (USD)]]+STOCK[[#This Row],[Comisión 10%]]</f>
        <v>15.65</v>
      </c>
      <c r="U1351" s="76">
        <f>STOCK[[#This Row],[Costo total]]*1.5</f>
        <v>23.475</v>
      </c>
      <c r="V1351" s="94">
        <v>35</v>
      </c>
      <c r="W1351" s="94">
        <f>STOCK[[#This Row],[Precio Final]]-STOCK[[#This Row],[Costo total]]</f>
        <v>19.35</v>
      </c>
      <c r="X1351" s="94">
        <f>STOCK[[#This Row],[Ganancia Unitaria]]*STOCK[[#This Row],[Salidas]]</f>
        <v>0</v>
      </c>
      <c r="Y1351" s="94"/>
      <c r="Z1351" s="94"/>
      <c r="AA1351" s="94">
        <f>STOCK[[#This Row],[Costo total]]*STOCK[[#This Row],[Entradas]]</f>
        <v>31.3</v>
      </c>
      <c r="AB1351" s="94">
        <f>STOCK[[#This Row],[Stock Actual]]*STOCK[[#This Row],[Costo total]]</f>
        <v>31.3</v>
      </c>
      <c r="AC1351" s="94"/>
    </row>
    <row r="1352" s="76" customFormat="1" ht="50" hidden="1" customHeight="1" spans="1:29">
      <c r="A1352" s="76" t="s">
        <v>2777</v>
      </c>
      <c r="B1352" s="95"/>
      <c r="C1352" s="94" t="s">
        <v>30</v>
      </c>
      <c r="D1352" s="94" t="s">
        <v>1224</v>
      </c>
      <c r="E1352" s="94" t="s">
        <v>2778</v>
      </c>
      <c r="F1352" s="94" t="s">
        <v>516</v>
      </c>
      <c r="G1352" s="94" t="s">
        <v>2448</v>
      </c>
      <c r="H1352" s="94">
        <f>STOCK[[#This Row],[Precio Final]]</f>
        <v>35</v>
      </c>
      <c r="I1352" s="98">
        <f>STOCK[[#This Row],[Precio Venta Ideal (x1.5)]]</f>
        <v>20.85</v>
      </c>
      <c r="J1352" s="96">
        <v>2</v>
      </c>
      <c r="K1352" s="96">
        <f>SUMIFS(VENTAS[Cantidad],VENTAS[Código del producto Vendido],STOCK[[#This Row],[Code]])</f>
        <v>0</v>
      </c>
      <c r="L1352" s="96">
        <f>STOCK[[#This Row],[Entradas]]-STOCK[[#This Row],[Salidas]]</f>
        <v>2</v>
      </c>
      <c r="M1352" s="94">
        <f>STOCK[[#This Row],[Precio Final]]*10%</f>
        <v>3.5</v>
      </c>
      <c r="N1352" s="94">
        <v>0</v>
      </c>
      <c r="O1352" s="94">
        <v>0</v>
      </c>
      <c r="P1352" s="94">
        <v>8.75</v>
      </c>
      <c r="Q1352" s="96">
        <v>0</v>
      </c>
      <c r="R1352" s="94">
        <v>0</v>
      </c>
      <c r="S1352" s="94">
        <v>1.65</v>
      </c>
      <c r="T1352" s="94">
        <f>STOCK[[#This Row],[Costo Unitario (USD)]]+STOCK[[#This Row],[Costo Envío (USD)]]+STOCK[[#This Row],[Comisión 10%]]</f>
        <v>13.9</v>
      </c>
      <c r="U1352" s="76">
        <f>STOCK[[#This Row],[Costo total]]*1.5</f>
        <v>20.85</v>
      </c>
      <c r="V1352" s="94">
        <v>35</v>
      </c>
      <c r="W1352" s="94">
        <f>STOCK[[#This Row],[Precio Final]]-STOCK[[#This Row],[Costo total]]</f>
        <v>21.1</v>
      </c>
      <c r="X1352" s="94">
        <f>STOCK[[#This Row],[Ganancia Unitaria]]*STOCK[[#This Row],[Salidas]]</f>
        <v>0</v>
      </c>
      <c r="Y1352" s="94"/>
      <c r="Z1352" s="94"/>
      <c r="AA1352" s="94">
        <f>STOCK[[#This Row],[Costo total]]*STOCK[[#This Row],[Entradas]]</f>
        <v>27.8</v>
      </c>
      <c r="AB1352" s="94">
        <f>STOCK[[#This Row],[Stock Actual]]*STOCK[[#This Row],[Costo total]]</f>
        <v>27.8</v>
      </c>
      <c r="AC1352" s="94"/>
    </row>
    <row r="1353" s="76" customFormat="1" ht="50" hidden="1" customHeight="1" spans="1:29">
      <c r="A1353" s="76" t="s">
        <v>2779</v>
      </c>
      <c r="B1353" s="95"/>
      <c r="C1353" s="94" t="s">
        <v>30</v>
      </c>
      <c r="D1353" s="94" t="s">
        <v>1224</v>
      </c>
      <c r="E1353" s="94" t="s">
        <v>2778</v>
      </c>
      <c r="F1353" s="94" t="s">
        <v>764</v>
      </c>
      <c r="G1353" s="94" t="s">
        <v>2448</v>
      </c>
      <c r="H1353" s="94">
        <f>STOCK[[#This Row],[Precio Final]]</f>
        <v>35</v>
      </c>
      <c r="I1353" s="98">
        <f>STOCK[[#This Row],[Precio Venta Ideal (x1.5)]]</f>
        <v>20.85</v>
      </c>
      <c r="J1353" s="96">
        <v>2</v>
      </c>
      <c r="K1353" s="96">
        <f>SUMIFS(VENTAS[Cantidad],VENTAS[Código del producto Vendido],STOCK[[#This Row],[Code]])</f>
        <v>0</v>
      </c>
      <c r="L1353" s="96">
        <f>STOCK[[#This Row],[Entradas]]-STOCK[[#This Row],[Salidas]]</f>
        <v>2</v>
      </c>
      <c r="M1353" s="94">
        <f>STOCK[[#This Row],[Precio Final]]*10%</f>
        <v>3.5</v>
      </c>
      <c r="N1353" s="94">
        <v>0</v>
      </c>
      <c r="O1353" s="94">
        <v>0</v>
      </c>
      <c r="P1353" s="94">
        <v>8.75</v>
      </c>
      <c r="Q1353" s="96">
        <v>0</v>
      </c>
      <c r="R1353" s="94">
        <v>0</v>
      </c>
      <c r="S1353" s="94">
        <v>1.65</v>
      </c>
      <c r="T1353" s="94">
        <f>STOCK[[#This Row],[Costo Unitario (USD)]]+STOCK[[#This Row],[Costo Envío (USD)]]+STOCK[[#This Row],[Comisión 10%]]</f>
        <v>13.9</v>
      </c>
      <c r="U1353" s="76">
        <f>STOCK[[#This Row],[Costo total]]*1.5</f>
        <v>20.85</v>
      </c>
      <c r="V1353" s="94">
        <v>35</v>
      </c>
      <c r="W1353" s="94">
        <f>STOCK[[#This Row],[Precio Final]]-STOCK[[#This Row],[Costo total]]</f>
        <v>21.1</v>
      </c>
      <c r="X1353" s="94">
        <f>STOCK[[#This Row],[Ganancia Unitaria]]*STOCK[[#This Row],[Salidas]]</f>
        <v>0</v>
      </c>
      <c r="Y1353" s="94"/>
      <c r="Z1353" s="94"/>
      <c r="AA1353" s="94">
        <f>STOCK[[#This Row],[Costo total]]*STOCK[[#This Row],[Entradas]]</f>
        <v>27.8</v>
      </c>
      <c r="AB1353" s="94">
        <f>STOCK[[#This Row],[Stock Actual]]*STOCK[[#This Row],[Costo total]]</f>
        <v>27.8</v>
      </c>
      <c r="AC1353" s="94"/>
    </row>
    <row r="1354" s="76" customFormat="1" ht="50" hidden="1" customHeight="1" spans="1:29">
      <c r="A1354" s="76" t="s">
        <v>2780</v>
      </c>
      <c r="B1354" s="95"/>
      <c r="C1354" s="94" t="s">
        <v>30</v>
      </c>
      <c r="D1354" s="94" t="s">
        <v>1224</v>
      </c>
      <c r="E1354" s="94" t="s">
        <v>2778</v>
      </c>
      <c r="F1354" s="94" t="s">
        <v>539</v>
      </c>
      <c r="G1354" s="94" t="s">
        <v>2448</v>
      </c>
      <c r="H1354" s="94">
        <f>STOCK[[#This Row],[Precio Final]]</f>
        <v>35</v>
      </c>
      <c r="I1354" s="98">
        <f>STOCK[[#This Row],[Precio Venta Ideal (x1.5)]]</f>
        <v>20.85</v>
      </c>
      <c r="J1354" s="96">
        <v>2</v>
      </c>
      <c r="K1354" s="96">
        <f>SUMIFS(VENTAS[Cantidad],VENTAS[Código del producto Vendido],STOCK[[#This Row],[Code]])</f>
        <v>1</v>
      </c>
      <c r="L1354" s="96">
        <f>STOCK[[#This Row],[Entradas]]-STOCK[[#This Row],[Salidas]]</f>
        <v>1</v>
      </c>
      <c r="M1354" s="94">
        <f>STOCK[[#This Row],[Precio Final]]*10%</f>
        <v>3.5</v>
      </c>
      <c r="N1354" s="94">
        <v>0</v>
      </c>
      <c r="O1354" s="94">
        <v>0</v>
      </c>
      <c r="P1354" s="94">
        <v>8.75</v>
      </c>
      <c r="Q1354" s="96">
        <v>0</v>
      </c>
      <c r="R1354" s="94">
        <v>0</v>
      </c>
      <c r="S1354" s="94">
        <v>1.65</v>
      </c>
      <c r="T1354" s="94">
        <f>STOCK[[#This Row],[Costo Unitario (USD)]]+STOCK[[#This Row],[Costo Envío (USD)]]+STOCK[[#This Row],[Comisión 10%]]</f>
        <v>13.9</v>
      </c>
      <c r="U1354" s="76">
        <f>STOCK[[#This Row],[Costo total]]*1.5</f>
        <v>20.85</v>
      </c>
      <c r="V1354" s="94">
        <v>35</v>
      </c>
      <c r="W1354" s="94">
        <f>STOCK[[#This Row],[Precio Final]]-STOCK[[#This Row],[Costo total]]</f>
        <v>21.1</v>
      </c>
      <c r="X1354" s="94">
        <f>STOCK[[#This Row],[Ganancia Unitaria]]*STOCK[[#This Row],[Salidas]]</f>
        <v>21.1</v>
      </c>
      <c r="Y1354" s="94"/>
      <c r="Z1354" s="94"/>
      <c r="AA1354" s="94">
        <f>STOCK[[#This Row],[Costo total]]*STOCK[[#This Row],[Entradas]]</f>
        <v>27.8</v>
      </c>
      <c r="AB1354" s="94">
        <f>STOCK[[#This Row],[Stock Actual]]*STOCK[[#This Row],[Costo total]]</f>
        <v>13.9</v>
      </c>
      <c r="AC1354" s="94"/>
    </row>
    <row r="1355" s="76" customFormat="1" ht="50" hidden="1" customHeight="1" spans="1:29">
      <c r="A1355" s="76" t="s">
        <v>2781</v>
      </c>
      <c r="B1355" s="95"/>
      <c r="C1355" s="94" t="s">
        <v>30</v>
      </c>
      <c r="D1355" s="94" t="s">
        <v>1224</v>
      </c>
      <c r="E1355" s="94" t="s">
        <v>2782</v>
      </c>
      <c r="F1355" s="94" t="s">
        <v>516</v>
      </c>
      <c r="G1355" s="94" t="s">
        <v>2448</v>
      </c>
      <c r="H1355" s="94">
        <f>STOCK[[#This Row],[Precio Final]]</f>
        <v>20</v>
      </c>
      <c r="I1355" s="98">
        <f>STOCK[[#This Row],[Precio Venta Ideal (x1.5)]]</f>
        <v>12.975</v>
      </c>
      <c r="J1355" s="96">
        <v>2</v>
      </c>
      <c r="K1355" s="96">
        <f>SUMIFS(VENTAS[Cantidad],VENTAS[Código del producto Vendido],STOCK[[#This Row],[Code]])</f>
        <v>0</v>
      </c>
      <c r="L1355" s="96">
        <f>STOCK[[#This Row],[Entradas]]-STOCK[[#This Row],[Salidas]]</f>
        <v>2</v>
      </c>
      <c r="M1355" s="94">
        <f>STOCK[[#This Row],[Precio Final]]*10%</f>
        <v>2</v>
      </c>
      <c r="N1355" s="94">
        <v>0</v>
      </c>
      <c r="O1355" s="94">
        <v>0</v>
      </c>
      <c r="P1355" s="94">
        <v>5</v>
      </c>
      <c r="Q1355" s="96">
        <v>0</v>
      </c>
      <c r="R1355" s="94">
        <v>0</v>
      </c>
      <c r="S1355" s="94">
        <v>1.65</v>
      </c>
      <c r="T1355" s="94">
        <f>STOCK[[#This Row],[Costo Unitario (USD)]]+STOCK[[#This Row],[Costo Envío (USD)]]+STOCK[[#This Row],[Comisión 10%]]</f>
        <v>8.65</v>
      </c>
      <c r="U1355" s="76">
        <f>STOCK[[#This Row],[Costo total]]*1.5</f>
        <v>12.975</v>
      </c>
      <c r="V1355" s="94">
        <v>20</v>
      </c>
      <c r="W1355" s="94">
        <f>STOCK[[#This Row],[Precio Final]]-STOCK[[#This Row],[Costo total]]</f>
        <v>11.35</v>
      </c>
      <c r="X1355" s="94">
        <f>STOCK[[#This Row],[Ganancia Unitaria]]*STOCK[[#This Row],[Salidas]]</f>
        <v>0</v>
      </c>
      <c r="Y1355" s="94"/>
      <c r="Z1355" s="94"/>
      <c r="AA1355" s="94">
        <f>STOCK[[#This Row],[Costo total]]*STOCK[[#This Row],[Entradas]]</f>
        <v>17.3</v>
      </c>
      <c r="AB1355" s="94">
        <f>STOCK[[#This Row],[Stock Actual]]*STOCK[[#This Row],[Costo total]]</f>
        <v>17.3</v>
      </c>
      <c r="AC1355" s="94"/>
    </row>
    <row r="1356" s="76" customFormat="1" ht="50" hidden="1" customHeight="1" spans="1:29">
      <c r="A1356" s="76" t="s">
        <v>2783</v>
      </c>
      <c r="B1356" s="95"/>
      <c r="C1356" s="94" t="s">
        <v>30</v>
      </c>
      <c r="D1356" s="94" t="s">
        <v>1224</v>
      </c>
      <c r="E1356" s="94" t="s">
        <v>2782</v>
      </c>
      <c r="F1356" s="94" t="s">
        <v>764</v>
      </c>
      <c r="G1356" s="94" t="s">
        <v>2448</v>
      </c>
      <c r="H1356" s="94">
        <f>STOCK[[#This Row],[Precio Final]]</f>
        <v>20</v>
      </c>
      <c r="I1356" s="98">
        <f>STOCK[[#This Row],[Precio Venta Ideal (x1.5)]]</f>
        <v>12.975</v>
      </c>
      <c r="J1356" s="96">
        <v>2</v>
      </c>
      <c r="K1356" s="96">
        <f>SUMIFS(VENTAS[Cantidad],VENTAS[Código del producto Vendido],STOCK[[#This Row],[Code]])</f>
        <v>1</v>
      </c>
      <c r="L1356" s="96">
        <f>STOCK[[#This Row],[Entradas]]-STOCK[[#This Row],[Salidas]]</f>
        <v>1</v>
      </c>
      <c r="M1356" s="94">
        <f>STOCK[[#This Row],[Precio Final]]*10%</f>
        <v>2</v>
      </c>
      <c r="N1356" s="94">
        <v>0</v>
      </c>
      <c r="O1356" s="94">
        <v>0</v>
      </c>
      <c r="P1356" s="94">
        <v>5</v>
      </c>
      <c r="Q1356" s="96">
        <v>0</v>
      </c>
      <c r="R1356" s="94">
        <v>0</v>
      </c>
      <c r="S1356" s="94">
        <v>1.65</v>
      </c>
      <c r="T1356" s="94">
        <f>STOCK[[#This Row],[Costo Unitario (USD)]]+STOCK[[#This Row],[Costo Envío (USD)]]+STOCK[[#This Row],[Comisión 10%]]</f>
        <v>8.65</v>
      </c>
      <c r="U1356" s="76">
        <f>STOCK[[#This Row],[Costo total]]*1.5</f>
        <v>12.975</v>
      </c>
      <c r="V1356" s="94">
        <v>20</v>
      </c>
      <c r="W1356" s="94">
        <f>STOCK[[#This Row],[Precio Final]]-STOCK[[#This Row],[Costo total]]</f>
        <v>11.35</v>
      </c>
      <c r="X1356" s="94">
        <f>STOCK[[#This Row],[Ganancia Unitaria]]*STOCK[[#This Row],[Salidas]]</f>
        <v>11.35</v>
      </c>
      <c r="Y1356" s="94"/>
      <c r="Z1356" s="94"/>
      <c r="AA1356" s="94">
        <f>STOCK[[#This Row],[Costo total]]*STOCK[[#This Row],[Entradas]]</f>
        <v>17.3</v>
      </c>
      <c r="AB1356" s="94">
        <f>STOCK[[#This Row],[Stock Actual]]*STOCK[[#This Row],[Costo total]]</f>
        <v>8.65</v>
      </c>
      <c r="AC1356" s="94"/>
    </row>
    <row r="1357" s="76" customFormat="1" ht="50" hidden="1" customHeight="1" spans="1:29">
      <c r="A1357" s="76" t="s">
        <v>2784</v>
      </c>
      <c r="B1357" s="95"/>
      <c r="C1357" s="94" t="s">
        <v>30</v>
      </c>
      <c r="D1357" s="94" t="s">
        <v>1224</v>
      </c>
      <c r="E1357" s="94" t="s">
        <v>2782</v>
      </c>
      <c r="F1357" s="94" t="s">
        <v>2785</v>
      </c>
      <c r="G1357" s="94" t="s">
        <v>2448</v>
      </c>
      <c r="H1357" s="94">
        <f>STOCK[[#This Row],[Precio Final]]</f>
        <v>20</v>
      </c>
      <c r="I1357" s="98">
        <f>STOCK[[#This Row],[Precio Venta Ideal (x1.5)]]</f>
        <v>12.975</v>
      </c>
      <c r="J1357" s="96">
        <v>2</v>
      </c>
      <c r="K1357" s="96">
        <f>SUMIFS(VENTAS[Cantidad],VENTAS[Código del producto Vendido],STOCK[[#This Row],[Code]])</f>
        <v>0</v>
      </c>
      <c r="L1357" s="96">
        <f>STOCK[[#This Row],[Entradas]]-STOCK[[#This Row],[Salidas]]</f>
        <v>2</v>
      </c>
      <c r="M1357" s="94">
        <f>STOCK[[#This Row],[Precio Final]]*10%</f>
        <v>2</v>
      </c>
      <c r="N1357" s="94">
        <v>0</v>
      </c>
      <c r="O1357" s="94">
        <v>0</v>
      </c>
      <c r="P1357" s="94">
        <v>5</v>
      </c>
      <c r="Q1357" s="96">
        <v>0</v>
      </c>
      <c r="R1357" s="94">
        <v>0</v>
      </c>
      <c r="S1357" s="94">
        <v>1.65</v>
      </c>
      <c r="T1357" s="94">
        <f>STOCK[[#This Row],[Costo Unitario (USD)]]+STOCK[[#This Row],[Costo Envío (USD)]]+STOCK[[#This Row],[Comisión 10%]]</f>
        <v>8.65</v>
      </c>
      <c r="U1357" s="76">
        <f>STOCK[[#This Row],[Costo total]]*1.5</f>
        <v>12.975</v>
      </c>
      <c r="V1357" s="94">
        <v>20</v>
      </c>
      <c r="W1357" s="94">
        <f>STOCK[[#This Row],[Precio Final]]-STOCK[[#This Row],[Costo total]]</f>
        <v>11.35</v>
      </c>
      <c r="X1357" s="94">
        <f>STOCK[[#This Row],[Ganancia Unitaria]]*STOCK[[#This Row],[Salidas]]</f>
        <v>0</v>
      </c>
      <c r="Y1357" s="94"/>
      <c r="Z1357" s="94"/>
      <c r="AA1357" s="94">
        <f>STOCK[[#This Row],[Costo total]]*STOCK[[#This Row],[Entradas]]</f>
        <v>17.3</v>
      </c>
      <c r="AB1357" s="94">
        <f>STOCK[[#This Row],[Stock Actual]]*STOCK[[#This Row],[Costo total]]</f>
        <v>17.3</v>
      </c>
      <c r="AC1357" s="94"/>
    </row>
    <row r="1358" s="76" customFormat="1" ht="50" hidden="1" customHeight="1" spans="1:29">
      <c r="A1358" s="76" t="s">
        <v>2786</v>
      </c>
      <c r="B1358" s="95"/>
      <c r="C1358" s="94" t="s">
        <v>30</v>
      </c>
      <c r="D1358" s="94" t="s">
        <v>1224</v>
      </c>
      <c r="E1358" s="94" t="s">
        <v>2782</v>
      </c>
      <c r="F1358" s="94" t="s">
        <v>752</v>
      </c>
      <c r="G1358" s="94" t="s">
        <v>2448</v>
      </c>
      <c r="H1358" s="94">
        <f>STOCK[[#This Row],[Precio Final]]</f>
        <v>20</v>
      </c>
      <c r="I1358" s="98">
        <f>STOCK[[#This Row],[Precio Venta Ideal (x1.5)]]</f>
        <v>12.975</v>
      </c>
      <c r="J1358" s="96">
        <v>2</v>
      </c>
      <c r="K1358" s="96">
        <f>SUMIFS(VENTAS[Cantidad],VENTAS[Código del producto Vendido],STOCK[[#This Row],[Code]])</f>
        <v>0</v>
      </c>
      <c r="L1358" s="96">
        <f>STOCK[[#This Row],[Entradas]]-STOCK[[#This Row],[Salidas]]</f>
        <v>2</v>
      </c>
      <c r="M1358" s="94">
        <f>STOCK[[#This Row],[Precio Final]]*10%</f>
        <v>2</v>
      </c>
      <c r="N1358" s="94">
        <v>0</v>
      </c>
      <c r="O1358" s="94">
        <v>0</v>
      </c>
      <c r="P1358" s="94">
        <v>5</v>
      </c>
      <c r="Q1358" s="96">
        <v>0</v>
      </c>
      <c r="R1358" s="94">
        <v>0</v>
      </c>
      <c r="S1358" s="94">
        <v>1.65</v>
      </c>
      <c r="T1358" s="94">
        <f>STOCK[[#This Row],[Costo Unitario (USD)]]+STOCK[[#This Row],[Costo Envío (USD)]]+STOCK[[#This Row],[Comisión 10%]]</f>
        <v>8.65</v>
      </c>
      <c r="U1358" s="76">
        <f>STOCK[[#This Row],[Costo total]]*1.5</f>
        <v>12.975</v>
      </c>
      <c r="V1358" s="94">
        <v>20</v>
      </c>
      <c r="W1358" s="94">
        <f>STOCK[[#This Row],[Precio Final]]-STOCK[[#This Row],[Costo total]]</f>
        <v>11.35</v>
      </c>
      <c r="X1358" s="94">
        <f>STOCK[[#This Row],[Ganancia Unitaria]]*STOCK[[#This Row],[Salidas]]</f>
        <v>0</v>
      </c>
      <c r="Y1358" s="94"/>
      <c r="Z1358" s="94"/>
      <c r="AA1358" s="94">
        <f>STOCK[[#This Row],[Costo total]]*STOCK[[#This Row],[Entradas]]</f>
        <v>17.3</v>
      </c>
      <c r="AB1358" s="94">
        <f>STOCK[[#This Row],[Stock Actual]]*STOCK[[#This Row],[Costo total]]</f>
        <v>17.3</v>
      </c>
      <c r="AC1358" s="94"/>
    </row>
    <row r="1359" s="76" customFormat="1" ht="50" hidden="1" customHeight="1" spans="1:29">
      <c r="A1359" s="76" t="s">
        <v>2787</v>
      </c>
      <c r="B1359" s="95"/>
      <c r="C1359" s="94" t="s">
        <v>30</v>
      </c>
      <c r="D1359" s="94" t="s">
        <v>1224</v>
      </c>
      <c r="E1359" s="94" t="s">
        <v>2788</v>
      </c>
      <c r="F1359" s="94" t="s">
        <v>516</v>
      </c>
      <c r="G1359" s="94" t="s">
        <v>2448</v>
      </c>
      <c r="H1359" s="94">
        <f>STOCK[[#This Row],[Precio Final]]</f>
        <v>30</v>
      </c>
      <c r="I1359" s="98">
        <f>STOCK[[#This Row],[Precio Venta Ideal (x1.5)]]</f>
        <v>20.1</v>
      </c>
      <c r="J1359" s="96">
        <v>1</v>
      </c>
      <c r="K1359" s="96">
        <f>SUMIFS(VENTAS[Cantidad],VENTAS[Código del producto Vendido],STOCK[[#This Row],[Code]])</f>
        <v>0</v>
      </c>
      <c r="L1359" s="96">
        <f>STOCK[[#This Row],[Entradas]]-STOCK[[#This Row],[Salidas]]</f>
        <v>1</v>
      </c>
      <c r="M1359" s="94">
        <f>STOCK[[#This Row],[Precio Final]]*10%</f>
        <v>3</v>
      </c>
      <c r="N1359" s="94">
        <v>0</v>
      </c>
      <c r="O1359" s="94">
        <v>0</v>
      </c>
      <c r="P1359" s="94">
        <v>8.75</v>
      </c>
      <c r="Q1359" s="96">
        <v>0</v>
      </c>
      <c r="R1359" s="94">
        <v>0</v>
      </c>
      <c r="S1359" s="94">
        <v>1.65</v>
      </c>
      <c r="T1359" s="94">
        <f>STOCK[[#This Row],[Costo Unitario (USD)]]+STOCK[[#This Row],[Costo Envío (USD)]]+STOCK[[#This Row],[Comisión 10%]]</f>
        <v>13.4</v>
      </c>
      <c r="U1359" s="76">
        <f>STOCK[[#This Row],[Costo total]]*1.5</f>
        <v>20.1</v>
      </c>
      <c r="V1359" s="94">
        <v>30</v>
      </c>
      <c r="W1359" s="94">
        <f>STOCK[[#This Row],[Precio Final]]-STOCK[[#This Row],[Costo total]]</f>
        <v>16.6</v>
      </c>
      <c r="X1359" s="94">
        <f>STOCK[[#This Row],[Ganancia Unitaria]]*STOCK[[#This Row],[Salidas]]</f>
        <v>0</v>
      </c>
      <c r="Y1359" s="94"/>
      <c r="Z1359" s="94"/>
      <c r="AA1359" s="94">
        <f>STOCK[[#This Row],[Costo total]]*STOCK[[#This Row],[Entradas]]</f>
        <v>13.4</v>
      </c>
      <c r="AB1359" s="94">
        <f>STOCK[[#This Row],[Stock Actual]]*STOCK[[#This Row],[Costo total]]</f>
        <v>13.4</v>
      </c>
      <c r="AC1359" s="94"/>
    </row>
    <row r="1360" s="76" customFormat="1" ht="50" hidden="1" customHeight="1" spans="1:29">
      <c r="A1360" s="76" t="s">
        <v>2789</v>
      </c>
      <c r="B1360" s="95"/>
      <c r="C1360" s="94" t="s">
        <v>30</v>
      </c>
      <c r="D1360" s="94" t="s">
        <v>1224</v>
      </c>
      <c r="E1360" s="94" t="s">
        <v>2788</v>
      </c>
      <c r="F1360" s="94" t="s">
        <v>764</v>
      </c>
      <c r="G1360" s="94" t="s">
        <v>2448</v>
      </c>
      <c r="H1360" s="94">
        <f>STOCK[[#This Row],[Precio Final]]</f>
        <v>30</v>
      </c>
      <c r="I1360" s="98">
        <f>STOCK[[#This Row],[Precio Venta Ideal (x1.5)]]</f>
        <v>20.1</v>
      </c>
      <c r="J1360" s="96">
        <v>1</v>
      </c>
      <c r="K1360" s="96">
        <f>SUMIFS(VENTAS[Cantidad],VENTAS[Código del producto Vendido],STOCK[[#This Row],[Code]])</f>
        <v>0</v>
      </c>
      <c r="L1360" s="96">
        <f>STOCK[[#This Row],[Entradas]]-STOCK[[#This Row],[Salidas]]</f>
        <v>1</v>
      </c>
      <c r="M1360" s="94">
        <f>STOCK[[#This Row],[Precio Final]]*10%</f>
        <v>3</v>
      </c>
      <c r="N1360" s="94">
        <v>0</v>
      </c>
      <c r="O1360" s="94">
        <v>0</v>
      </c>
      <c r="P1360" s="94">
        <v>8.75</v>
      </c>
      <c r="Q1360" s="96">
        <v>0</v>
      </c>
      <c r="R1360" s="94">
        <v>0</v>
      </c>
      <c r="S1360" s="94">
        <v>1.65</v>
      </c>
      <c r="T1360" s="94">
        <f>STOCK[[#This Row],[Costo Unitario (USD)]]+STOCK[[#This Row],[Costo Envío (USD)]]+STOCK[[#This Row],[Comisión 10%]]</f>
        <v>13.4</v>
      </c>
      <c r="U1360" s="76">
        <f>STOCK[[#This Row],[Costo total]]*1.5</f>
        <v>20.1</v>
      </c>
      <c r="V1360" s="94">
        <v>30</v>
      </c>
      <c r="W1360" s="94">
        <f>STOCK[[#This Row],[Precio Final]]-STOCK[[#This Row],[Costo total]]</f>
        <v>16.6</v>
      </c>
      <c r="X1360" s="94">
        <f>STOCK[[#This Row],[Ganancia Unitaria]]*STOCK[[#This Row],[Salidas]]</f>
        <v>0</v>
      </c>
      <c r="Y1360" s="94"/>
      <c r="Z1360" s="94"/>
      <c r="AA1360" s="94">
        <f>STOCK[[#This Row],[Costo total]]*STOCK[[#This Row],[Entradas]]</f>
        <v>13.4</v>
      </c>
      <c r="AB1360" s="94">
        <f>STOCK[[#This Row],[Stock Actual]]*STOCK[[#This Row],[Costo total]]</f>
        <v>13.4</v>
      </c>
      <c r="AC1360" s="94"/>
    </row>
    <row r="1361" s="76" customFormat="1" ht="50" hidden="1" customHeight="1" spans="1:29">
      <c r="A1361" s="76" t="s">
        <v>2790</v>
      </c>
      <c r="B1361" s="95"/>
      <c r="C1361" s="94" t="s">
        <v>30</v>
      </c>
      <c r="D1361" s="94" t="s">
        <v>1224</v>
      </c>
      <c r="E1361" s="94" t="s">
        <v>2791</v>
      </c>
      <c r="F1361" s="94" t="s">
        <v>516</v>
      </c>
      <c r="G1361" s="94" t="s">
        <v>2448</v>
      </c>
      <c r="H1361" s="94">
        <f>STOCK[[#This Row],[Precio Final]]</f>
        <v>35</v>
      </c>
      <c r="I1361" s="98">
        <f>STOCK[[#This Row],[Precio Venta Ideal (x1.5)]]</f>
        <v>25.35</v>
      </c>
      <c r="J1361" s="96">
        <v>1</v>
      </c>
      <c r="K1361" s="96">
        <f>SUMIFS(VENTAS[Cantidad],VENTAS[Código del producto Vendido],STOCK[[#This Row],[Code]])</f>
        <v>1</v>
      </c>
      <c r="L1361" s="96">
        <f>STOCK[[#This Row],[Entradas]]-STOCK[[#This Row],[Salidas]]</f>
        <v>0</v>
      </c>
      <c r="M1361" s="94">
        <f>STOCK[[#This Row],[Precio Final]]*10%</f>
        <v>3.5</v>
      </c>
      <c r="N1361" s="94">
        <v>0</v>
      </c>
      <c r="O1361" s="94">
        <v>0</v>
      </c>
      <c r="P1361" s="94">
        <v>11.75</v>
      </c>
      <c r="Q1361" s="96">
        <v>0</v>
      </c>
      <c r="R1361" s="94">
        <v>0</v>
      </c>
      <c r="S1361" s="94">
        <v>1.65</v>
      </c>
      <c r="T1361" s="94">
        <f>STOCK[[#This Row],[Costo Unitario (USD)]]+STOCK[[#This Row],[Costo Envío (USD)]]+STOCK[[#This Row],[Comisión 10%]]</f>
        <v>16.9</v>
      </c>
      <c r="U1361" s="76">
        <f>STOCK[[#This Row],[Costo total]]*1.5</f>
        <v>25.35</v>
      </c>
      <c r="V1361" s="94">
        <v>35</v>
      </c>
      <c r="W1361" s="94">
        <f>STOCK[[#This Row],[Precio Final]]-STOCK[[#This Row],[Costo total]]</f>
        <v>18.1</v>
      </c>
      <c r="X1361" s="94">
        <f>STOCK[[#This Row],[Ganancia Unitaria]]*STOCK[[#This Row],[Salidas]]</f>
        <v>18.1</v>
      </c>
      <c r="Y1361" s="94"/>
      <c r="Z1361" s="94"/>
      <c r="AA1361" s="94">
        <f>STOCK[[#This Row],[Costo total]]*STOCK[[#This Row],[Entradas]]</f>
        <v>16.9</v>
      </c>
      <c r="AB1361" s="94">
        <f>STOCK[[#This Row],[Stock Actual]]*STOCK[[#This Row],[Costo total]]</f>
        <v>0</v>
      </c>
      <c r="AC1361" s="94"/>
    </row>
    <row r="1362" s="76" customFormat="1" ht="50" hidden="1" customHeight="1" spans="1:29">
      <c r="A1362" s="76" t="s">
        <v>2792</v>
      </c>
      <c r="B1362" s="95"/>
      <c r="C1362" s="94" t="s">
        <v>30</v>
      </c>
      <c r="D1362" s="94" t="s">
        <v>1224</v>
      </c>
      <c r="E1362" s="94" t="s">
        <v>2791</v>
      </c>
      <c r="F1362" s="94" t="s">
        <v>764</v>
      </c>
      <c r="G1362" s="94" t="s">
        <v>2448</v>
      </c>
      <c r="H1362" s="94">
        <f>STOCK[[#This Row],[Precio Final]]</f>
        <v>35</v>
      </c>
      <c r="I1362" s="98">
        <f>STOCK[[#This Row],[Precio Venta Ideal (x1.5)]]</f>
        <v>22.35</v>
      </c>
      <c r="J1362" s="96">
        <v>2</v>
      </c>
      <c r="K1362" s="96">
        <f>SUMIFS(VENTAS[Cantidad],VENTAS[Código del producto Vendido],STOCK[[#This Row],[Code]])</f>
        <v>2</v>
      </c>
      <c r="L1362" s="96">
        <f>STOCK[[#This Row],[Entradas]]-STOCK[[#This Row],[Salidas]]</f>
        <v>0</v>
      </c>
      <c r="M1362" s="94">
        <f>STOCK[[#This Row],[Precio Final]]*10%</f>
        <v>3.5</v>
      </c>
      <c r="N1362" s="94">
        <v>0</v>
      </c>
      <c r="O1362" s="94">
        <v>0</v>
      </c>
      <c r="P1362" s="94">
        <v>9.75</v>
      </c>
      <c r="Q1362" s="96">
        <v>0</v>
      </c>
      <c r="R1362" s="94">
        <v>0</v>
      </c>
      <c r="S1362" s="94">
        <v>1.65</v>
      </c>
      <c r="T1362" s="94">
        <f>STOCK[[#This Row],[Costo Unitario (USD)]]+STOCK[[#This Row],[Costo Envío (USD)]]+STOCK[[#This Row],[Comisión 10%]]</f>
        <v>14.9</v>
      </c>
      <c r="U1362" s="76">
        <f>STOCK[[#This Row],[Costo total]]*1.5</f>
        <v>22.35</v>
      </c>
      <c r="V1362" s="94">
        <v>35</v>
      </c>
      <c r="W1362" s="94">
        <f>STOCK[[#This Row],[Precio Final]]-STOCK[[#This Row],[Costo total]]</f>
        <v>20.1</v>
      </c>
      <c r="X1362" s="94">
        <f>STOCK[[#This Row],[Ganancia Unitaria]]*STOCK[[#This Row],[Salidas]]</f>
        <v>40.2</v>
      </c>
      <c r="Y1362" s="94"/>
      <c r="Z1362" s="94"/>
      <c r="AA1362" s="94">
        <f>STOCK[[#This Row],[Costo total]]*STOCK[[#This Row],[Entradas]]</f>
        <v>29.8</v>
      </c>
      <c r="AB1362" s="94">
        <f>STOCK[[#This Row],[Stock Actual]]*STOCK[[#This Row],[Costo total]]</f>
        <v>0</v>
      </c>
      <c r="AC1362" s="94"/>
    </row>
    <row r="1363" s="76" customFormat="1" ht="50" hidden="1" customHeight="1" spans="1:29">
      <c r="A1363" s="76" t="s">
        <v>2793</v>
      </c>
      <c r="B1363" s="95"/>
      <c r="C1363" s="94" t="s">
        <v>30</v>
      </c>
      <c r="D1363" s="94" t="s">
        <v>1224</v>
      </c>
      <c r="E1363" s="94" t="s">
        <v>2791</v>
      </c>
      <c r="F1363" s="94" t="s">
        <v>539</v>
      </c>
      <c r="G1363" s="94" t="s">
        <v>2448</v>
      </c>
      <c r="H1363" s="94">
        <f>STOCK[[#This Row],[Precio Final]]</f>
        <v>35</v>
      </c>
      <c r="I1363" s="98">
        <f>STOCK[[#This Row],[Precio Venta Ideal (x1.5)]]</f>
        <v>25.35</v>
      </c>
      <c r="J1363" s="96">
        <v>2</v>
      </c>
      <c r="K1363" s="96">
        <f>SUMIFS(VENTAS[Cantidad],VENTAS[Código del producto Vendido],STOCK[[#This Row],[Code]])</f>
        <v>2</v>
      </c>
      <c r="L1363" s="96">
        <f>STOCK[[#This Row],[Entradas]]-STOCK[[#This Row],[Salidas]]</f>
        <v>0</v>
      </c>
      <c r="M1363" s="94">
        <f>STOCK[[#This Row],[Precio Final]]*10%</f>
        <v>3.5</v>
      </c>
      <c r="N1363" s="94">
        <v>0</v>
      </c>
      <c r="O1363" s="94">
        <v>0</v>
      </c>
      <c r="P1363" s="94">
        <v>11.75</v>
      </c>
      <c r="Q1363" s="96">
        <v>0</v>
      </c>
      <c r="R1363" s="94">
        <v>0</v>
      </c>
      <c r="S1363" s="94">
        <v>1.65</v>
      </c>
      <c r="T1363" s="94">
        <f>STOCK[[#This Row],[Costo Unitario (USD)]]+STOCK[[#This Row],[Costo Envío (USD)]]+STOCK[[#This Row],[Comisión 10%]]</f>
        <v>16.9</v>
      </c>
      <c r="U1363" s="76">
        <f>STOCK[[#This Row],[Costo total]]*1.5</f>
        <v>25.35</v>
      </c>
      <c r="V1363" s="94">
        <v>35</v>
      </c>
      <c r="W1363" s="94">
        <f>STOCK[[#This Row],[Precio Final]]-STOCK[[#This Row],[Costo total]]</f>
        <v>18.1</v>
      </c>
      <c r="X1363" s="94">
        <f>STOCK[[#This Row],[Ganancia Unitaria]]*STOCK[[#This Row],[Salidas]]</f>
        <v>36.2</v>
      </c>
      <c r="Y1363" s="94"/>
      <c r="Z1363" s="94"/>
      <c r="AA1363" s="94">
        <f>STOCK[[#This Row],[Costo total]]*STOCK[[#This Row],[Entradas]]</f>
        <v>33.8</v>
      </c>
      <c r="AB1363" s="94">
        <f>STOCK[[#This Row],[Stock Actual]]*STOCK[[#This Row],[Costo total]]</f>
        <v>0</v>
      </c>
      <c r="AC1363" s="94"/>
    </row>
    <row r="1364" s="76" customFormat="1" ht="50" hidden="1" customHeight="1" spans="1:29">
      <c r="A1364" s="76" t="s">
        <v>2794</v>
      </c>
      <c r="B1364" s="95"/>
      <c r="C1364" s="94" t="s">
        <v>30</v>
      </c>
      <c r="D1364" s="94" t="s">
        <v>1224</v>
      </c>
      <c r="E1364" s="94" t="s">
        <v>2791</v>
      </c>
      <c r="F1364" s="94" t="s">
        <v>762</v>
      </c>
      <c r="G1364" s="94" t="s">
        <v>2448</v>
      </c>
      <c r="H1364" s="94">
        <f>STOCK[[#This Row],[Precio Final]]</f>
        <v>35</v>
      </c>
      <c r="I1364" s="98">
        <f>STOCK[[#This Row],[Precio Venta Ideal (x1.5)]]</f>
        <v>34.725</v>
      </c>
      <c r="J1364" s="96">
        <v>1</v>
      </c>
      <c r="K1364" s="96">
        <f>SUMIFS(VENTAS[Cantidad],VENTAS[Código del producto Vendido],STOCK[[#This Row],[Code]])</f>
        <v>1</v>
      </c>
      <c r="L1364" s="96">
        <f>STOCK[[#This Row],[Entradas]]-STOCK[[#This Row],[Salidas]]</f>
        <v>0</v>
      </c>
      <c r="M1364" s="94">
        <f>STOCK[[#This Row],[Precio Final]]*10%</f>
        <v>3.5</v>
      </c>
      <c r="N1364" s="94">
        <v>0</v>
      </c>
      <c r="O1364" s="94">
        <v>0</v>
      </c>
      <c r="P1364" s="94">
        <v>18</v>
      </c>
      <c r="Q1364" s="96">
        <v>0</v>
      </c>
      <c r="R1364" s="94">
        <v>0</v>
      </c>
      <c r="S1364" s="94">
        <v>1.65</v>
      </c>
      <c r="T1364" s="94">
        <f>STOCK[[#This Row],[Costo Unitario (USD)]]+STOCK[[#This Row],[Costo Envío (USD)]]+STOCK[[#This Row],[Comisión 10%]]</f>
        <v>23.15</v>
      </c>
      <c r="U1364" s="76">
        <f>STOCK[[#This Row],[Costo total]]*1.5</f>
        <v>34.725</v>
      </c>
      <c r="V1364" s="94">
        <v>35</v>
      </c>
      <c r="W1364" s="94">
        <f>STOCK[[#This Row],[Precio Final]]-STOCK[[#This Row],[Costo total]]</f>
        <v>11.85</v>
      </c>
      <c r="X1364" s="94">
        <f>STOCK[[#This Row],[Ganancia Unitaria]]*STOCK[[#This Row],[Salidas]]</f>
        <v>11.85</v>
      </c>
      <c r="Y1364" s="94"/>
      <c r="Z1364" s="94"/>
      <c r="AA1364" s="94">
        <f>STOCK[[#This Row],[Costo total]]*STOCK[[#This Row],[Entradas]]</f>
        <v>23.15</v>
      </c>
      <c r="AB1364" s="94">
        <f>STOCK[[#This Row],[Stock Actual]]*STOCK[[#This Row],[Costo total]]</f>
        <v>0</v>
      </c>
      <c r="AC1364" s="94"/>
    </row>
    <row r="1365" s="76" customFormat="1" ht="50" hidden="1" customHeight="1" spans="1:29">
      <c r="A1365" s="76" t="s">
        <v>2795</v>
      </c>
      <c r="B1365" s="95"/>
      <c r="C1365" s="94" t="s">
        <v>30</v>
      </c>
      <c r="D1365" s="94" t="s">
        <v>1224</v>
      </c>
      <c r="E1365" s="94" t="s">
        <v>2791</v>
      </c>
      <c r="F1365" s="94" t="s">
        <v>752</v>
      </c>
      <c r="G1365" s="94" t="s">
        <v>2448</v>
      </c>
      <c r="H1365" s="94">
        <f>STOCK[[#This Row],[Precio Final]]</f>
        <v>35</v>
      </c>
      <c r="I1365" s="98">
        <f>STOCK[[#This Row],[Precio Venta Ideal (x1.5)]]</f>
        <v>25.35</v>
      </c>
      <c r="J1365" s="96">
        <v>2</v>
      </c>
      <c r="K1365" s="96">
        <f>SUMIFS(VENTAS[Cantidad],VENTAS[Código del producto Vendido],STOCK[[#This Row],[Code]])</f>
        <v>2</v>
      </c>
      <c r="L1365" s="96">
        <f>STOCK[[#This Row],[Entradas]]-STOCK[[#This Row],[Salidas]]</f>
        <v>0</v>
      </c>
      <c r="M1365" s="94">
        <f>STOCK[[#This Row],[Precio Final]]*10%</f>
        <v>3.5</v>
      </c>
      <c r="N1365" s="94">
        <v>0</v>
      </c>
      <c r="O1365" s="94">
        <v>0</v>
      </c>
      <c r="P1365" s="94">
        <v>11.75</v>
      </c>
      <c r="Q1365" s="96">
        <v>0</v>
      </c>
      <c r="R1365" s="94">
        <v>0</v>
      </c>
      <c r="S1365" s="94">
        <v>1.65</v>
      </c>
      <c r="T1365" s="94">
        <f>STOCK[[#This Row],[Costo Unitario (USD)]]+STOCK[[#This Row],[Costo Envío (USD)]]+STOCK[[#This Row],[Comisión 10%]]</f>
        <v>16.9</v>
      </c>
      <c r="U1365" s="76">
        <f>STOCK[[#This Row],[Costo total]]*1.5</f>
        <v>25.35</v>
      </c>
      <c r="V1365" s="94">
        <v>35</v>
      </c>
      <c r="W1365" s="94">
        <f>STOCK[[#This Row],[Precio Final]]-STOCK[[#This Row],[Costo total]]</f>
        <v>18.1</v>
      </c>
      <c r="X1365" s="94">
        <f>STOCK[[#This Row],[Ganancia Unitaria]]*STOCK[[#This Row],[Salidas]]</f>
        <v>36.2</v>
      </c>
      <c r="Y1365" s="94"/>
      <c r="Z1365" s="94"/>
      <c r="AA1365" s="94">
        <f>STOCK[[#This Row],[Costo total]]*STOCK[[#This Row],[Entradas]]</f>
        <v>33.8</v>
      </c>
      <c r="AB1365" s="94">
        <f>STOCK[[#This Row],[Stock Actual]]*STOCK[[#This Row],[Costo total]]</f>
        <v>0</v>
      </c>
      <c r="AC1365" s="94"/>
    </row>
    <row r="1366" s="76" customFormat="1" ht="50" hidden="1" customHeight="1" spans="1:29">
      <c r="A1366" s="76" t="s">
        <v>2796</v>
      </c>
      <c r="B1366" s="95"/>
      <c r="C1366" s="94" t="s">
        <v>30</v>
      </c>
      <c r="D1366" s="94" t="s">
        <v>1224</v>
      </c>
      <c r="E1366" s="94" t="s">
        <v>2797</v>
      </c>
      <c r="F1366" s="94" t="s">
        <v>516</v>
      </c>
      <c r="G1366" s="94" t="s">
        <v>2448</v>
      </c>
      <c r="H1366" s="94">
        <f>STOCK[[#This Row],[Precio Final]]</f>
        <v>25</v>
      </c>
      <c r="I1366" s="98">
        <f>STOCK[[#This Row],[Precio Venta Ideal (x1.5)]]</f>
        <v>20.85</v>
      </c>
      <c r="J1366" s="96">
        <v>1</v>
      </c>
      <c r="K1366" s="96">
        <f>SUMIFS(VENTAS[Cantidad],VENTAS[Código del producto Vendido],STOCK[[#This Row],[Code]])</f>
        <v>0</v>
      </c>
      <c r="L1366" s="96">
        <f>STOCK[[#This Row],[Entradas]]-STOCK[[#This Row],[Salidas]]</f>
        <v>1</v>
      </c>
      <c r="M1366" s="94">
        <f>STOCK[[#This Row],[Precio Final]]*10%</f>
        <v>2.5</v>
      </c>
      <c r="N1366" s="94">
        <v>0</v>
      </c>
      <c r="O1366" s="94">
        <v>0</v>
      </c>
      <c r="P1366" s="94">
        <v>9.75</v>
      </c>
      <c r="Q1366" s="96">
        <v>0</v>
      </c>
      <c r="R1366" s="94">
        <v>0</v>
      </c>
      <c r="S1366" s="94">
        <v>1.65</v>
      </c>
      <c r="T1366" s="94">
        <f>STOCK[[#This Row],[Costo Unitario (USD)]]+STOCK[[#This Row],[Costo Envío (USD)]]+STOCK[[#This Row],[Comisión 10%]]</f>
        <v>13.9</v>
      </c>
      <c r="U1366" s="76">
        <f>STOCK[[#This Row],[Costo total]]*1.5</f>
        <v>20.85</v>
      </c>
      <c r="V1366" s="94">
        <v>25</v>
      </c>
      <c r="W1366" s="94">
        <f>STOCK[[#This Row],[Precio Final]]-STOCK[[#This Row],[Costo total]]</f>
        <v>11.1</v>
      </c>
      <c r="X1366" s="94">
        <f>STOCK[[#This Row],[Ganancia Unitaria]]*STOCK[[#This Row],[Salidas]]</f>
        <v>0</v>
      </c>
      <c r="Y1366" s="94"/>
      <c r="Z1366" s="94"/>
      <c r="AA1366" s="94">
        <f>STOCK[[#This Row],[Costo total]]*STOCK[[#This Row],[Entradas]]</f>
        <v>13.9</v>
      </c>
      <c r="AB1366" s="94">
        <f>STOCK[[#This Row],[Stock Actual]]*STOCK[[#This Row],[Costo total]]</f>
        <v>13.9</v>
      </c>
      <c r="AC1366" s="94"/>
    </row>
    <row r="1367" s="76" customFormat="1" ht="50" hidden="1" customHeight="1" spans="1:29">
      <c r="A1367" s="76" t="s">
        <v>2798</v>
      </c>
      <c r="B1367" s="95"/>
      <c r="C1367" s="94" t="s">
        <v>30</v>
      </c>
      <c r="D1367" s="94" t="s">
        <v>1224</v>
      </c>
      <c r="E1367" s="94" t="s">
        <v>2797</v>
      </c>
      <c r="F1367" s="94" t="s">
        <v>764</v>
      </c>
      <c r="G1367" s="94" t="s">
        <v>2448</v>
      </c>
      <c r="H1367" s="94">
        <f>STOCK[[#This Row],[Precio Final]]</f>
        <v>25</v>
      </c>
      <c r="I1367" s="98">
        <f>STOCK[[#This Row],[Precio Venta Ideal (x1.5)]]</f>
        <v>20.85</v>
      </c>
      <c r="J1367" s="96">
        <v>1</v>
      </c>
      <c r="K1367" s="96">
        <f>SUMIFS(VENTAS[Cantidad],VENTAS[Código del producto Vendido],STOCK[[#This Row],[Code]])</f>
        <v>0</v>
      </c>
      <c r="L1367" s="96">
        <f>STOCK[[#This Row],[Entradas]]-STOCK[[#This Row],[Salidas]]</f>
        <v>1</v>
      </c>
      <c r="M1367" s="94">
        <f>STOCK[[#This Row],[Precio Final]]*10%</f>
        <v>2.5</v>
      </c>
      <c r="N1367" s="94">
        <v>0</v>
      </c>
      <c r="O1367" s="94">
        <v>0</v>
      </c>
      <c r="P1367" s="94">
        <v>9.75</v>
      </c>
      <c r="Q1367" s="96">
        <v>0</v>
      </c>
      <c r="R1367" s="94">
        <v>0</v>
      </c>
      <c r="S1367" s="94">
        <v>1.65</v>
      </c>
      <c r="T1367" s="94">
        <f>STOCK[[#This Row],[Costo Unitario (USD)]]+STOCK[[#This Row],[Costo Envío (USD)]]+STOCK[[#This Row],[Comisión 10%]]</f>
        <v>13.9</v>
      </c>
      <c r="U1367" s="76">
        <f>STOCK[[#This Row],[Costo total]]*1.5</f>
        <v>20.85</v>
      </c>
      <c r="V1367" s="94">
        <v>25</v>
      </c>
      <c r="W1367" s="94">
        <f>STOCK[[#This Row],[Precio Final]]-STOCK[[#This Row],[Costo total]]</f>
        <v>11.1</v>
      </c>
      <c r="X1367" s="94">
        <f>STOCK[[#This Row],[Ganancia Unitaria]]*STOCK[[#This Row],[Salidas]]</f>
        <v>0</v>
      </c>
      <c r="Y1367" s="94"/>
      <c r="Z1367" s="94"/>
      <c r="AA1367" s="94">
        <f>STOCK[[#This Row],[Costo total]]*STOCK[[#This Row],[Entradas]]</f>
        <v>13.9</v>
      </c>
      <c r="AB1367" s="94">
        <f>STOCK[[#This Row],[Stock Actual]]*STOCK[[#This Row],[Costo total]]</f>
        <v>13.9</v>
      </c>
      <c r="AC1367" s="94"/>
    </row>
    <row r="1368" s="76" customFormat="1" ht="50" hidden="1" customHeight="1" spans="1:29">
      <c r="A1368" s="76" t="s">
        <v>2799</v>
      </c>
      <c r="B1368" s="95"/>
      <c r="C1368" s="94" t="s">
        <v>30</v>
      </c>
      <c r="D1368" s="94" t="s">
        <v>1224</v>
      </c>
      <c r="E1368" s="94" t="s">
        <v>2800</v>
      </c>
      <c r="F1368" s="94" t="s">
        <v>516</v>
      </c>
      <c r="G1368" s="94" t="s">
        <v>2448</v>
      </c>
      <c r="H1368" s="94">
        <f>STOCK[[#This Row],[Precio Final]]</f>
        <v>40</v>
      </c>
      <c r="I1368" s="98">
        <f>STOCK[[#This Row],[Precio Venta Ideal (x1.5)]]</f>
        <v>23.1</v>
      </c>
      <c r="J1368" s="96">
        <v>1</v>
      </c>
      <c r="K1368" s="96">
        <f>SUMIFS(VENTAS[Cantidad],VENTAS[Código del producto Vendido],STOCK[[#This Row],[Code]])</f>
        <v>0</v>
      </c>
      <c r="L1368" s="96">
        <f>STOCK[[#This Row],[Entradas]]-STOCK[[#This Row],[Salidas]]</f>
        <v>1</v>
      </c>
      <c r="M1368" s="94">
        <f>STOCK[[#This Row],[Precio Final]]*10%</f>
        <v>4</v>
      </c>
      <c r="N1368" s="94">
        <v>0</v>
      </c>
      <c r="O1368" s="94">
        <v>0</v>
      </c>
      <c r="P1368" s="94">
        <v>9.75</v>
      </c>
      <c r="Q1368" s="96">
        <v>0</v>
      </c>
      <c r="R1368" s="94">
        <v>0</v>
      </c>
      <c r="S1368" s="94">
        <v>1.65</v>
      </c>
      <c r="T1368" s="94">
        <f>STOCK[[#This Row],[Costo Unitario (USD)]]+STOCK[[#This Row],[Costo Envío (USD)]]+STOCK[[#This Row],[Comisión 10%]]</f>
        <v>15.4</v>
      </c>
      <c r="U1368" s="76">
        <f>STOCK[[#This Row],[Costo total]]*1.5</f>
        <v>23.1</v>
      </c>
      <c r="V1368" s="94">
        <v>40</v>
      </c>
      <c r="W1368" s="94">
        <f>STOCK[[#This Row],[Precio Final]]-STOCK[[#This Row],[Costo total]]</f>
        <v>24.6</v>
      </c>
      <c r="X1368" s="94">
        <f>STOCK[[#This Row],[Ganancia Unitaria]]*STOCK[[#This Row],[Salidas]]</f>
        <v>0</v>
      </c>
      <c r="Y1368" s="94"/>
      <c r="Z1368" s="94"/>
      <c r="AA1368" s="94">
        <f>STOCK[[#This Row],[Costo total]]*STOCK[[#This Row],[Entradas]]</f>
        <v>15.4</v>
      </c>
      <c r="AB1368" s="94">
        <f>STOCK[[#This Row],[Stock Actual]]*STOCK[[#This Row],[Costo total]]</f>
        <v>15.4</v>
      </c>
      <c r="AC1368" s="94"/>
    </row>
    <row r="1369" s="76" customFormat="1" ht="50" hidden="1" customHeight="1" spans="1:29">
      <c r="A1369" s="76" t="s">
        <v>2801</v>
      </c>
      <c r="B1369" s="95"/>
      <c r="C1369" s="94" t="s">
        <v>30</v>
      </c>
      <c r="D1369" s="94" t="s">
        <v>1224</v>
      </c>
      <c r="E1369" s="94" t="s">
        <v>2800</v>
      </c>
      <c r="F1369" s="94" t="s">
        <v>539</v>
      </c>
      <c r="G1369" s="94" t="s">
        <v>2448</v>
      </c>
      <c r="H1369" s="94">
        <f>STOCK[[#This Row],[Precio Final]]</f>
        <v>40</v>
      </c>
      <c r="I1369" s="98">
        <f>STOCK[[#This Row],[Precio Venta Ideal (x1.5)]]</f>
        <v>25.515</v>
      </c>
      <c r="J1369" s="96">
        <v>2</v>
      </c>
      <c r="K1369" s="96">
        <f>SUMIFS(VENTAS[Cantidad],VENTAS[Código del producto Vendido],STOCK[[#This Row],[Code]])</f>
        <v>1</v>
      </c>
      <c r="L1369" s="96">
        <f>STOCK[[#This Row],[Entradas]]-STOCK[[#This Row],[Salidas]]</f>
        <v>1</v>
      </c>
      <c r="M1369" s="94">
        <f>STOCK[[#This Row],[Precio Final]]*10%</f>
        <v>4</v>
      </c>
      <c r="N1369" s="94">
        <v>0</v>
      </c>
      <c r="O1369" s="94">
        <v>0</v>
      </c>
      <c r="P1369" s="94">
        <v>11.36</v>
      </c>
      <c r="Q1369" s="96">
        <v>0</v>
      </c>
      <c r="R1369" s="94">
        <v>0</v>
      </c>
      <c r="S1369" s="94">
        <v>1.65</v>
      </c>
      <c r="T1369" s="94">
        <f>STOCK[[#This Row],[Costo Unitario (USD)]]+STOCK[[#This Row],[Costo Envío (USD)]]+STOCK[[#This Row],[Comisión 10%]]</f>
        <v>17.01</v>
      </c>
      <c r="U1369" s="76">
        <f>STOCK[[#This Row],[Costo total]]*1.5</f>
        <v>25.515</v>
      </c>
      <c r="V1369" s="94">
        <v>40</v>
      </c>
      <c r="W1369" s="94">
        <f>STOCK[[#This Row],[Precio Final]]-STOCK[[#This Row],[Costo total]]</f>
        <v>22.99</v>
      </c>
      <c r="X1369" s="94">
        <f>STOCK[[#This Row],[Ganancia Unitaria]]*STOCK[[#This Row],[Salidas]]</f>
        <v>22.99</v>
      </c>
      <c r="Y1369" s="94"/>
      <c r="Z1369" s="94"/>
      <c r="AA1369" s="94">
        <f>STOCK[[#This Row],[Costo total]]*STOCK[[#This Row],[Entradas]]</f>
        <v>34.02</v>
      </c>
      <c r="AB1369" s="94">
        <f>STOCK[[#This Row],[Stock Actual]]*STOCK[[#This Row],[Costo total]]</f>
        <v>17.01</v>
      </c>
      <c r="AC1369" s="94"/>
    </row>
    <row r="1370" s="76" customFormat="1" ht="50" hidden="1" customHeight="1" spans="1:29">
      <c r="A1370" s="76" t="s">
        <v>2802</v>
      </c>
      <c r="B1370" s="95"/>
      <c r="C1370" s="94" t="s">
        <v>30</v>
      </c>
      <c r="D1370" s="94" t="s">
        <v>1224</v>
      </c>
      <c r="E1370" s="94" t="s">
        <v>2800</v>
      </c>
      <c r="F1370" s="94" t="s">
        <v>762</v>
      </c>
      <c r="G1370" s="94" t="s">
        <v>2448</v>
      </c>
      <c r="H1370" s="94">
        <f>STOCK[[#This Row],[Precio Final]]</f>
        <v>40</v>
      </c>
      <c r="I1370" s="98">
        <f>STOCK[[#This Row],[Precio Venta Ideal (x1.5)]]</f>
        <v>25.515</v>
      </c>
      <c r="J1370" s="96">
        <v>2</v>
      </c>
      <c r="K1370" s="96">
        <f>SUMIFS(VENTAS[Cantidad],VENTAS[Código del producto Vendido],STOCK[[#This Row],[Code]])</f>
        <v>0</v>
      </c>
      <c r="L1370" s="96">
        <f>STOCK[[#This Row],[Entradas]]-STOCK[[#This Row],[Salidas]]</f>
        <v>2</v>
      </c>
      <c r="M1370" s="94">
        <f>STOCK[[#This Row],[Precio Final]]*10%</f>
        <v>4</v>
      </c>
      <c r="N1370" s="94">
        <v>0</v>
      </c>
      <c r="O1370" s="94">
        <v>0</v>
      </c>
      <c r="P1370" s="94">
        <v>11.36</v>
      </c>
      <c r="Q1370" s="96">
        <v>0</v>
      </c>
      <c r="R1370" s="94">
        <v>0</v>
      </c>
      <c r="S1370" s="94">
        <v>1.65</v>
      </c>
      <c r="T1370" s="94">
        <f>STOCK[[#This Row],[Costo Unitario (USD)]]+STOCK[[#This Row],[Costo Envío (USD)]]+STOCK[[#This Row],[Comisión 10%]]</f>
        <v>17.01</v>
      </c>
      <c r="U1370" s="76">
        <f>STOCK[[#This Row],[Costo total]]*1.5</f>
        <v>25.515</v>
      </c>
      <c r="V1370" s="94">
        <v>40</v>
      </c>
      <c r="W1370" s="94">
        <f>STOCK[[#This Row],[Precio Final]]-STOCK[[#This Row],[Costo total]]</f>
        <v>22.99</v>
      </c>
      <c r="X1370" s="94">
        <f>STOCK[[#This Row],[Ganancia Unitaria]]*STOCK[[#This Row],[Salidas]]</f>
        <v>0</v>
      </c>
      <c r="Y1370" s="94"/>
      <c r="Z1370" s="94"/>
      <c r="AA1370" s="94">
        <f>STOCK[[#This Row],[Costo total]]*STOCK[[#This Row],[Entradas]]</f>
        <v>34.02</v>
      </c>
      <c r="AB1370" s="94">
        <f>STOCK[[#This Row],[Stock Actual]]*STOCK[[#This Row],[Costo total]]</f>
        <v>34.02</v>
      </c>
      <c r="AC1370" s="94"/>
    </row>
    <row r="1371" s="76" customFormat="1" ht="50" hidden="1" customHeight="1" spans="1:29">
      <c r="A1371" s="76" t="s">
        <v>2803</v>
      </c>
      <c r="B1371" s="95"/>
      <c r="C1371" s="94" t="s">
        <v>30</v>
      </c>
      <c r="D1371" s="94" t="s">
        <v>1224</v>
      </c>
      <c r="E1371" s="94" t="s">
        <v>2800</v>
      </c>
      <c r="F1371" s="94" t="s">
        <v>757</v>
      </c>
      <c r="G1371" s="94" t="s">
        <v>2448</v>
      </c>
      <c r="H1371" s="94">
        <f>STOCK[[#This Row],[Precio Final]]</f>
        <v>40</v>
      </c>
      <c r="I1371" s="98">
        <f>STOCK[[#This Row],[Precio Venta Ideal (x1.5)]]</f>
        <v>25.515</v>
      </c>
      <c r="J1371" s="96">
        <v>2</v>
      </c>
      <c r="K1371" s="96">
        <f>SUMIFS(VENTAS[Cantidad],VENTAS[Código del producto Vendido],STOCK[[#This Row],[Code]])</f>
        <v>1</v>
      </c>
      <c r="L1371" s="96">
        <f>STOCK[[#This Row],[Entradas]]-STOCK[[#This Row],[Salidas]]</f>
        <v>1</v>
      </c>
      <c r="M1371" s="94">
        <f>STOCK[[#This Row],[Precio Final]]*10%</f>
        <v>4</v>
      </c>
      <c r="N1371" s="94">
        <v>0</v>
      </c>
      <c r="O1371" s="94">
        <v>0</v>
      </c>
      <c r="P1371" s="94">
        <v>11.36</v>
      </c>
      <c r="Q1371" s="96">
        <v>0</v>
      </c>
      <c r="R1371" s="94">
        <v>0</v>
      </c>
      <c r="S1371" s="94">
        <v>1.65</v>
      </c>
      <c r="T1371" s="94">
        <f>STOCK[[#This Row],[Costo Unitario (USD)]]+STOCK[[#This Row],[Costo Envío (USD)]]+STOCK[[#This Row],[Comisión 10%]]</f>
        <v>17.01</v>
      </c>
      <c r="U1371" s="76">
        <f>STOCK[[#This Row],[Costo total]]*1.5</f>
        <v>25.515</v>
      </c>
      <c r="V1371" s="94">
        <v>40</v>
      </c>
      <c r="W1371" s="94">
        <f>STOCK[[#This Row],[Precio Final]]-STOCK[[#This Row],[Costo total]]</f>
        <v>22.99</v>
      </c>
      <c r="X1371" s="94">
        <f>STOCK[[#This Row],[Ganancia Unitaria]]*STOCK[[#This Row],[Salidas]]</f>
        <v>22.99</v>
      </c>
      <c r="Y1371" s="94"/>
      <c r="Z1371" s="94"/>
      <c r="AA1371" s="94">
        <f>STOCK[[#This Row],[Costo total]]*STOCK[[#This Row],[Entradas]]</f>
        <v>34.02</v>
      </c>
      <c r="AB1371" s="94">
        <f>STOCK[[#This Row],[Stock Actual]]*STOCK[[#This Row],[Costo total]]</f>
        <v>17.01</v>
      </c>
      <c r="AC1371" s="94"/>
    </row>
    <row r="1372" s="76" customFormat="1" ht="50" hidden="1" customHeight="1" spans="1:29">
      <c r="A1372" s="76" t="s">
        <v>2804</v>
      </c>
      <c r="B1372" s="95"/>
      <c r="C1372" s="94" t="s">
        <v>30</v>
      </c>
      <c r="D1372" s="94" t="s">
        <v>1224</v>
      </c>
      <c r="E1372" s="94" t="s">
        <v>2800</v>
      </c>
      <c r="F1372" s="94" t="s">
        <v>752</v>
      </c>
      <c r="G1372" s="94" t="s">
        <v>2448</v>
      </c>
      <c r="H1372" s="94">
        <f>STOCK[[#This Row],[Precio Final]]</f>
        <v>40</v>
      </c>
      <c r="I1372" s="98">
        <f>STOCK[[#This Row],[Precio Venta Ideal (x1.5)]]</f>
        <v>25.515</v>
      </c>
      <c r="J1372" s="96">
        <v>2</v>
      </c>
      <c r="K1372" s="96">
        <f>SUMIFS(VENTAS[Cantidad],VENTAS[Código del producto Vendido],STOCK[[#This Row],[Code]])</f>
        <v>0</v>
      </c>
      <c r="L1372" s="96">
        <f>STOCK[[#This Row],[Entradas]]-STOCK[[#This Row],[Salidas]]</f>
        <v>2</v>
      </c>
      <c r="M1372" s="94">
        <f>STOCK[[#This Row],[Precio Final]]*10%</f>
        <v>4</v>
      </c>
      <c r="N1372" s="94">
        <v>0</v>
      </c>
      <c r="O1372" s="94">
        <v>0</v>
      </c>
      <c r="P1372" s="94">
        <v>11.36</v>
      </c>
      <c r="Q1372" s="96">
        <v>0</v>
      </c>
      <c r="R1372" s="94">
        <v>0</v>
      </c>
      <c r="S1372" s="94">
        <v>1.65</v>
      </c>
      <c r="T1372" s="94">
        <f>STOCK[[#This Row],[Costo Unitario (USD)]]+STOCK[[#This Row],[Costo Envío (USD)]]+STOCK[[#This Row],[Comisión 10%]]</f>
        <v>17.01</v>
      </c>
      <c r="U1372" s="76">
        <f>STOCK[[#This Row],[Costo total]]*1.5</f>
        <v>25.515</v>
      </c>
      <c r="V1372" s="94">
        <v>40</v>
      </c>
      <c r="W1372" s="94">
        <f>STOCK[[#This Row],[Precio Final]]-STOCK[[#This Row],[Costo total]]</f>
        <v>22.99</v>
      </c>
      <c r="X1372" s="94">
        <f>STOCK[[#This Row],[Ganancia Unitaria]]*STOCK[[#This Row],[Salidas]]</f>
        <v>0</v>
      </c>
      <c r="Y1372" s="94"/>
      <c r="Z1372" s="94"/>
      <c r="AA1372" s="94">
        <f>STOCK[[#This Row],[Costo total]]*STOCK[[#This Row],[Entradas]]</f>
        <v>34.02</v>
      </c>
      <c r="AB1372" s="94">
        <f>STOCK[[#This Row],[Stock Actual]]*STOCK[[#This Row],[Costo total]]</f>
        <v>34.02</v>
      </c>
      <c r="AC1372" s="94"/>
    </row>
    <row r="1373" s="76" customFormat="1" ht="50" hidden="1" customHeight="1" spans="1:29">
      <c r="A1373" s="76" t="s">
        <v>2805</v>
      </c>
      <c r="B1373" s="95"/>
      <c r="C1373" s="94" t="s">
        <v>30</v>
      </c>
      <c r="D1373" s="94" t="s">
        <v>1224</v>
      </c>
      <c r="E1373" s="94" t="s">
        <v>2800</v>
      </c>
      <c r="F1373" s="94" t="s">
        <v>764</v>
      </c>
      <c r="G1373" s="94"/>
      <c r="H1373" s="94">
        <f>STOCK[[#This Row],[Precio Final]]</f>
        <v>40</v>
      </c>
      <c r="I1373" s="98">
        <f>STOCK[[#This Row],[Precio Venta Ideal (x1.5)]]</f>
        <v>25.515</v>
      </c>
      <c r="J1373" s="96">
        <v>2</v>
      </c>
      <c r="K1373" s="96">
        <f>SUMIFS(VENTAS[Cantidad],VENTAS[Código del producto Vendido],STOCK[[#This Row],[Code]])</f>
        <v>0</v>
      </c>
      <c r="L1373" s="96">
        <f>STOCK[[#This Row],[Entradas]]-STOCK[[#This Row],[Salidas]]</f>
        <v>2</v>
      </c>
      <c r="M1373" s="94">
        <f>STOCK[[#This Row],[Precio Final]]*10%</f>
        <v>4</v>
      </c>
      <c r="N1373" s="94">
        <v>0</v>
      </c>
      <c r="O1373" s="94">
        <v>0</v>
      </c>
      <c r="P1373" s="94">
        <v>11.36</v>
      </c>
      <c r="Q1373" s="96">
        <v>0</v>
      </c>
      <c r="R1373" s="94">
        <v>0</v>
      </c>
      <c r="S1373" s="94">
        <v>1.65</v>
      </c>
      <c r="T1373" s="94">
        <f>STOCK[[#This Row],[Costo Unitario (USD)]]+STOCK[[#This Row],[Costo Envío (USD)]]+STOCK[[#This Row],[Comisión 10%]]</f>
        <v>17.01</v>
      </c>
      <c r="U1373" s="76">
        <f>STOCK[[#This Row],[Costo total]]*1.5</f>
        <v>25.515</v>
      </c>
      <c r="V1373" s="94">
        <v>40</v>
      </c>
      <c r="W1373" s="94">
        <f>STOCK[[#This Row],[Precio Final]]-STOCK[[#This Row],[Costo total]]</f>
        <v>22.99</v>
      </c>
      <c r="X1373" s="94">
        <f>STOCK[[#This Row],[Ganancia Unitaria]]*STOCK[[#This Row],[Salidas]]</f>
        <v>0</v>
      </c>
      <c r="Y1373" s="94"/>
      <c r="Z1373" s="94"/>
      <c r="AA1373" s="94">
        <f>STOCK[[#This Row],[Costo total]]*STOCK[[#This Row],[Entradas]]</f>
        <v>34.02</v>
      </c>
      <c r="AB1373" s="94">
        <f>STOCK[[#This Row],[Stock Actual]]*STOCK[[#This Row],[Costo total]]</f>
        <v>34.02</v>
      </c>
      <c r="AC1373" s="94"/>
    </row>
    <row r="1374" s="76" customFormat="1" ht="50" hidden="1" customHeight="1" spans="1:29">
      <c r="A1374" s="76" t="s">
        <v>2806</v>
      </c>
      <c r="B1374" s="95"/>
      <c r="C1374" s="94" t="s">
        <v>30</v>
      </c>
      <c r="D1374" s="94" t="s">
        <v>1210</v>
      </c>
      <c r="E1374" s="94" t="s">
        <v>2807</v>
      </c>
      <c r="F1374" s="94" t="s">
        <v>60</v>
      </c>
      <c r="G1374" s="94"/>
      <c r="H1374" s="94">
        <f>STOCK[[#This Row],[Precio Final]]</f>
        <v>20</v>
      </c>
      <c r="I1374" s="98">
        <f>STOCK[[#This Row],[Precio Venta Ideal (x1.5)]]</f>
        <v>14.145</v>
      </c>
      <c r="J1374" s="96">
        <v>3</v>
      </c>
      <c r="K1374" s="96">
        <f>SUMIFS(VENTAS[Cantidad],VENTAS[Código del producto Vendido],STOCK[[#This Row],[Code]])</f>
        <v>0</v>
      </c>
      <c r="L1374" s="96">
        <f>STOCK[[#This Row],[Entradas]]-STOCK[[#This Row],[Salidas]]</f>
        <v>3</v>
      </c>
      <c r="M1374" s="94">
        <f>STOCK[[#This Row],[Precio Final]]*10%</f>
        <v>2</v>
      </c>
      <c r="N1374" s="94">
        <v>0</v>
      </c>
      <c r="O1374" s="94">
        <v>0</v>
      </c>
      <c r="P1374" s="94">
        <v>5.78</v>
      </c>
      <c r="Q1374" s="96">
        <v>0</v>
      </c>
      <c r="R1374" s="94">
        <v>0</v>
      </c>
      <c r="S1374" s="94">
        <v>1.65</v>
      </c>
      <c r="T1374" s="94">
        <f>STOCK[[#This Row],[Costo Unitario (USD)]]+STOCK[[#This Row],[Costo Envío (USD)]]+STOCK[[#This Row],[Comisión 10%]]</f>
        <v>9.43</v>
      </c>
      <c r="U1374" s="76">
        <f>STOCK[[#This Row],[Costo total]]*1.5</f>
        <v>14.145</v>
      </c>
      <c r="V1374" s="94">
        <v>20</v>
      </c>
      <c r="W1374" s="94">
        <f>STOCK[[#This Row],[Precio Final]]-STOCK[[#This Row],[Costo total]]</f>
        <v>10.57</v>
      </c>
      <c r="X1374" s="94">
        <f>STOCK[[#This Row],[Ganancia Unitaria]]*STOCK[[#This Row],[Salidas]]</f>
        <v>0</v>
      </c>
      <c r="Y1374" s="94"/>
      <c r="Z1374" s="94"/>
      <c r="AA1374" s="94">
        <f>STOCK[[#This Row],[Costo total]]*STOCK[[#This Row],[Entradas]]</f>
        <v>28.29</v>
      </c>
      <c r="AB1374" s="94">
        <f>STOCK[[#This Row],[Stock Actual]]*STOCK[[#This Row],[Costo total]]</f>
        <v>28.29</v>
      </c>
      <c r="AC1374" s="94"/>
    </row>
    <row r="1375" s="76" customFormat="1" ht="50" hidden="1" customHeight="1" spans="1:29">
      <c r="A1375" s="76" t="s">
        <v>2808</v>
      </c>
      <c r="B1375" s="95"/>
      <c r="C1375" s="94" t="s">
        <v>30</v>
      </c>
      <c r="D1375" s="94" t="s">
        <v>1210</v>
      </c>
      <c r="E1375" s="94" t="s">
        <v>2807</v>
      </c>
      <c r="F1375" s="94" t="s">
        <v>47</v>
      </c>
      <c r="G1375" s="94"/>
      <c r="H1375" s="94">
        <f>STOCK[[#This Row],[Precio Final]]</f>
        <v>20</v>
      </c>
      <c r="I1375" s="98">
        <f>STOCK[[#This Row],[Precio Venta Ideal (x1.5)]]</f>
        <v>14.145</v>
      </c>
      <c r="J1375" s="96">
        <v>3</v>
      </c>
      <c r="K1375" s="96">
        <f>SUMIFS(VENTAS[Cantidad],VENTAS[Código del producto Vendido],STOCK[[#This Row],[Code]])</f>
        <v>0</v>
      </c>
      <c r="L1375" s="96">
        <f>STOCK[[#This Row],[Entradas]]-STOCK[[#This Row],[Salidas]]</f>
        <v>3</v>
      </c>
      <c r="M1375" s="94">
        <f>STOCK[[#This Row],[Precio Final]]*10%</f>
        <v>2</v>
      </c>
      <c r="N1375" s="94">
        <v>0</v>
      </c>
      <c r="O1375" s="94">
        <v>0</v>
      </c>
      <c r="P1375" s="94">
        <v>5.78</v>
      </c>
      <c r="Q1375" s="96">
        <v>0</v>
      </c>
      <c r="R1375" s="94">
        <v>0</v>
      </c>
      <c r="S1375" s="94">
        <v>1.65</v>
      </c>
      <c r="T1375" s="94">
        <f>STOCK[[#This Row],[Costo Unitario (USD)]]+STOCK[[#This Row],[Costo Envío (USD)]]+STOCK[[#This Row],[Comisión 10%]]</f>
        <v>9.43</v>
      </c>
      <c r="U1375" s="76">
        <f>STOCK[[#This Row],[Costo total]]*1.5</f>
        <v>14.145</v>
      </c>
      <c r="V1375" s="94">
        <v>20</v>
      </c>
      <c r="W1375" s="94">
        <f>STOCK[[#This Row],[Precio Final]]-STOCK[[#This Row],[Costo total]]</f>
        <v>10.57</v>
      </c>
      <c r="X1375" s="94">
        <f>STOCK[[#This Row],[Ganancia Unitaria]]*STOCK[[#This Row],[Salidas]]</f>
        <v>0</v>
      </c>
      <c r="Y1375" s="94"/>
      <c r="Z1375" s="94"/>
      <c r="AA1375" s="94">
        <f>STOCK[[#This Row],[Costo total]]*STOCK[[#This Row],[Entradas]]</f>
        <v>28.29</v>
      </c>
      <c r="AB1375" s="94">
        <f>STOCK[[#This Row],[Stock Actual]]*STOCK[[#This Row],[Costo total]]</f>
        <v>28.29</v>
      </c>
      <c r="AC1375" s="94"/>
    </row>
    <row r="1376" s="76" customFormat="1" ht="50" hidden="1" customHeight="1" spans="1:29">
      <c r="A1376" s="76" t="s">
        <v>2809</v>
      </c>
      <c r="B1376" s="95"/>
      <c r="C1376" s="94" t="s">
        <v>30</v>
      </c>
      <c r="D1376" s="94" t="s">
        <v>1210</v>
      </c>
      <c r="E1376" s="94" t="s">
        <v>2807</v>
      </c>
      <c r="F1376" s="94" t="s">
        <v>44</v>
      </c>
      <c r="G1376" s="94"/>
      <c r="H1376" s="94">
        <f>STOCK[[#This Row],[Precio Final]]</f>
        <v>20</v>
      </c>
      <c r="I1376" s="98">
        <f>STOCK[[#This Row],[Precio Venta Ideal (x1.5)]]</f>
        <v>14.145</v>
      </c>
      <c r="J1376" s="96">
        <v>3</v>
      </c>
      <c r="K1376" s="96">
        <f>SUMIFS(VENTAS[Cantidad],VENTAS[Código del producto Vendido],STOCK[[#This Row],[Code]])</f>
        <v>0</v>
      </c>
      <c r="L1376" s="96">
        <f>STOCK[[#This Row],[Entradas]]-STOCK[[#This Row],[Salidas]]</f>
        <v>3</v>
      </c>
      <c r="M1376" s="94">
        <f>STOCK[[#This Row],[Precio Final]]*10%</f>
        <v>2</v>
      </c>
      <c r="N1376" s="94">
        <v>0</v>
      </c>
      <c r="O1376" s="94">
        <v>0</v>
      </c>
      <c r="P1376" s="94">
        <v>5.78</v>
      </c>
      <c r="Q1376" s="96">
        <v>0</v>
      </c>
      <c r="R1376" s="94">
        <v>0</v>
      </c>
      <c r="S1376" s="94">
        <v>1.65</v>
      </c>
      <c r="T1376" s="94">
        <f>STOCK[[#This Row],[Costo Unitario (USD)]]+STOCK[[#This Row],[Costo Envío (USD)]]+STOCK[[#This Row],[Comisión 10%]]</f>
        <v>9.43</v>
      </c>
      <c r="U1376" s="76">
        <f>STOCK[[#This Row],[Costo total]]*1.5</f>
        <v>14.145</v>
      </c>
      <c r="V1376" s="94">
        <v>20</v>
      </c>
      <c r="W1376" s="94">
        <f>STOCK[[#This Row],[Precio Final]]-STOCK[[#This Row],[Costo total]]</f>
        <v>10.57</v>
      </c>
      <c r="X1376" s="94">
        <f>STOCK[[#This Row],[Ganancia Unitaria]]*STOCK[[#This Row],[Salidas]]</f>
        <v>0</v>
      </c>
      <c r="Y1376" s="94"/>
      <c r="Z1376" s="94"/>
      <c r="AA1376" s="94">
        <f>STOCK[[#This Row],[Costo total]]*STOCK[[#This Row],[Entradas]]</f>
        <v>28.29</v>
      </c>
      <c r="AB1376" s="94">
        <f>STOCK[[#This Row],[Stock Actual]]*STOCK[[#This Row],[Costo total]]</f>
        <v>28.29</v>
      </c>
      <c r="AC1376" s="94"/>
    </row>
    <row r="1377" s="76" customFormat="1" ht="50" hidden="1" customHeight="1" spans="1:29">
      <c r="A1377" s="76" t="s">
        <v>2810</v>
      </c>
      <c r="B1377" s="95"/>
      <c r="C1377" s="94" t="s">
        <v>30</v>
      </c>
      <c r="D1377" s="94" t="s">
        <v>2109</v>
      </c>
      <c r="E1377" s="94" t="s">
        <v>2811</v>
      </c>
      <c r="F1377" s="94" t="s">
        <v>2495</v>
      </c>
      <c r="G1377" s="94"/>
      <c r="H1377" s="94">
        <f>STOCK[[#This Row],[Precio Final]]</f>
        <v>22</v>
      </c>
      <c r="I1377" s="98">
        <f>STOCK[[#This Row],[Precio Venta Ideal (x1.5)]]</f>
        <v>18.72</v>
      </c>
      <c r="J1377" s="96">
        <v>4</v>
      </c>
      <c r="K1377" s="96">
        <f>SUMIFS(VENTAS[Cantidad],VENTAS[Código del producto Vendido],STOCK[[#This Row],[Code]])</f>
        <v>3</v>
      </c>
      <c r="L1377" s="96">
        <f>STOCK[[#This Row],[Entradas]]-STOCK[[#This Row],[Salidas]]</f>
        <v>1</v>
      </c>
      <c r="M1377" s="94">
        <f>STOCK[[#This Row],[Precio Final]]*10%</f>
        <v>2.2</v>
      </c>
      <c r="N1377" s="94">
        <v>0</v>
      </c>
      <c r="O1377" s="94">
        <v>0</v>
      </c>
      <c r="P1377" s="94">
        <v>8.63</v>
      </c>
      <c r="Q1377" s="96">
        <v>0</v>
      </c>
      <c r="R1377" s="94">
        <v>0</v>
      </c>
      <c r="S1377" s="94">
        <v>1.65</v>
      </c>
      <c r="T1377" s="94">
        <f>STOCK[[#This Row],[Costo Unitario (USD)]]+STOCK[[#This Row],[Costo Envío (USD)]]+STOCK[[#This Row],[Comisión 10%]]</f>
        <v>12.48</v>
      </c>
      <c r="U1377" s="76">
        <f>STOCK[[#This Row],[Costo total]]*1.5</f>
        <v>18.72</v>
      </c>
      <c r="V1377" s="94">
        <v>22</v>
      </c>
      <c r="W1377" s="94">
        <f>STOCK[[#This Row],[Precio Final]]-STOCK[[#This Row],[Costo total]]</f>
        <v>9.52</v>
      </c>
      <c r="X1377" s="94">
        <f>STOCK[[#This Row],[Ganancia Unitaria]]*STOCK[[#This Row],[Salidas]]</f>
        <v>28.56</v>
      </c>
      <c r="Y1377" s="94"/>
      <c r="Z1377" s="94"/>
      <c r="AA1377" s="94">
        <f>STOCK[[#This Row],[Costo total]]*STOCK[[#This Row],[Entradas]]</f>
        <v>49.92</v>
      </c>
      <c r="AB1377" s="94">
        <f>STOCK[[#This Row],[Stock Actual]]*STOCK[[#This Row],[Costo total]]</f>
        <v>12.48</v>
      </c>
      <c r="AC1377" s="94"/>
    </row>
    <row r="1378" s="76" customFormat="1" ht="50" hidden="1" customHeight="1" spans="1:29">
      <c r="A1378" s="76" t="s">
        <v>2812</v>
      </c>
      <c r="B1378" s="95"/>
      <c r="C1378" s="94" t="s">
        <v>30</v>
      </c>
      <c r="D1378" s="94" t="s">
        <v>2109</v>
      </c>
      <c r="E1378" s="94" t="s">
        <v>2813</v>
      </c>
      <c r="F1378" s="94" t="s">
        <v>2814</v>
      </c>
      <c r="G1378" s="94"/>
      <c r="H1378" s="94">
        <f>STOCK[[#This Row],[Precio Final]]</f>
        <v>22</v>
      </c>
      <c r="I1378" s="98">
        <f>STOCK[[#This Row],[Precio Venta Ideal (x1.5)]]</f>
        <v>21.555</v>
      </c>
      <c r="J1378" s="96">
        <v>7</v>
      </c>
      <c r="K1378" s="96">
        <f>SUMIFS(VENTAS[Cantidad],VENTAS[Código del producto Vendido],STOCK[[#This Row],[Code]])</f>
        <v>7</v>
      </c>
      <c r="L1378" s="96">
        <f>STOCK[[#This Row],[Entradas]]-STOCK[[#This Row],[Salidas]]</f>
        <v>0</v>
      </c>
      <c r="M1378" s="94">
        <f>STOCK[[#This Row],[Precio Final]]*10%</f>
        <v>2.2</v>
      </c>
      <c r="N1378" s="94">
        <v>0</v>
      </c>
      <c r="O1378" s="94">
        <v>0</v>
      </c>
      <c r="P1378" s="94">
        <v>10.52</v>
      </c>
      <c r="Q1378" s="96">
        <v>0</v>
      </c>
      <c r="R1378" s="94">
        <v>0</v>
      </c>
      <c r="S1378" s="94">
        <v>1.65</v>
      </c>
      <c r="T1378" s="94">
        <f>STOCK[[#This Row],[Costo Unitario (USD)]]+STOCK[[#This Row],[Costo Envío (USD)]]+STOCK[[#This Row],[Comisión 10%]]</f>
        <v>14.37</v>
      </c>
      <c r="U1378" s="76">
        <f>STOCK[[#This Row],[Costo total]]*1.5</f>
        <v>21.555</v>
      </c>
      <c r="V1378" s="94">
        <v>22</v>
      </c>
      <c r="W1378" s="94">
        <f>STOCK[[#This Row],[Precio Final]]-STOCK[[#This Row],[Costo total]]</f>
        <v>7.63</v>
      </c>
      <c r="X1378" s="94">
        <f>STOCK[[#This Row],[Ganancia Unitaria]]*STOCK[[#This Row],[Salidas]]</f>
        <v>53.41</v>
      </c>
      <c r="Y1378" s="94"/>
      <c r="Z1378" s="94"/>
      <c r="AA1378" s="94">
        <f>STOCK[[#This Row],[Costo total]]*STOCK[[#This Row],[Entradas]]</f>
        <v>100.59</v>
      </c>
      <c r="AB1378" s="94">
        <f>STOCK[[#This Row],[Stock Actual]]*STOCK[[#This Row],[Costo total]]</f>
        <v>0</v>
      </c>
      <c r="AC1378" s="94"/>
    </row>
    <row r="1379" s="76" customFormat="1" ht="50" hidden="1" customHeight="1" spans="1:29">
      <c r="A1379" s="76" t="s">
        <v>2815</v>
      </c>
      <c r="B1379" s="95"/>
      <c r="C1379" s="94" t="s">
        <v>30</v>
      </c>
      <c r="D1379" s="94" t="s">
        <v>2109</v>
      </c>
      <c r="E1379" s="94" t="s">
        <v>2816</v>
      </c>
      <c r="F1379" s="94" t="s">
        <v>2495</v>
      </c>
      <c r="G1379" s="94"/>
      <c r="H1379" s="94">
        <f>STOCK[[#This Row],[Precio Final]]</f>
        <v>25</v>
      </c>
      <c r="I1379" s="98">
        <f>STOCK[[#This Row],[Precio Venta Ideal (x1.5)]]</f>
        <v>20.31</v>
      </c>
      <c r="J1379" s="96">
        <v>3</v>
      </c>
      <c r="K1379" s="96">
        <f>SUMIFS(VENTAS[Cantidad],VENTAS[Código del producto Vendido],STOCK[[#This Row],[Code]])</f>
        <v>0</v>
      </c>
      <c r="L1379" s="96">
        <f>STOCK[[#This Row],[Entradas]]-STOCK[[#This Row],[Salidas]]</f>
        <v>3</v>
      </c>
      <c r="M1379" s="94">
        <f>STOCK[[#This Row],[Precio Final]]*10%</f>
        <v>2.5</v>
      </c>
      <c r="N1379" s="94">
        <v>0</v>
      </c>
      <c r="O1379" s="94">
        <v>0</v>
      </c>
      <c r="P1379" s="94">
        <v>9.39</v>
      </c>
      <c r="Q1379" s="96">
        <v>0</v>
      </c>
      <c r="R1379" s="94">
        <v>0</v>
      </c>
      <c r="S1379" s="94">
        <v>1.65</v>
      </c>
      <c r="T1379" s="94">
        <f>STOCK[[#This Row],[Costo Unitario (USD)]]+STOCK[[#This Row],[Costo Envío (USD)]]+STOCK[[#This Row],[Comisión 10%]]</f>
        <v>13.54</v>
      </c>
      <c r="U1379" s="76">
        <f>STOCK[[#This Row],[Costo total]]*1.5</f>
        <v>20.31</v>
      </c>
      <c r="V1379" s="94">
        <v>25</v>
      </c>
      <c r="W1379" s="94">
        <f>STOCK[[#This Row],[Precio Final]]-STOCK[[#This Row],[Costo total]]</f>
        <v>11.46</v>
      </c>
      <c r="X1379" s="94">
        <f>STOCK[[#This Row],[Ganancia Unitaria]]*STOCK[[#This Row],[Salidas]]</f>
        <v>0</v>
      </c>
      <c r="Y1379" s="94"/>
      <c r="Z1379" s="94"/>
      <c r="AA1379" s="94">
        <f>STOCK[[#This Row],[Costo total]]*STOCK[[#This Row],[Entradas]]</f>
        <v>40.62</v>
      </c>
      <c r="AB1379" s="94">
        <f>STOCK[[#This Row],[Stock Actual]]*STOCK[[#This Row],[Costo total]]</f>
        <v>40.62</v>
      </c>
      <c r="AC1379" s="94"/>
    </row>
    <row r="1380" s="76" customFormat="1" ht="50" hidden="1" customHeight="1" spans="1:29">
      <c r="A1380" s="76" t="s">
        <v>2817</v>
      </c>
      <c r="B1380" s="95"/>
      <c r="C1380" s="94" t="s">
        <v>30</v>
      </c>
      <c r="D1380" s="94" t="s">
        <v>2109</v>
      </c>
      <c r="E1380" s="94" t="s">
        <v>2818</v>
      </c>
      <c r="F1380" s="94" t="s">
        <v>2819</v>
      </c>
      <c r="G1380" s="94"/>
      <c r="H1380" s="94">
        <f>STOCK[[#This Row],[Precio Final]]</f>
        <v>25</v>
      </c>
      <c r="I1380" s="98">
        <f>STOCK[[#This Row],[Precio Venta Ideal (x1.5)]]</f>
        <v>18.96</v>
      </c>
      <c r="J1380" s="96">
        <v>5</v>
      </c>
      <c r="K1380" s="96">
        <f>SUMIFS(VENTAS[Cantidad],VENTAS[Código del producto Vendido],STOCK[[#This Row],[Code]])</f>
        <v>5</v>
      </c>
      <c r="L1380" s="96">
        <f>STOCK[[#This Row],[Entradas]]-STOCK[[#This Row],[Salidas]]</f>
        <v>0</v>
      </c>
      <c r="M1380" s="94">
        <f>STOCK[[#This Row],[Precio Final]]*10%</f>
        <v>2.5</v>
      </c>
      <c r="N1380" s="94">
        <v>0</v>
      </c>
      <c r="O1380" s="94">
        <v>0</v>
      </c>
      <c r="P1380" s="94">
        <v>8.49</v>
      </c>
      <c r="Q1380" s="96">
        <v>0</v>
      </c>
      <c r="R1380" s="94">
        <v>0</v>
      </c>
      <c r="S1380" s="94">
        <v>1.65</v>
      </c>
      <c r="T1380" s="94">
        <f>STOCK[[#This Row],[Costo Unitario (USD)]]+STOCK[[#This Row],[Costo Envío (USD)]]+STOCK[[#This Row],[Comisión 10%]]</f>
        <v>12.64</v>
      </c>
      <c r="U1380" s="76">
        <f>STOCK[[#This Row],[Costo total]]*1.5</f>
        <v>18.96</v>
      </c>
      <c r="V1380" s="94">
        <v>25</v>
      </c>
      <c r="W1380" s="94">
        <f>STOCK[[#This Row],[Precio Final]]-STOCK[[#This Row],[Costo total]]</f>
        <v>12.36</v>
      </c>
      <c r="X1380" s="94">
        <f>STOCK[[#This Row],[Ganancia Unitaria]]*STOCK[[#This Row],[Salidas]]</f>
        <v>61.8</v>
      </c>
      <c r="Y1380" s="94"/>
      <c r="Z1380" s="94"/>
      <c r="AA1380" s="94">
        <f>STOCK[[#This Row],[Costo total]]*STOCK[[#This Row],[Entradas]]</f>
        <v>63.2</v>
      </c>
      <c r="AB1380" s="94">
        <f>STOCK[[#This Row],[Stock Actual]]*STOCK[[#This Row],[Costo total]]</f>
        <v>0</v>
      </c>
      <c r="AC1380" s="94"/>
    </row>
    <row r="1381" s="76" customFormat="1" ht="50" hidden="1" customHeight="1" spans="1:29">
      <c r="A1381" s="76" t="s">
        <v>2820</v>
      </c>
      <c r="B1381" s="95"/>
      <c r="C1381" s="94" t="s">
        <v>30</v>
      </c>
      <c r="D1381" s="94" t="s">
        <v>2109</v>
      </c>
      <c r="E1381" s="94" t="s">
        <v>2821</v>
      </c>
      <c r="F1381" s="94" t="s">
        <v>2814</v>
      </c>
      <c r="G1381" s="94"/>
      <c r="H1381" s="94">
        <f>STOCK[[#This Row],[Precio Final]]</f>
        <v>25</v>
      </c>
      <c r="I1381" s="98">
        <f>STOCK[[#This Row],[Precio Venta Ideal (x1.5)]]</f>
        <v>23.775</v>
      </c>
      <c r="J1381" s="96">
        <v>4</v>
      </c>
      <c r="K1381" s="96">
        <f>SUMIFS(VENTAS[Cantidad],VENTAS[Código del producto Vendido],STOCK[[#This Row],[Code]])</f>
        <v>4</v>
      </c>
      <c r="L1381" s="96">
        <f>STOCK[[#This Row],[Entradas]]-STOCK[[#This Row],[Salidas]]</f>
        <v>0</v>
      </c>
      <c r="M1381" s="94">
        <f>STOCK[[#This Row],[Precio Final]]*10%</f>
        <v>2.5</v>
      </c>
      <c r="N1381" s="94">
        <v>0</v>
      </c>
      <c r="O1381" s="94">
        <v>0</v>
      </c>
      <c r="P1381" s="94">
        <v>11.7</v>
      </c>
      <c r="Q1381" s="96">
        <v>0</v>
      </c>
      <c r="R1381" s="94">
        <v>0</v>
      </c>
      <c r="S1381" s="94">
        <v>1.65</v>
      </c>
      <c r="T1381" s="94">
        <f>STOCK[[#This Row],[Costo Unitario (USD)]]+STOCK[[#This Row],[Costo Envío (USD)]]+STOCK[[#This Row],[Comisión 10%]]</f>
        <v>15.85</v>
      </c>
      <c r="U1381" s="76">
        <f>STOCK[[#This Row],[Costo total]]*1.5</f>
        <v>23.775</v>
      </c>
      <c r="V1381" s="94">
        <v>25</v>
      </c>
      <c r="W1381" s="94">
        <f>STOCK[[#This Row],[Precio Final]]-STOCK[[#This Row],[Costo total]]</f>
        <v>9.15</v>
      </c>
      <c r="X1381" s="94">
        <f>STOCK[[#This Row],[Ganancia Unitaria]]*STOCK[[#This Row],[Salidas]]</f>
        <v>36.6</v>
      </c>
      <c r="Y1381" s="94"/>
      <c r="Z1381" s="94"/>
      <c r="AA1381" s="94">
        <f>STOCK[[#This Row],[Costo total]]*STOCK[[#This Row],[Entradas]]</f>
        <v>63.4</v>
      </c>
      <c r="AB1381" s="94">
        <f>STOCK[[#This Row],[Stock Actual]]*STOCK[[#This Row],[Costo total]]</f>
        <v>0</v>
      </c>
      <c r="AC1381" s="94"/>
    </row>
    <row r="1382" s="76" customFormat="1" ht="50" hidden="1" customHeight="1" spans="1:29">
      <c r="A1382" s="76" t="s">
        <v>2822</v>
      </c>
      <c r="B1382" s="95"/>
      <c r="C1382" s="94" t="s">
        <v>30</v>
      </c>
      <c r="D1382" s="94" t="s">
        <v>2109</v>
      </c>
      <c r="E1382" s="94" t="s">
        <v>2823</v>
      </c>
      <c r="F1382" s="94" t="s">
        <v>2819</v>
      </c>
      <c r="G1382" s="94"/>
      <c r="H1382" s="94">
        <f>STOCK[[#This Row],[Precio Final]]</f>
        <v>25</v>
      </c>
      <c r="I1382" s="98">
        <f>STOCK[[#This Row],[Precio Venta Ideal (x1.5)]]</f>
        <v>22.86</v>
      </c>
      <c r="J1382" s="96">
        <v>3</v>
      </c>
      <c r="K1382" s="96">
        <f>SUMIFS(VENTAS[Cantidad],VENTAS[Código del producto Vendido],STOCK[[#This Row],[Code]])</f>
        <v>1</v>
      </c>
      <c r="L1382" s="96">
        <f>STOCK[[#This Row],[Entradas]]-STOCK[[#This Row],[Salidas]]</f>
        <v>2</v>
      </c>
      <c r="M1382" s="94">
        <f>STOCK[[#This Row],[Precio Final]]*10%</f>
        <v>2.5</v>
      </c>
      <c r="N1382" s="94">
        <v>0</v>
      </c>
      <c r="O1382" s="94">
        <v>0</v>
      </c>
      <c r="P1382" s="94">
        <v>11.09</v>
      </c>
      <c r="Q1382" s="96">
        <v>0</v>
      </c>
      <c r="R1382" s="94">
        <v>0</v>
      </c>
      <c r="S1382" s="94">
        <v>1.65</v>
      </c>
      <c r="T1382" s="94">
        <f>STOCK[[#This Row],[Costo Unitario (USD)]]+STOCK[[#This Row],[Costo Envío (USD)]]+STOCK[[#This Row],[Comisión 10%]]</f>
        <v>15.24</v>
      </c>
      <c r="U1382" s="76">
        <f>STOCK[[#This Row],[Costo total]]*1.5</f>
        <v>22.86</v>
      </c>
      <c r="V1382" s="94">
        <v>25</v>
      </c>
      <c r="W1382" s="94">
        <f>STOCK[[#This Row],[Precio Final]]-STOCK[[#This Row],[Costo total]]</f>
        <v>9.76</v>
      </c>
      <c r="X1382" s="94">
        <f>STOCK[[#This Row],[Ganancia Unitaria]]*STOCK[[#This Row],[Salidas]]</f>
        <v>9.76</v>
      </c>
      <c r="Y1382" s="94"/>
      <c r="Z1382" s="94"/>
      <c r="AA1382" s="94">
        <f>STOCK[[#This Row],[Costo total]]*STOCK[[#This Row],[Entradas]]</f>
        <v>45.72</v>
      </c>
      <c r="AB1382" s="94">
        <f>STOCK[[#This Row],[Stock Actual]]*STOCK[[#This Row],[Costo total]]</f>
        <v>30.48</v>
      </c>
      <c r="AC1382" s="94"/>
    </row>
    <row r="1383" s="76" customFormat="1" ht="50" hidden="1" customHeight="1" spans="1:29">
      <c r="A1383" s="76" t="s">
        <v>2824</v>
      </c>
      <c r="B1383" s="95"/>
      <c r="C1383" s="94" t="s">
        <v>30</v>
      </c>
      <c r="D1383" s="94" t="s">
        <v>2109</v>
      </c>
      <c r="E1383" s="94" t="s">
        <v>2825</v>
      </c>
      <c r="F1383" s="94" t="s">
        <v>2819</v>
      </c>
      <c r="G1383" s="94"/>
      <c r="H1383" s="94">
        <f>STOCK[[#This Row],[Precio Final]]</f>
        <v>25</v>
      </c>
      <c r="I1383" s="98">
        <f>STOCK[[#This Row],[Precio Venta Ideal (x1.5)]]</f>
        <v>23.715</v>
      </c>
      <c r="J1383" s="96">
        <v>3</v>
      </c>
      <c r="K1383" s="96">
        <f>SUMIFS(VENTAS[Cantidad],VENTAS[Código del producto Vendido],STOCK[[#This Row],[Code]])</f>
        <v>3</v>
      </c>
      <c r="L1383" s="96">
        <f>STOCK[[#This Row],[Entradas]]-STOCK[[#This Row],[Salidas]]</f>
        <v>0</v>
      </c>
      <c r="M1383" s="94">
        <f>STOCK[[#This Row],[Precio Final]]*10%</f>
        <v>2.5</v>
      </c>
      <c r="N1383" s="94">
        <v>0</v>
      </c>
      <c r="O1383" s="94">
        <v>0</v>
      </c>
      <c r="P1383" s="94">
        <v>11.66</v>
      </c>
      <c r="Q1383" s="96">
        <v>0</v>
      </c>
      <c r="R1383" s="94">
        <v>0</v>
      </c>
      <c r="S1383" s="94">
        <v>1.65</v>
      </c>
      <c r="T1383" s="94">
        <f>STOCK[[#This Row],[Costo Unitario (USD)]]+STOCK[[#This Row],[Costo Envío (USD)]]+STOCK[[#This Row],[Comisión 10%]]</f>
        <v>15.81</v>
      </c>
      <c r="U1383" s="76">
        <f>STOCK[[#This Row],[Costo total]]*1.5</f>
        <v>23.715</v>
      </c>
      <c r="V1383" s="94">
        <v>25</v>
      </c>
      <c r="W1383" s="94">
        <f>STOCK[[#This Row],[Precio Final]]-STOCK[[#This Row],[Costo total]]</f>
        <v>9.19</v>
      </c>
      <c r="X1383" s="94">
        <f>STOCK[[#This Row],[Ganancia Unitaria]]*STOCK[[#This Row],[Salidas]]</f>
        <v>27.57</v>
      </c>
      <c r="Y1383" s="94"/>
      <c r="Z1383" s="94"/>
      <c r="AA1383" s="94">
        <f>STOCK[[#This Row],[Costo total]]*STOCK[[#This Row],[Entradas]]</f>
        <v>47.43</v>
      </c>
      <c r="AB1383" s="94">
        <f>STOCK[[#This Row],[Stock Actual]]*STOCK[[#This Row],[Costo total]]</f>
        <v>0</v>
      </c>
      <c r="AC1383" s="94"/>
    </row>
    <row r="1384" s="76" customFormat="1" ht="50" hidden="1" customHeight="1" spans="1:29">
      <c r="A1384" s="76" t="s">
        <v>2826</v>
      </c>
      <c r="B1384" s="95"/>
      <c r="C1384" s="94" t="s">
        <v>30</v>
      </c>
      <c r="D1384" s="94" t="s">
        <v>2109</v>
      </c>
      <c r="E1384" s="94" t="s">
        <v>2827</v>
      </c>
      <c r="F1384" s="94" t="s">
        <v>2819</v>
      </c>
      <c r="G1384" s="94"/>
      <c r="H1384" s="94">
        <f>STOCK[[#This Row],[Precio Final]]</f>
        <v>25</v>
      </c>
      <c r="I1384" s="98">
        <f>STOCK[[#This Row],[Precio Venta Ideal (x1.5)]]</f>
        <v>23.295</v>
      </c>
      <c r="J1384" s="96">
        <v>3</v>
      </c>
      <c r="K1384" s="96">
        <f>SUMIFS(VENTAS[Cantidad],VENTAS[Código del producto Vendido],STOCK[[#This Row],[Code]])</f>
        <v>3</v>
      </c>
      <c r="L1384" s="96">
        <f>STOCK[[#This Row],[Entradas]]-STOCK[[#This Row],[Salidas]]</f>
        <v>0</v>
      </c>
      <c r="M1384" s="94">
        <f>STOCK[[#This Row],[Precio Final]]*10%</f>
        <v>2.5</v>
      </c>
      <c r="N1384" s="94">
        <v>0</v>
      </c>
      <c r="O1384" s="94">
        <v>0</v>
      </c>
      <c r="P1384" s="94">
        <v>11.38</v>
      </c>
      <c r="Q1384" s="96">
        <v>0</v>
      </c>
      <c r="R1384" s="94">
        <v>0</v>
      </c>
      <c r="S1384" s="94">
        <v>1.65</v>
      </c>
      <c r="T1384" s="94">
        <f>STOCK[[#This Row],[Costo Unitario (USD)]]+STOCK[[#This Row],[Costo Envío (USD)]]+STOCK[[#This Row],[Comisión 10%]]</f>
        <v>15.53</v>
      </c>
      <c r="U1384" s="76">
        <f>STOCK[[#This Row],[Costo total]]*1.5</f>
        <v>23.295</v>
      </c>
      <c r="V1384" s="94">
        <v>25</v>
      </c>
      <c r="W1384" s="94">
        <f>STOCK[[#This Row],[Precio Final]]-STOCK[[#This Row],[Costo total]]</f>
        <v>9.47</v>
      </c>
      <c r="X1384" s="94">
        <f>STOCK[[#This Row],[Ganancia Unitaria]]*STOCK[[#This Row],[Salidas]]</f>
        <v>28.41</v>
      </c>
      <c r="Y1384" s="94"/>
      <c r="Z1384" s="94"/>
      <c r="AA1384" s="94">
        <f>STOCK[[#This Row],[Costo total]]*STOCK[[#This Row],[Entradas]]</f>
        <v>46.59</v>
      </c>
      <c r="AB1384" s="94">
        <f>STOCK[[#This Row],[Stock Actual]]*STOCK[[#This Row],[Costo total]]</f>
        <v>0</v>
      </c>
      <c r="AC1384" s="94"/>
    </row>
    <row r="1385" s="76" customFormat="1" ht="50" hidden="1" customHeight="1" spans="1:29">
      <c r="A1385" s="76" t="s">
        <v>2828</v>
      </c>
      <c r="B1385" s="95"/>
      <c r="C1385" s="94" t="s">
        <v>30</v>
      </c>
      <c r="D1385" s="94" t="s">
        <v>2125</v>
      </c>
      <c r="E1385" s="94" t="s">
        <v>2829</v>
      </c>
      <c r="F1385" s="94" t="s">
        <v>60</v>
      </c>
      <c r="G1385" s="94"/>
      <c r="H1385" s="94">
        <f>STOCK[[#This Row],[Precio Final]]</f>
        <v>25</v>
      </c>
      <c r="I1385" s="98">
        <f>STOCK[[#This Row],[Precio Venta Ideal (x1.5)]]</f>
        <v>21.66</v>
      </c>
      <c r="J1385" s="96">
        <v>4</v>
      </c>
      <c r="K1385" s="96">
        <f>SUMIFS(VENTAS[Cantidad],VENTAS[Código del producto Vendido],STOCK[[#This Row],[Code]])</f>
        <v>0</v>
      </c>
      <c r="L1385" s="96">
        <f>STOCK[[#This Row],[Entradas]]-STOCK[[#This Row],[Salidas]]</f>
        <v>4</v>
      </c>
      <c r="M1385" s="94">
        <f>STOCK[[#This Row],[Precio Final]]*10%</f>
        <v>2.5</v>
      </c>
      <c r="N1385" s="94">
        <v>0</v>
      </c>
      <c r="O1385" s="94">
        <v>0</v>
      </c>
      <c r="P1385" s="94">
        <v>10.29</v>
      </c>
      <c r="Q1385" s="96">
        <v>0</v>
      </c>
      <c r="R1385" s="94">
        <v>0</v>
      </c>
      <c r="S1385" s="94">
        <v>1.65</v>
      </c>
      <c r="T1385" s="94">
        <f>STOCK[[#This Row],[Costo Unitario (USD)]]+STOCK[[#This Row],[Costo Envío (USD)]]+STOCK[[#This Row],[Comisión 10%]]</f>
        <v>14.44</v>
      </c>
      <c r="U1385" s="76">
        <f>STOCK[[#This Row],[Costo total]]*1.5</f>
        <v>21.66</v>
      </c>
      <c r="V1385" s="94">
        <v>25</v>
      </c>
      <c r="W1385" s="94">
        <f>STOCK[[#This Row],[Precio Final]]-STOCK[[#This Row],[Costo total]]</f>
        <v>10.56</v>
      </c>
      <c r="X1385" s="94">
        <f>STOCK[[#This Row],[Ganancia Unitaria]]*STOCK[[#This Row],[Salidas]]</f>
        <v>0</v>
      </c>
      <c r="Y1385" s="94"/>
      <c r="Z1385" s="94"/>
      <c r="AA1385" s="94">
        <f>STOCK[[#This Row],[Costo total]]*STOCK[[#This Row],[Entradas]]</f>
        <v>57.76</v>
      </c>
      <c r="AB1385" s="94">
        <f>STOCK[[#This Row],[Stock Actual]]*STOCK[[#This Row],[Costo total]]</f>
        <v>57.76</v>
      </c>
      <c r="AC1385" s="94"/>
    </row>
    <row r="1386" s="76" customFormat="1" ht="50" hidden="1" customHeight="1" spans="1:29">
      <c r="A1386" s="76" t="s">
        <v>2830</v>
      </c>
      <c r="B1386" s="95"/>
      <c r="C1386" s="94" t="s">
        <v>30</v>
      </c>
      <c r="D1386" s="94" t="s">
        <v>2831</v>
      </c>
      <c r="E1386" s="94" t="s">
        <v>2832</v>
      </c>
      <c r="F1386" s="94" t="s">
        <v>38</v>
      </c>
      <c r="G1386" s="94"/>
      <c r="H1386" s="94">
        <f>STOCK[[#This Row],[Precio Final]]</f>
        <v>30</v>
      </c>
      <c r="I1386" s="98">
        <f>STOCK[[#This Row],[Precio Venta Ideal (x1.5)]]</f>
        <v>24.75</v>
      </c>
      <c r="J1386" s="96">
        <v>2</v>
      </c>
      <c r="K1386" s="96">
        <f>SUMIFS(VENTAS[Cantidad],VENTAS[Código del producto Vendido],STOCK[[#This Row],[Code]])</f>
        <v>2</v>
      </c>
      <c r="L1386" s="96">
        <f>STOCK[[#This Row],[Entradas]]-STOCK[[#This Row],[Salidas]]</f>
        <v>0</v>
      </c>
      <c r="M1386" s="94">
        <f>STOCK[[#This Row],[Precio Final]]*10%</f>
        <v>3</v>
      </c>
      <c r="N1386" s="94">
        <v>0</v>
      </c>
      <c r="O1386" s="94">
        <v>0</v>
      </c>
      <c r="P1386" s="94">
        <v>11.85</v>
      </c>
      <c r="Q1386" s="96">
        <v>0</v>
      </c>
      <c r="R1386" s="94">
        <v>0</v>
      </c>
      <c r="S1386" s="94">
        <v>1.65</v>
      </c>
      <c r="T1386" s="94">
        <f>STOCK[[#This Row],[Costo Unitario (USD)]]+STOCK[[#This Row],[Costo Envío (USD)]]+STOCK[[#This Row],[Comisión 10%]]</f>
        <v>16.5</v>
      </c>
      <c r="U1386" s="76">
        <f>STOCK[[#This Row],[Costo total]]*1.5</f>
        <v>24.75</v>
      </c>
      <c r="V1386" s="94">
        <v>30</v>
      </c>
      <c r="W1386" s="94">
        <f>STOCK[[#This Row],[Precio Final]]-STOCK[[#This Row],[Costo total]]</f>
        <v>13.5</v>
      </c>
      <c r="X1386" s="94">
        <f>STOCK[[#This Row],[Ganancia Unitaria]]*STOCK[[#This Row],[Salidas]]</f>
        <v>27</v>
      </c>
      <c r="Y1386" s="94"/>
      <c r="Z1386" s="94"/>
      <c r="AA1386" s="94">
        <f>STOCK[[#This Row],[Costo total]]*STOCK[[#This Row],[Entradas]]</f>
        <v>33</v>
      </c>
      <c r="AB1386" s="94">
        <f>STOCK[[#This Row],[Stock Actual]]*STOCK[[#This Row],[Costo total]]</f>
        <v>0</v>
      </c>
      <c r="AC1386" s="94"/>
    </row>
    <row r="1387" s="76" customFormat="1" ht="50" hidden="1" customHeight="1" spans="1:29">
      <c r="A1387" s="76" t="s">
        <v>2833</v>
      </c>
      <c r="B1387" s="95"/>
      <c r="C1387" s="94" t="s">
        <v>30</v>
      </c>
      <c r="D1387" s="94" t="s">
        <v>2831</v>
      </c>
      <c r="E1387" s="94" t="s">
        <v>2832</v>
      </c>
      <c r="F1387" s="94" t="s">
        <v>60</v>
      </c>
      <c r="G1387" s="94"/>
      <c r="H1387" s="94">
        <f>STOCK[[#This Row],[Precio Final]]</f>
        <v>30</v>
      </c>
      <c r="I1387" s="98">
        <f>STOCK[[#This Row],[Precio Venta Ideal (x1.5)]]</f>
        <v>24.75</v>
      </c>
      <c r="J1387" s="96">
        <v>2</v>
      </c>
      <c r="K1387" s="96">
        <f>SUMIFS(VENTAS[Cantidad],VENTAS[Código del producto Vendido],STOCK[[#This Row],[Code]])</f>
        <v>2</v>
      </c>
      <c r="L1387" s="96">
        <f>STOCK[[#This Row],[Entradas]]-STOCK[[#This Row],[Salidas]]</f>
        <v>0</v>
      </c>
      <c r="M1387" s="94">
        <f>STOCK[[#This Row],[Precio Final]]*10%</f>
        <v>3</v>
      </c>
      <c r="N1387" s="94">
        <v>0</v>
      </c>
      <c r="O1387" s="94">
        <v>0</v>
      </c>
      <c r="P1387" s="94">
        <v>11.85</v>
      </c>
      <c r="Q1387" s="96">
        <v>0</v>
      </c>
      <c r="R1387" s="94">
        <v>0</v>
      </c>
      <c r="S1387" s="94">
        <v>1.65</v>
      </c>
      <c r="T1387" s="94">
        <f>STOCK[[#This Row],[Costo Unitario (USD)]]+STOCK[[#This Row],[Costo Envío (USD)]]+STOCK[[#This Row],[Comisión 10%]]</f>
        <v>16.5</v>
      </c>
      <c r="U1387" s="76">
        <f>STOCK[[#This Row],[Costo total]]*1.5</f>
        <v>24.75</v>
      </c>
      <c r="V1387" s="94">
        <v>30</v>
      </c>
      <c r="W1387" s="94">
        <f>STOCK[[#This Row],[Precio Final]]-STOCK[[#This Row],[Costo total]]</f>
        <v>13.5</v>
      </c>
      <c r="X1387" s="94">
        <f>STOCK[[#This Row],[Ganancia Unitaria]]*STOCK[[#This Row],[Salidas]]</f>
        <v>27</v>
      </c>
      <c r="Y1387" s="94"/>
      <c r="Z1387" s="94"/>
      <c r="AA1387" s="94">
        <f>STOCK[[#This Row],[Costo total]]*STOCK[[#This Row],[Entradas]]</f>
        <v>33</v>
      </c>
      <c r="AB1387" s="94">
        <f>STOCK[[#This Row],[Stock Actual]]*STOCK[[#This Row],[Costo total]]</f>
        <v>0</v>
      </c>
      <c r="AC1387" s="94"/>
    </row>
    <row r="1388" s="76" customFormat="1" ht="50" hidden="1" customHeight="1" spans="1:29">
      <c r="A1388" s="76" t="s">
        <v>2834</v>
      </c>
      <c r="B1388" s="95"/>
      <c r="C1388" s="94" t="s">
        <v>30</v>
      </c>
      <c r="D1388" s="94" t="s">
        <v>2831</v>
      </c>
      <c r="E1388" s="94" t="s">
        <v>2832</v>
      </c>
      <c r="F1388" s="94" t="s">
        <v>47</v>
      </c>
      <c r="G1388" s="94"/>
      <c r="H1388" s="94">
        <f>STOCK[[#This Row],[Precio Final]]</f>
        <v>30</v>
      </c>
      <c r="I1388" s="98">
        <f>STOCK[[#This Row],[Precio Venta Ideal (x1.5)]]</f>
        <v>24.75</v>
      </c>
      <c r="J1388" s="96">
        <v>2</v>
      </c>
      <c r="K1388" s="96">
        <f>SUMIFS(VENTAS[Cantidad],VENTAS[Código del producto Vendido],STOCK[[#This Row],[Code]])</f>
        <v>1</v>
      </c>
      <c r="L1388" s="96">
        <f>STOCK[[#This Row],[Entradas]]-STOCK[[#This Row],[Salidas]]</f>
        <v>1</v>
      </c>
      <c r="M1388" s="94">
        <f>STOCK[[#This Row],[Precio Final]]*10%</f>
        <v>3</v>
      </c>
      <c r="N1388" s="94">
        <v>0</v>
      </c>
      <c r="O1388" s="94">
        <v>0</v>
      </c>
      <c r="P1388" s="94">
        <v>11.85</v>
      </c>
      <c r="Q1388" s="96">
        <v>0</v>
      </c>
      <c r="R1388" s="94">
        <v>0</v>
      </c>
      <c r="S1388" s="94">
        <v>1.65</v>
      </c>
      <c r="T1388" s="94">
        <f>STOCK[[#This Row],[Costo Unitario (USD)]]+STOCK[[#This Row],[Costo Envío (USD)]]+STOCK[[#This Row],[Comisión 10%]]</f>
        <v>16.5</v>
      </c>
      <c r="U1388" s="76">
        <f>STOCK[[#This Row],[Costo total]]*1.5</f>
        <v>24.75</v>
      </c>
      <c r="V1388" s="94">
        <v>30</v>
      </c>
      <c r="W1388" s="94">
        <f>STOCK[[#This Row],[Precio Final]]-STOCK[[#This Row],[Costo total]]</f>
        <v>13.5</v>
      </c>
      <c r="X1388" s="94">
        <f>STOCK[[#This Row],[Ganancia Unitaria]]*STOCK[[#This Row],[Salidas]]</f>
        <v>13.5</v>
      </c>
      <c r="Y1388" s="94"/>
      <c r="Z1388" s="94"/>
      <c r="AA1388" s="94">
        <f>STOCK[[#This Row],[Costo total]]*STOCK[[#This Row],[Entradas]]</f>
        <v>33</v>
      </c>
      <c r="AB1388" s="94">
        <f>STOCK[[#This Row],[Stock Actual]]*STOCK[[#This Row],[Costo total]]</f>
        <v>16.5</v>
      </c>
      <c r="AC1388" s="94"/>
    </row>
    <row r="1389" s="76" customFormat="1" ht="50" hidden="1" customHeight="1" spans="1:29">
      <c r="A1389" s="76" t="s">
        <v>2835</v>
      </c>
      <c r="B1389" s="95"/>
      <c r="C1389" s="94" t="s">
        <v>30</v>
      </c>
      <c r="D1389" s="94" t="s">
        <v>2831</v>
      </c>
      <c r="E1389" s="94" t="s">
        <v>2832</v>
      </c>
      <c r="F1389" s="94" t="s">
        <v>44</v>
      </c>
      <c r="G1389" s="94"/>
      <c r="H1389" s="94">
        <f>STOCK[[#This Row],[Precio Final]]</f>
        <v>30</v>
      </c>
      <c r="I1389" s="98">
        <f>STOCK[[#This Row],[Precio Venta Ideal (x1.5)]]</f>
        <v>24.75</v>
      </c>
      <c r="J1389" s="96">
        <v>2</v>
      </c>
      <c r="K1389" s="96">
        <f>SUMIFS(VENTAS[Cantidad],VENTAS[Código del producto Vendido],STOCK[[#This Row],[Code]])</f>
        <v>2</v>
      </c>
      <c r="L1389" s="96">
        <f>STOCK[[#This Row],[Entradas]]-STOCK[[#This Row],[Salidas]]</f>
        <v>0</v>
      </c>
      <c r="M1389" s="94">
        <f>STOCK[[#This Row],[Precio Final]]*10%</f>
        <v>3</v>
      </c>
      <c r="N1389" s="94">
        <v>0</v>
      </c>
      <c r="O1389" s="94">
        <v>0</v>
      </c>
      <c r="P1389" s="94">
        <v>11.85</v>
      </c>
      <c r="Q1389" s="96">
        <v>0</v>
      </c>
      <c r="R1389" s="94">
        <v>0</v>
      </c>
      <c r="S1389" s="94">
        <v>1.65</v>
      </c>
      <c r="T1389" s="94">
        <f>STOCK[[#This Row],[Costo Unitario (USD)]]+STOCK[[#This Row],[Costo Envío (USD)]]+STOCK[[#This Row],[Comisión 10%]]</f>
        <v>16.5</v>
      </c>
      <c r="U1389" s="76">
        <f>STOCK[[#This Row],[Costo total]]*1.5</f>
        <v>24.75</v>
      </c>
      <c r="V1389" s="94">
        <v>30</v>
      </c>
      <c r="W1389" s="94">
        <f>STOCK[[#This Row],[Precio Final]]-STOCK[[#This Row],[Costo total]]</f>
        <v>13.5</v>
      </c>
      <c r="X1389" s="94">
        <f>STOCK[[#This Row],[Ganancia Unitaria]]*STOCK[[#This Row],[Salidas]]</f>
        <v>27</v>
      </c>
      <c r="Y1389" s="94"/>
      <c r="Z1389" s="94"/>
      <c r="AA1389" s="94">
        <f>STOCK[[#This Row],[Costo total]]*STOCK[[#This Row],[Entradas]]</f>
        <v>33</v>
      </c>
      <c r="AB1389" s="94">
        <f>STOCK[[#This Row],[Stock Actual]]*STOCK[[#This Row],[Costo total]]</f>
        <v>0</v>
      </c>
      <c r="AC1389" s="94"/>
    </row>
    <row r="1390" s="76" customFormat="1" ht="50" hidden="1" customHeight="1" spans="1:29">
      <c r="A1390" s="76" t="s">
        <v>2836</v>
      </c>
      <c r="B1390" s="95"/>
      <c r="C1390" s="94" t="s">
        <v>30</v>
      </c>
      <c r="D1390" s="94" t="s">
        <v>1188</v>
      </c>
      <c r="E1390" s="94" t="s">
        <v>2837</v>
      </c>
      <c r="F1390" s="94" t="s">
        <v>38</v>
      </c>
      <c r="G1390" s="94"/>
      <c r="H1390" s="94">
        <f>STOCK[[#This Row],[Precio Final]]</f>
        <v>18</v>
      </c>
      <c r="I1390" s="98">
        <f>STOCK[[#This Row],[Precio Venta Ideal (x1.5)]]</f>
        <v>12.9</v>
      </c>
      <c r="J1390" s="96">
        <v>3</v>
      </c>
      <c r="K1390" s="96">
        <f>SUMIFS(VENTAS[Cantidad],VENTAS[Código del producto Vendido],STOCK[[#This Row],[Code]])</f>
        <v>0</v>
      </c>
      <c r="L1390" s="96">
        <f>STOCK[[#This Row],[Entradas]]-STOCK[[#This Row],[Salidas]]</f>
        <v>3</v>
      </c>
      <c r="M1390" s="94">
        <f>STOCK[[#This Row],[Precio Final]]*10%</f>
        <v>1.8</v>
      </c>
      <c r="N1390" s="94">
        <v>0</v>
      </c>
      <c r="O1390" s="94">
        <v>0</v>
      </c>
      <c r="P1390" s="94">
        <v>5.15</v>
      </c>
      <c r="Q1390" s="96">
        <v>0</v>
      </c>
      <c r="R1390" s="94">
        <v>0</v>
      </c>
      <c r="S1390" s="94">
        <v>1.65</v>
      </c>
      <c r="T1390" s="94">
        <f>STOCK[[#This Row],[Costo Unitario (USD)]]+STOCK[[#This Row],[Costo Envío (USD)]]+STOCK[[#This Row],[Comisión 10%]]</f>
        <v>8.6</v>
      </c>
      <c r="U1390" s="76">
        <f>STOCK[[#This Row],[Costo total]]*1.5</f>
        <v>12.9</v>
      </c>
      <c r="V1390" s="94">
        <v>18</v>
      </c>
      <c r="W1390" s="94">
        <f>STOCK[[#This Row],[Precio Final]]-STOCK[[#This Row],[Costo total]]</f>
        <v>9.4</v>
      </c>
      <c r="X1390" s="94">
        <f>STOCK[[#This Row],[Ganancia Unitaria]]*STOCK[[#This Row],[Salidas]]</f>
        <v>0</v>
      </c>
      <c r="Y1390" s="94"/>
      <c r="Z1390" s="94"/>
      <c r="AA1390" s="94">
        <f>STOCK[[#This Row],[Costo total]]*STOCK[[#This Row],[Entradas]]</f>
        <v>25.8</v>
      </c>
      <c r="AB1390" s="94">
        <f>STOCK[[#This Row],[Stock Actual]]*STOCK[[#This Row],[Costo total]]</f>
        <v>25.8</v>
      </c>
      <c r="AC1390" s="94"/>
    </row>
    <row r="1391" s="76" customFormat="1" ht="50" hidden="1" customHeight="1" spans="1:29">
      <c r="A1391" s="76" t="s">
        <v>2838</v>
      </c>
      <c r="B1391" s="95"/>
      <c r="C1391" s="94" t="s">
        <v>30</v>
      </c>
      <c r="D1391" s="94" t="s">
        <v>1188</v>
      </c>
      <c r="E1391" s="94" t="s">
        <v>2837</v>
      </c>
      <c r="F1391" s="94" t="s">
        <v>44</v>
      </c>
      <c r="G1391" s="94"/>
      <c r="H1391" s="94">
        <f>STOCK[[#This Row],[Precio Final]]</f>
        <v>18</v>
      </c>
      <c r="I1391" s="98">
        <f>STOCK[[#This Row],[Precio Venta Ideal (x1.5)]]</f>
        <v>12.9</v>
      </c>
      <c r="J1391" s="96">
        <v>3</v>
      </c>
      <c r="K1391" s="96">
        <f>SUMIFS(VENTAS[Cantidad],VENTAS[Código del producto Vendido],STOCK[[#This Row],[Code]])</f>
        <v>0</v>
      </c>
      <c r="L1391" s="96">
        <f>STOCK[[#This Row],[Entradas]]-STOCK[[#This Row],[Salidas]]</f>
        <v>3</v>
      </c>
      <c r="M1391" s="94">
        <f>STOCK[[#This Row],[Precio Final]]*10%</f>
        <v>1.8</v>
      </c>
      <c r="N1391" s="94">
        <v>0</v>
      </c>
      <c r="O1391" s="94">
        <v>0</v>
      </c>
      <c r="P1391" s="94">
        <v>5.15</v>
      </c>
      <c r="Q1391" s="96">
        <v>0</v>
      </c>
      <c r="R1391" s="94">
        <v>0</v>
      </c>
      <c r="S1391" s="94">
        <v>1.65</v>
      </c>
      <c r="T1391" s="94">
        <f>STOCK[[#This Row],[Costo Unitario (USD)]]+STOCK[[#This Row],[Costo Envío (USD)]]+STOCK[[#This Row],[Comisión 10%]]</f>
        <v>8.6</v>
      </c>
      <c r="U1391" s="76">
        <f>STOCK[[#This Row],[Costo total]]*1.5</f>
        <v>12.9</v>
      </c>
      <c r="V1391" s="94">
        <v>18</v>
      </c>
      <c r="W1391" s="94">
        <f>STOCK[[#This Row],[Precio Final]]-STOCK[[#This Row],[Costo total]]</f>
        <v>9.4</v>
      </c>
      <c r="X1391" s="94">
        <f>STOCK[[#This Row],[Ganancia Unitaria]]*STOCK[[#This Row],[Salidas]]</f>
        <v>0</v>
      </c>
      <c r="Y1391" s="94"/>
      <c r="Z1391" s="94"/>
      <c r="AA1391" s="94">
        <f>STOCK[[#This Row],[Costo total]]*STOCK[[#This Row],[Entradas]]</f>
        <v>25.8</v>
      </c>
      <c r="AB1391" s="94">
        <f>STOCK[[#This Row],[Stock Actual]]*STOCK[[#This Row],[Costo total]]</f>
        <v>25.8</v>
      </c>
      <c r="AC1391" s="94"/>
    </row>
    <row r="1392" s="76" customFormat="1" ht="50" hidden="1" customHeight="1" spans="1:29">
      <c r="A1392" s="76" t="s">
        <v>2839</v>
      </c>
      <c r="B1392" s="95"/>
      <c r="C1392" s="94" t="s">
        <v>30</v>
      </c>
      <c r="D1392" s="94" t="s">
        <v>2109</v>
      </c>
      <c r="E1392" s="94" t="s">
        <v>2840</v>
      </c>
      <c r="F1392" s="94" t="s">
        <v>2814</v>
      </c>
      <c r="G1392" s="94"/>
      <c r="H1392" s="94">
        <f>STOCK[[#This Row],[Precio Final]]</f>
        <v>30</v>
      </c>
      <c r="I1392" s="98">
        <f>STOCK[[#This Row],[Precio Venta Ideal (x1.5)]]</f>
        <v>27.885</v>
      </c>
      <c r="J1392" s="96">
        <v>2</v>
      </c>
      <c r="K1392" s="96">
        <f>SUMIFS(VENTAS[Cantidad],VENTAS[Código del producto Vendido],STOCK[[#This Row],[Code]])</f>
        <v>1</v>
      </c>
      <c r="L1392" s="96">
        <f>STOCK[[#This Row],[Entradas]]-STOCK[[#This Row],[Salidas]]</f>
        <v>1</v>
      </c>
      <c r="M1392" s="94">
        <f>STOCK[[#This Row],[Precio Final]]*10%</f>
        <v>3</v>
      </c>
      <c r="N1392" s="94">
        <v>0</v>
      </c>
      <c r="O1392" s="94">
        <v>0</v>
      </c>
      <c r="P1392" s="94">
        <v>13.94</v>
      </c>
      <c r="Q1392" s="96">
        <v>0</v>
      </c>
      <c r="R1392" s="94">
        <v>0</v>
      </c>
      <c r="S1392" s="94">
        <v>1.65</v>
      </c>
      <c r="T1392" s="94">
        <f>STOCK[[#This Row],[Costo Unitario (USD)]]+STOCK[[#This Row],[Costo Envío (USD)]]+STOCK[[#This Row],[Comisión 10%]]</f>
        <v>18.59</v>
      </c>
      <c r="U1392" s="76">
        <f>STOCK[[#This Row],[Costo total]]*1.5</f>
        <v>27.885</v>
      </c>
      <c r="V1392" s="94">
        <v>30</v>
      </c>
      <c r="W1392" s="94">
        <f>STOCK[[#This Row],[Precio Final]]-STOCK[[#This Row],[Costo total]]</f>
        <v>11.41</v>
      </c>
      <c r="X1392" s="94">
        <f>STOCK[[#This Row],[Ganancia Unitaria]]*STOCK[[#This Row],[Salidas]]</f>
        <v>11.41</v>
      </c>
      <c r="Y1392" s="94"/>
      <c r="Z1392" s="94"/>
      <c r="AA1392" s="94">
        <f>STOCK[[#This Row],[Costo total]]*STOCK[[#This Row],[Entradas]]</f>
        <v>37.18</v>
      </c>
      <c r="AB1392" s="94">
        <f>STOCK[[#This Row],[Stock Actual]]*STOCK[[#This Row],[Costo total]]</f>
        <v>18.59</v>
      </c>
      <c r="AC1392" s="94"/>
    </row>
    <row r="1393" s="76" customFormat="1" ht="50" hidden="1" customHeight="1" spans="1:29">
      <c r="A1393" s="76" t="s">
        <v>2841</v>
      </c>
      <c r="B1393" s="95"/>
      <c r="C1393" s="94" t="s">
        <v>30</v>
      </c>
      <c r="D1393" s="94" t="s">
        <v>2842</v>
      </c>
      <c r="E1393" s="94" t="s">
        <v>2843</v>
      </c>
      <c r="F1393" s="94" t="s">
        <v>38</v>
      </c>
      <c r="G1393" s="94"/>
      <c r="H1393" s="94">
        <f>STOCK[[#This Row],[Precio Final]]</f>
        <v>22</v>
      </c>
      <c r="I1393" s="98">
        <f>STOCK[[#This Row],[Precio Venta Ideal (x1.5)]]</f>
        <v>19.08</v>
      </c>
      <c r="J1393" s="96">
        <v>2</v>
      </c>
      <c r="K1393" s="96">
        <f>SUMIFS(VENTAS[Cantidad],VENTAS[Código del producto Vendido],STOCK[[#This Row],[Code]])</f>
        <v>1</v>
      </c>
      <c r="L1393" s="96">
        <f>STOCK[[#This Row],[Entradas]]-STOCK[[#This Row],[Salidas]]</f>
        <v>1</v>
      </c>
      <c r="M1393" s="94">
        <f>STOCK[[#This Row],[Precio Final]]*10%</f>
        <v>2.2</v>
      </c>
      <c r="N1393" s="94">
        <v>0</v>
      </c>
      <c r="O1393" s="94">
        <v>0</v>
      </c>
      <c r="P1393" s="94">
        <v>8.87</v>
      </c>
      <c r="Q1393" s="96">
        <v>0</v>
      </c>
      <c r="R1393" s="94">
        <v>0</v>
      </c>
      <c r="S1393" s="94">
        <v>1.65</v>
      </c>
      <c r="T1393" s="94">
        <f>STOCK[[#This Row],[Costo Unitario (USD)]]+STOCK[[#This Row],[Costo Envío (USD)]]+STOCK[[#This Row],[Comisión 10%]]</f>
        <v>12.72</v>
      </c>
      <c r="U1393" s="76">
        <f>STOCK[[#This Row],[Costo total]]*1.5</f>
        <v>19.08</v>
      </c>
      <c r="V1393" s="94">
        <v>22</v>
      </c>
      <c r="W1393" s="94">
        <f>STOCK[[#This Row],[Precio Final]]-STOCK[[#This Row],[Costo total]]</f>
        <v>9.28</v>
      </c>
      <c r="X1393" s="94">
        <f>STOCK[[#This Row],[Ganancia Unitaria]]*STOCK[[#This Row],[Salidas]]</f>
        <v>9.28</v>
      </c>
      <c r="Y1393" s="94"/>
      <c r="Z1393" s="94"/>
      <c r="AA1393" s="94">
        <f>STOCK[[#This Row],[Costo total]]*STOCK[[#This Row],[Entradas]]</f>
        <v>25.44</v>
      </c>
      <c r="AB1393" s="94">
        <f>STOCK[[#This Row],[Stock Actual]]*STOCK[[#This Row],[Costo total]]</f>
        <v>12.72</v>
      </c>
      <c r="AC1393" s="94"/>
    </row>
    <row r="1394" s="76" customFormat="1" ht="50" hidden="1" customHeight="1" spans="1:29">
      <c r="A1394" s="76" t="s">
        <v>2844</v>
      </c>
      <c r="B1394" s="95"/>
      <c r="C1394" s="94" t="s">
        <v>30</v>
      </c>
      <c r="D1394" s="94" t="s">
        <v>2842</v>
      </c>
      <c r="E1394" s="94" t="s">
        <v>2843</v>
      </c>
      <c r="F1394" s="94" t="s">
        <v>1045</v>
      </c>
      <c r="G1394" s="94"/>
      <c r="H1394" s="94">
        <f>STOCK[[#This Row],[Precio Final]]</f>
        <v>22</v>
      </c>
      <c r="I1394" s="98">
        <f>STOCK[[#This Row],[Precio Venta Ideal (x1.5)]]</f>
        <v>19.08</v>
      </c>
      <c r="J1394" s="96">
        <v>2</v>
      </c>
      <c r="K1394" s="96">
        <f>SUMIFS(VENTAS[Cantidad],VENTAS[Código del producto Vendido],STOCK[[#This Row],[Code]])</f>
        <v>0</v>
      </c>
      <c r="L1394" s="96">
        <f>STOCK[[#This Row],[Entradas]]-STOCK[[#This Row],[Salidas]]</f>
        <v>2</v>
      </c>
      <c r="M1394" s="94">
        <f>STOCK[[#This Row],[Precio Final]]*10%</f>
        <v>2.2</v>
      </c>
      <c r="N1394" s="94">
        <v>0</v>
      </c>
      <c r="O1394" s="94">
        <v>0</v>
      </c>
      <c r="P1394" s="94">
        <v>8.87</v>
      </c>
      <c r="Q1394" s="96">
        <v>0</v>
      </c>
      <c r="R1394" s="94">
        <v>0</v>
      </c>
      <c r="S1394" s="94">
        <v>1.65</v>
      </c>
      <c r="T1394" s="94">
        <f>STOCK[[#This Row],[Costo Unitario (USD)]]+STOCK[[#This Row],[Costo Envío (USD)]]+STOCK[[#This Row],[Comisión 10%]]</f>
        <v>12.72</v>
      </c>
      <c r="U1394" s="76">
        <f>STOCK[[#This Row],[Costo total]]*1.5</f>
        <v>19.08</v>
      </c>
      <c r="V1394" s="94">
        <v>22</v>
      </c>
      <c r="W1394" s="94">
        <f>STOCK[[#This Row],[Precio Final]]-STOCK[[#This Row],[Costo total]]</f>
        <v>9.28</v>
      </c>
      <c r="X1394" s="94">
        <f>STOCK[[#This Row],[Ganancia Unitaria]]*STOCK[[#This Row],[Salidas]]</f>
        <v>0</v>
      </c>
      <c r="Y1394" s="94"/>
      <c r="Z1394" s="94"/>
      <c r="AA1394" s="94">
        <f>STOCK[[#This Row],[Costo total]]*STOCK[[#This Row],[Entradas]]</f>
        <v>25.44</v>
      </c>
      <c r="AB1394" s="94">
        <f>STOCK[[#This Row],[Stock Actual]]*STOCK[[#This Row],[Costo total]]</f>
        <v>25.44</v>
      </c>
      <c r="AC1394" s="94"/>
    </row>
    <row r="1395" s="76" customFormat="1" ht="50" hidden="1" customHeight="1" spans="1:29">
      <c r="A1395" s="76" t="s">
        <v>2845</v>
      </c>
      <c r="B1395" s="95"/>
      <c r="C1395" s="94" t="s">
        <v>30</v>
      </c>
      <c r="D1395" s="94" t="s">
        <v>2842</v>
      </c>
      <c r="E1395" s="94" t="s">
        <v>2843</v>
      </c>
      <c r="F1395" s="94" t="s">
        <v>47</v>
      </c>
      <c r="G1395" s="94"/>
      <c r="H1395" s="94">
        <f>STOCK[[#This Row],[Precio Final]]</f>
        <v>22</v>
      </c>
      <c r="I1395" s="98">
        <f>STOCK[[#This Row],[Precio Venta Ideal (x1.5)]]</f>
        <v>19.08</v>
      </c>
      <c r="J1395" s="96">
        <v>3</v>
      </c>
      <c r="K1395" s="96">
        <f>SUMIFS(VENTAS[Cantidad],VENTAS[Código del producto Vendido],STOCK[[#This Row],[Code]])</f>
        <v>1</v>
      </c>
      <c r="L1395" s="96">
        <f>STOCK[[#This Row],[Entradas]]-STOCK[[#This Row],[Salidas]]</f>
        <v>2</v>
      </c>
      <c r="M1395" s="94">
        <f>STOCK[[#This Row],[Precio Final]]*10%</f>
        <v>2.2</v>
      </c>
      <c r="N1395" s="94">
        <v>0</v>
      </c>
      <c r="O1395" s="94">
        <v>0</v>
      </c>
      <c r="P1395" s="94">
        <v>8.87</v>
      </c>
      <c r="Q1395" s="96">
        <v>0</v>
      </c>
      <c r="R1395" s="94">
        <v>0</v>
      </c>
      <c r="S1395" s="94">
        <v>1.65</v>
      </c>
      <c r="T1395" s="94">
        <f>STOCK[[#This Row],[Costo Unitario (USD)]]+STOCK[[#This Row],[Costo Envío (USD)]]+STOCK[[#This Row],[Comisión 10%]]</f>
        <v>12.72</v>
      </c>
      <c r="U1395" s="76">
        <f>STOCK[[#This Row],[Costo total]]*1.5</f>
        <v>19.08</v>
      </c>
      <c r="V1395" s="94">
        <v>22</v>
      </c>
      <c r="W1395" s="94">
        <f>STOCK[[#This Row],[Precio Final]]-STOCK[[#This Row],[Costo total]]</f>
        <v>9.28</v>
      </c>
      <c r="X1395" s="94">
        <f>STOCK[[#This Row],[Ganancia Unitaria]]*STOCK[[#This Row],[Salidas]]</f>
        <v>9.28</v>
      </c>
      <c r="Y1395" s="94"/>
      <c r="Z1395" s="94"/>
      <c r="AA1395" s="94">
        <f>STOCK[[#This Row],[Costo total]]*STOCK[[#This Row],[Entradas]]</f>
        <v>38.16</v>
      </c>
      <c r="AB1395" s="94">
        <f>STOCK[[#This Row],[Stock Actual]]*STOCK[[#This Row],[Costo total]]</f>
        <v>25.44</v>
      </c>
      <c r="AC1395" s="94"/>
    </row>
    <row r="1396" s="76" customFormat="1" ht="50" hidden="1" customHeight="1" spans="1:29">
      <c r="A1396" s="76" t="s">
        <v>2846</v>
      </c>
      <c r="B1396" s="95"/>
      <c r="C1396" s="94" t="s">
        <v>30</v>
      </c>
      <c r="D1396" s="94" t="s">
        <v>2842</v>
      </c>
      <c r="E1396" s="94" t="s">
        <v>2843</v>
      </c>
      <c r="F1396" s="94" t="s">
        <v>44</v>
      </c>
      <c r="G1396" s="94"/>
      <c r="H1396" s="94">
        <f>STOCK[[#This Row],[Precio Final]]</f>
        <v>22</v>
      </c>
      <c r="I1396" s="98">
        <f>STOCK[[#This Row],[Precio Venta Ideal (x1.5)]]</f>
        <v>19.08</v>
      </c>
      <c r="J1396" s="96">
        <v>3</v>
      </c>
      <c r="K1396" s="96">
        <f>SUMIFS(VENTAS[Cantidad],VENTAS[Código del producto Vendido],STOCK[[#This Row],[Code]])</f>
        <v>3</v>
      </c>
      <c r="L1396" s="96">
        <f>STOCK[[#This Row],[Entradas]]-STOCK[[#This Row],[Salidas]]</f>
        <v>0</v>
      </c>
      <c r="M1396" s="94">
        <f>STOCK[[#This Row],[Precio Final]]*10%</f>
        <v>2.2</v>
      </c>
      <c r="N1396" s="94">
        <v>0</v>
      </c>
      <c r="O1396" s="94">
        <v>0</v>
      </c>
      <c r="P1396" s="94">
        <v>8.87</v>
      </c>
      <c r="Q1396" s="96">
        <v>0</v>
      </c>
      <c r="R1396" s="94">
        <v>0</v>
      </c>
      <c r="S1396" s="94">
        <v>1.65</v>
      </c>
      <c r="T1396" s="94">
        <f>STOCK[[#This Row],[Costo Unitario (USD)]]+STOCK[[#This Row],[Costo Envío (USD)]]+STOCK[[#This Row],[Comisión 10%]]</f>
        <v>12.72</v>
      </c>
      <c r="U1396" s="76">
        <f>STOCK[[#This Row],[Costo total]]*1.5</f>
        <v>19.08</v>
      </c>
      <c r="V1396" s="94">
        <v>22</v>
      </c>
      <c r="W1396" s="94">
        <f>STOCK[[#This Row],[Precio Final]]-STOCK[[#This Row],[Costo total]]</f>
        <v>9.28</v>
      </c>
      <c r="X1396" s="94">
        <f>STOCK[[#This Row],[Ganancia Unitaria]]*STOCK[[#This Row],[Salidas]]</f>
        <v>27.84</v>
      </c>
      <c r="Y1396" s="94"/>
      <c r="Z1396" s="94"/>
      <c r="AA1396" s="94">
        <f>STOCK[[#This Row],[Costo total]]*STOCK[[#This Row],[Entradas]]</f>
        <v>38.16</v>
      </c>
      <c r="AB1396" s="94">
        <f>STOCK[[#This Row],[Stock Actual]]*STOCK[[#This Row],[Costo total]]</f>
        <v>0</v>
      </c>
      <c r="AC1396" s="94"/>
    </row>
    <row r="1397" s="76" customFormat="1" ht="50" hidden="1" customHeight="1" spans="1:29">
      <c r="A1397" s="76" t="s">
        <v>2847</v>
      </c>
      <c r="B1397" s="95"/>
      <c r="C1397" s="94" t="s">
        <v>30</v>
      </c>
      <c r="D1397" s="94" t="s">
        <v>1188</v>
      </c>
      <c r="E1397" s="94" t="s">
        <v>2848</v>
      </c>
      <c r="F1397" s="94" t="s">
        <v>38</v>
      </c>
      <c r="G1397" s="94"/>
      <c r="H1397" s="94">
        <f>STOCK[[#This Row],[Precio Final]]</f>
        <v>18</v>
      </c>
      <c r="I1397" s="98">
        <f>STOCK[[#This Row],[Precio Venta Ideal (x1.5)]]</f>
        <v>15.78</v>
      </c>
      <c r="J1397" s="96">
        <v>2</v>
      </c>
      <c r="K1397" s="96">
        <f>SUMIFS(VENTAS[Cantidad],VENTAS[Código del producto Vendido],STOCK[[#This Row],[Code]])</f>
        <v>0</v>
      </c>
      <c r="L1397" s="96">
        <f>STOCK[[#This Row],[Entradas]]-STOCK[[#This Row],[Salidas]]</f>
        <v>2</v>
      </c>
      <c r="M1397" s="94">
        <f>STOCK[[#This Row],[Precio Final]]*10%</f>
        <v>1.8</v>
      </c>
      <c r="N1397" s="94">
        <v>0</v>
      </c>
      <c r="O1397" s="94">
        <v>0</v>
      </c>
      <c r="P1397" s="94">
        <v>7.07</v>
      </c>
      <c r="Q1397" s="96">
        <v>0</v>
      </c>
      <c r="R1397" s="94">
        <v>0</v>
      </c>
      <c r="S1397" s="94">
        <v>1.65</v>
      </c>
      <c r="T1397" s="94">
        <f>STOCK[[#This Row],[Costo Unitario (USD)]]+STOCK[[#This Row],[Costo Envío (USD)]]+STOCK[[#This Row],[Comisión 10%]]</f>
        <v>10.52</v>
      </c>
      <c r="U1397" s="76">
        <f>STOCK[[#This Row],[Costo total]]*1.5</f>
        <v>15.78</v>
      </c>
      <c r="V1397" s="94">
        <v>18</v>
      </c>
      <c r="W1397" s="94">
        <f>STOCK[[#This Row],[Precio Final]]-STOCK[[#This Row],[Costo total]]</f>
        <v>7.48</v>
      </c>
      <c r="X1397" s="94">
        <f>STOCK[[#This Row],[Ganancia Unitaria]]*STOCK[[#This Row],[Salidas]]</f>
        <v>0</v>
      </c>
      <c r="Y1397" s="94"/>
      <c r="Z1397" s="94"/>
      <c r="AA1397" s="94">
        <f>STOCK[[#This Row],[Costo total]]*STOCK[[#This Row],[Entradas]]</f>
        <v>21.04</v>
      </c>
      <c r="AB1397" s="94">
        <f>STOCK[[#This Row],[Stock Actual]]*STOCK[[#This Row],[Costo total]]</f>
        <v>21.04</v>
      </c>
      <c r="AC1397" s="94"/>
    </row>
    <row r="1398" s="76" customFormat="1" ht="50" hidden="1" customHeight="1" spans="1:29">
      <c r="A1398" s="76" t="s">
        <v>2849</v>
      </c>
      <c r="B1398" s="95"/>
      <c r="C1398" s="94" t="s">
        <v>30</v>
      </c>
      <c r="D1398" s="94" t="s">
        <v>1188</v>
      </c>
      <c r="E1398" s="94" t="s">
        <v>2848</v>
      </c>
      <c r="F1398" s="94" t="s">
        <v>60</v>
      </c>
      <c r="G1398" s="94"/>
      <c r="H1398" s="94">
        <f>STOCK[[#This Row],[Precio Final]]</f>
        <v>18</v>
      </c>
      <c r="I1398" s="98">
        <f>STOCK[[#This Row],[Precio Venta Ideal (x1.5)]]</f>
        <v>15.78</v>
      </c>
      <c r="J1398" s="96">
        <v>2</v>
      </c>
      <c r="K1398" s="96">
        <f>SUMIFS(VENTAS[Cantidad],VENTAS[Código del producto Vendido],STOCK[[#This Row],[Code]])</f>
        <v>0</v>
      </c>
      <c r="L1398" s="96">
        <f>STOCK[[#This Row],[Entradas]]-STOCK[[#This Row],[Salidas]]</f>
        <v>2</v>
      </c>
      <c r="M1398" s="94">
        <f>STOCK[[#This Row],[Precio Final]]*10%</f>
        <v>1.8</v>
      </c>
      <c r="N1398" s="94">
        <v>0</v>
      </c>
      <c r="O1398" s="94">
        <v>0</v>
      </c>
      <c r="P1398" s="94">
        <v>7.07</v>
      </c>
      <c r="Q1398" s="96">
        <v>0</v>
      </c>
      <c r="R1398" s="94">
        <v>0</v>
      </c>
      <c r="S1398" s="94">
        <v>1.65</v>
      </c>
      <c r="T1398" s="94">
        <f>STOCK[[#This Row],[Costo Unitario (USD)]]+STOCK[[#This Row],[Costo Envío (USD)]]+STOCK[[#This Row],[Comisión 10%]]</f>
        <v>10.52</v>
      </c>
      <c r="U1398" s="76">
        <f>STOCK[[#This Row],[Costo total]]*1.5</f>
        <v>15.78</v>
      </c>
      <c r="V1398" s="94">
        <v>18</v>
      </c>
      <c r="W1398" s="94">
        <f>STOCK[[#This Row],[Precio Final]]-STOCK[[#This Row],[Costo total]]</f>
        <v>7.48</v>
      </c>
      <c r="X1398" s="94">
        <f>STOCK[[#This Row],[Ganancia Unitaria]]*STOCK[[#This Row],[Salidas]]</f>
        <v>0</v>
      </c>
      <c r="Y1398" s="94"/>
      <c r="Z1398" s="94"/>
      <c r="AA1398" s="94">
        <f>STOCK[[#This Row],[Costo total]]*STOCK[[#This Row],[Entradas]]</f>
        <v>21.04</v>
      </c>
      <c r="AB1398" s="94">
        <f>STOCK[[#This Row],[Stock Actual]]*STOCK[[#This Row],[Costo total]]</f>
        <v>21.04</v>
      </c>
      <c r="AC1398" s="94"/>
    </row>
    <row r="1399" s="76" customFormat="1" ht="50" hidden="1" customHeight="1" spans="1:29">
      <c r="A1399" s="76" t="s">
        <v>2850</v>
      </c>
      <c r="B1399" s="95"/>
      <c r="C1399" s="94" t="s">
        <v>30</v>
      </c>
      <c r="D1399" s="94" t="s">
        <v>1188</v>
      </c>
      <c r="E1399" s="94" t="s">
        <v>2848</v>
      </c>
      <c r="F1399" s="94" t="s">
        <v>47</v>
      </c>
      <c r="G1399" s="94"/>
      <c r="H1399" s="94">
        <f>STOCK[[#This Row],[Precio Final]]</f>
        <v>18</v>
      </c>
      <c r="I1399" s="98">
        <f>STOCK[[#This Row],[Precio Venta Ideal (x1.5)]]</f>
        <v>15.78</v>
      </c>
      <c r="J1399" s="96">
        <v>2</v>
      </c>
      <c r="K1399" s="96">
        <f>SUMIFS(VENTAS[Cantidad],VENTAS[Código del producto Vendido],STOCK[[#This Row],[Code]])</f>
        <v>0</v>
      </c>
      <c r="L1399" s="96">
        <f>STOCK[[#This Row],[Entradas]]-STOCK[[#This Row],[Salidas]]</f>
        <v>2</v>
      </c>
      <c r="M1399" s="94">
        <f>STOCK[[#This Row],[Precio Final]]*10%</f>
        <v>1.8</v>
      </c>
      <c r="N1399" s="94">
        <v>0</v>
      </c>
      <c r="O1399" s="94">
        <v>0</v>
      </c>
      <c r="P1399" s="94">
        <v>7.07</v>
      </c>
      <c r="Q1399" s="96">
        <v>0</v>
      </c>
      <c r="R1399" s="94">
        <v>0</v>
      </c>
      <c r="S1399" s="94">
        <v>1.65</v>
      </c>
      <c r="T1399" s="94">
        <f>STOCK[[#This Row],[Costo Unitario (USD)]]+STOCK[[#This Row],[Costo Envío (USD)]]+STOCK[[#This Row],[Comisión 10%]]</f>
        <v>10.52</v>
      </c>
      <c r="U1399" s="76">
        <f>STOCK[[#This Row],[Costo total]]*1.5</f>
        <v>15.78</v>
      </c>
      <c r="V1399" s="94">
        <v>18</v>
      </c>
      <c r="W1399" s="94">
        <f>STOCK[[#This Row],[Precio Final]]-STOCK[[#This Row],[Costo total]]</f>
        <v>7.48</v>
      </c>
      <c r="X1399" s="94">
        <f>STOCK[[#This Row],[Ganancia Unitaria]]*STOCK[[#This Row],[Salidas]]</f>
        <v>0</v>
      </c>
      <c r="Y1399" s="94"/>
      <c r="Z1399" s="94"/>
      <c r="AA1399" s="94">
        <f>STOCK[[#This Row],[Costo total]]*STOCK[[#This Row],[Entradas]]</f>
        <v>21.04</v>
      </c>
      <c r="AB1399" s="94">
        <f>STOCK[[#This Row],[Stock Actual]]*STOCK[[#This Row],[Costo total]]</f>
        <v>21.04</v>
      </c>
      <c r="AC1399" s="94"/>
    </row>
    <row r="1400" s="76" customFormat="1" ht="50" hidden="1" customHeight="1" spans="1:29">
      <c r="A1400" s="76" t="s">
        <v>2851</v>
      </c>
      <c r="B1400" s="95"/>
      <c r="C1400" s="94" t="s">
        <v>30</v>
      </c>
      <c r="D1400" s="94" t="s">
        <v>1188</v>
      </c>
      <c r="E1400" s="94" t="s">
        <v>2852</v>
      </c>
      <c r="F1400" s="94" t="s">
        <v>38</v>
      </c>
      <c r="G1400" s="94"/>
      <c r="H1400" s="94">
        <f>STOCK[[#This Row],[Precio Final]]</f>
        <v>18</v>
      </c>
      <c r="I1400" s="98">
        <f>STOCK[[#This Row],[Precio Venta Ideal (x1.5)]]</f>
        <v>16.545</v>
      </c>
      <c r="J1400" s="96">
        <v>2</v>
      </c>
      <c r="K1400" s="96">
        <f>SUMIFS(VENTAS[Cantidad],VENTAS[Código del producto Vendido],STOCK[[#This Row],[Code]])</f>
        <v>0</v>
      </c>
      <c r="L1400" s="96">
        <f>STOCK[[#This Row],[Entradas]]-STOCK[[#This Row],[Salidas]]</f>
        <v>2</v>
      </c>
      <c r="M1400" s="94">
        <f>STOCK[[#This Row],[Precio Final]]*10%</f>
        <v>1.8</v>
      </c>
      <c r="N1400" s="94">
        <v>0</v>
      </c>
      <c r="O1400" s="94">
        <v>0</v>
      </c>
      <c r="P1400" s="94">
        <v>7.58</v>
      </c>
      <c r="Q1400" s="96">
        <v>0</v>
      </c>
      <c r="R1400" s="94">
        <v>0</v>
      </c>
      <c r="S1400" s="94">
        <v>1.65</v>
      </c>
      <c r="T1400" s="94">
        <f>STOCK[[#This Row],[Costo Unitario (USD)]]+STOCK[[#This Row],[Costo Envío (USD)]]+STOCK[[#This Row],[Comisión 10%]]</f>
        <v>11.03</v>
      </c>
      <c r="U1400" s="76">
        <f>STOCK[[#This Row],[Costo total]]*1.5</f>
        <v>16.545</v>
      </c>
      <c r="V1400" s="94">
        <v>18</v>
      </c>
      <c r="W1400" s="94">
        <f>STOCK[[#This Row],[Precio Final]]-STOCK[[#This Row],[Costo total]]</f>
        <v>6.97</v>
      </c>
      <c r="X1400" s="94">
        <f>STOCK[[#This Row],[Ganancia Unitaria]]*STOCK[[#This Row],[Salidas]]</f>
        <v>0</v>
      </c>
      <c r="Y1400" s="94"/>
      <c r="Z1400" s="94"/>
      <c r="AA1400" s="94">
        <f>STOCK[[#This Row],[Costo total]]*STOCK[[#This Row],[Entradas]]</f>
        <v>22.06</v>
      </c>
      <c r="AB1400" s="94">
        <f>STOCK[[#This Row],[Stock Actual]]*STOCK[[#This Row],[Costo total]]</f>
        <v>22.06</v>
      </c>
      <c r="AC1400" s="94"/>
    </row>
    <row r="1401" s="76" customFormat="1" ht="50" hidden="1" customHeight="1" spans="1:29">
      <c r="A1401" s="76" t="s">
        <v>2853</v>
      </c>
      <c r="B1401" s="95"/>
      <c r="C1401" s="94" t="s">
        <v>30</v>
      </c>
      <c r="D1401" s="94" t="s">
        <v>1188</v>
      </c>
      <c r="E1401" s="94" t="s">
        <v>2852</v>
      </c>
      <c r="F1401" s="94" t="s">
        <v>44</v>
      </c>
      <c r="G1401" s="94"/>
      <c r="H1401" s="94">
        <f>STOCK[[#This Row],[Precio Final]]</f>
        <v>18</v>
      </c>
      <c r="I1401" s="98">
        <f>STOCK[[#This Row],[Precio Venta Ideal (x1.5)]]</f>
        <v>16.545</v>
      </c>
      <c r="J1401" s="96">
        <v>1</v>
      </c>
      <c r="K1401" s="96">
        <f>SUMIFS(VENTAS[Cantidad],VENTAS[Código del producto Vendido],STOCK[[#This Row],[Code]])</f>
        <v>0</v>
      </c>
      <c r="L1401" s="96">
        <f>STOCK[[#This Row],[Entradas]]-STOCK[[#This Row],[Salidas]]</f>
        <v>1</v>
      </c>
      <c r="M1401" s="94">
        <f>STOCK[[#This Row],[Precio Final]]*10%</f>
        <v>1.8</v>
      </c>
      <c r="N1401" s="94">
        <v>0</v>
      </c>
      <c r="O1401" s="94">
        <v>0</v>
      </c>
      <c r="P1401" s="94">
        <v>7.58</v>
      </c>
      <c r="Q1401" s="96">
        <v>0</v>
      </c>
      <c r="R1401" s="94">
        <v>0</v>
      </c>
      <c r="S1401" s="94">
        <v>1.65</v>
      </c>
      <c r="T1401" s="94">
        <f>STOCK[[#This Row],[Costo Unitario (USD)]]+STOCK[[#This Row],[Costo Envío (USD)]]+STOCK[[#This Row],[Comisión 10%]]</f>
        <v>11.03</v>
      </c>
      <c r="U1401" s="76">
        <f>STOCK[[#This Row],[Costo total]]*1.5</f>
        <v>16.545</v>
      </c>
      <c r="V1401" s="94">
        <v>18</v>
      </c>
      <c r="W1401" s="94">
        <f>STOCK[[#This Row],[Precio Final]]-STOCK[[#This Row],[Costo total]]</f>
        <v>6.97</v>
      </c>
      <c r="X1401" s="94">
        <f>STOCK[[#This Row],[Ganancia Unitaria]]*STOCK[[#This Row],[Salidas]]</f>
        <v>0</v>
      </c>
      <c r="Y1401" s="94"/>
      <c r="Z1401" s="94"/>
      <c r="AA1401" s="94">
        <f>STOCK[[#This Row],[Costo total]]*STOCK[[#This Row],[Entradas]]</f>
        <v>11.03</v>
      </c>
      <c r="AB1401" s="94">
        <f>STOCK[[#This Row],[Stock Actual]]*STOCK[[#This Row],[Costo total]]</f>
        <v>11.03</v>
      </c>
      <c r="AC1401" s="94"/>
    </row>
    <row r="1402" s="76" customFormat="1" ht="50" hidden="1" customHeight="1" spans="1:29">
      <c r="A1402" s="76" t="s">
        <v>2854</v>
      </c>
      <c r="B1402" s="95"/>
      <c r="C1402" s="94" t="s">
        <v>30</v>
      </c>
      <c r="D1402" s="94" t="s">
        <v>2109</v>
      </c>
      <c r="E1402" s="94" t="s">
        <v>2855</v>
      </c>
      <c r="F1402" s="94" t="s">
        <v>2819</v>
      </c>
      <c r="G1402" s="94"/>
      <c r="H1402" s="94">
        <f>STOCK[[#This Row],[Precio Final]]</f>
        <v>25</v>
      </c>
      <c r="I1402" s="98">
        <f>STOCK[[#This Row],[Precio Venta Ideal (x1.5)]]</f>
        <v>26.025</v>
      </c>
      <c r="J1402" s="96">
        <v>7</v>
      </c>
      <c r="K1402" s="96">
        <f>SUMIFS(VENTAS[Cantidad],VENTAS[Código del producto Vendido],STOCK[[#This Row],[Code]])</f>
        <v>7</v>
      </c>
      <c r="L1402" s="96">
        <f>STOCK[[#This Row],[Entradas]]-STOCK[[#This Row],[Salidas]]</f>
        <v>0</v>
      </c>
      <c r="M1402" s="94">
        <f>STOCK[[#This Row],[Precio Final]]*10%</f>
        <v>2.5</v>
      </c>
      <c r="N1402" s="94">
        <v>0</v>
      </c>
      <c r="O1402" s="94">
        <v>0</v>
      </c>
      <c r="P1402" s="94">
        <v>13.2</v>
      </c>
      <c r="Q1402" s="96">
        <v>0</v>
      </c>
      <c r="R1402" s="94">
        <v>0</v>
      </c>
      <c r="S1402" s="94">
        <v>1.65</v>
      </c>
      <c r="T1402" s="94">
        <f>STOCK[[#This Row],[Costo Unitario (USD)]]+STOCK[[#This Row],[Costo Envío (USD)]]+STOCK[[#This Row],[Comisión 10%]]</f>
        <v>17.35</v>
      </c>
      <c r="U1402" s="76">
        <f>STOCK[[#This Row],[Costo total]]*1.5</f>
        <v>26.025</v>
      </c>
      <c r="V1402" s="94">
        <v>25</v>
      </c>
      <c r="W1402" s="94">
        <f>STOCK[[#This Row],[Precio Final]]-STOCK[[#This Row],[Costo total]]</f>
        <v>7.65</v>
      </c>
      <c r="X1402" s="94">
        <f>STOCK[[#This Row],[Ganancia Unitaria]]*STOCK[[#This Row],[Salidas]]</f>
        <v>53.55</v>
      </c>
      <c r="Y1402" s="94"/>
      <c r="Z1402" s="94"/>
      <c r="AA1402" s="94">
        <f>STOCK[[#This Row],[Costo total]]*STOCK[[#This Row],[Entradas]]</f>
        <v>121.45</v>
      </c>
      <c r="AB1402" s="94">
        <f>STOCK[[#This Row],[Stock Actual]]*STOCK[[#This Row],[Costo total]]</f>
        <v>0</v>
      </c>
      <c r="AC1402" s="94"/>
    </row>
    <row r="1403" s="76" customFormat="1" ht="50" hidden="1" customHeight="1" spans="1:29">
      <c r="A1403" s="76" t="s">
        <v>2856</v>
      </c>
      <c r="B1403" s="95"/>
      <c r="C1403" s="94" t="s">
        <v>30</v>
      </c>
      <c r="D1403" s="94" t="s">
        <v>2626</v>
      </c>
      <c r="E1403" s="94" t="s">
        <v>2857</v>
      </c>
      <c r="F1403" s="94" t="s">
        <v>60</v>
      </c>
      <c r="G1403" s="94"/>
      <c r="H1403" s="94">
        <f>STOCK[[#This Row],[Precio Final]]</f>
        <v>30</v>
      </c>
      <c r="I1403" s="98">
        <f>STOCK[[#This Row],[Precio Venta Ideal (x1.5)]]</f>
        <v>24.735</v>
      </c>
      <c r="J1403" s="96">
        <v>1</v>
      </c>
      <c r="K1403" s="96">
        <f>SUMIFS(VENTAS[Cantidad],VENTAS[Código del producto Vendido],STOCK[[#This Row],[Code]])</f>
        <v>0</v>
      </c>
      <c r="L1403" s="96">
        <f>STOCK[[#This Row],[Entradas]]-STOCK[[#This Row],[Salidas]]</f>
        <v>1</v>
      </c>
      <c r="M1403" s="94">
        <f>STOCK[[#This Row],[Precio Final]]*10%</f>
        <v>3</v>
      </c>
      <c r="N1403" s="94">
        <v>0</v>
      </c>
      <c r="O1403" s="94">
        <v>0</v>
      </c>
      <c r="P1403" s="94">
        <v>11.84</v>
      </c>
      <c r="Q1403" s="96">
        <v>0</v>
      </c>
      <c r="R1403" s="94">
        <v>0</v>
      </c>
      <c r="S1403" s="94">
        <v>1.65</v>
      </c>
      <c r="T1403" s="94">
        <f>STOCK[[#This Row],[Costo Unitario (USD)]]+STOCK[[#This Row],[Costo Envío (USD)]]+STOCK[[#This Row],[Comisión 10%]]</f>
        <v>16.49</v>
      </c>
      <c r="U1403" s="76">
        <f>STOCK[[#This Row],[Costo total]]*1.5</f>
        <v>24.735</v>
      </c>
      <c r="V1403" s="94">
        <v>30</v>
      </c>
      <c r="W1403" s="94">
        <f>STOCK[[#This Row],[Precio Final]]-STOCK[[#This Row],[Costo total]]</f>
        <v>13.51</v>
      </c>
      <c r="X1403" s="94">
        <f>STOCK[[#This Row],[Ganancia Unitaria]]*STOCK[[#This Row],[Salidas]]</f>
        <v>0</v>
      </c>
      <c r="Y1403" s="94"/>
      <c r="Z1403" s="94"/>
      <c r="AA1403" s="94">
        <f>STOCK[[#This Row],[Costo total]]*STOCK[[#This Row],[Entradas]]</f>
        <v>16.49</v>
      </c>
      <c r="AB1403" s="94">
        <f>STOCK[[#This Row],[Stock Actual]]*STOCK[[#This Row],[Costo total]]</f>
        <v>16.49</v>
      </c>
      <c r="AC1403" s="94"/>
    </row>
    <row r="1404" s="76" customFormat="1" ht="50" hidden="1" customHeight="1" spans="1:29">
      <c r="A1404" s="76" t="s">
        <v>2858</v>
      </c>
      <c r="B1404" s="95"/>
      <c r="C1404" s="94" t="s">
        <v>30</v>
      </c>
      <c r="D1404" s="94" t="s">
        <v>2626</v>
      </c>
      <c r="E1404" s="94" t="s">
        <v>2857</v>
      </c>
      <c r="F1404" s="94" t="s">
        <v>47</v>
      </c>
      <c r="G1404" s="94"/>
      <c r="H1404" s="94">
        <f>STOCK[[#This Row],[Precio Final]]</f>
        <v>30</v>
      </c>
      <c r="I1404" s="98">
        <f>STOCK[[#This Row],[Precio Venta Ideal (x1.5)]]</f>
        <v>24.735</v>
      </c>
      <c r="J1404" s="96">
        <v>1</v>
      </c>
      <c r="K1404" s="96">
        <f>SUMIFS(VENTAS[Cantidad],VENTAS[Código del producto Vendido],STOCK[[#This Row],[Code]])</f>
        <v>0</v>
      </c>
      <c r="L1404" s="96">
        <f>STOCK[[#This Row],[Entradas]]-STOCK[[#This Row],[Salidas]]</f>
        <v>1</v>
      </c>
      <c r="M1404" s="94">
        <f>STOCK[[#This Row],[Precio Final]]*10%</f>
        <v>3</v>
      </c>
      <c r="N1404" s="94">
        <v>0</v>
      </c>
      <c r="O1404" s="94">
        <v>0</v>
      </c>
      <c r="P1404" s="94">
        <v>11.84</v>
      </c>
      <c r="Q1404" s="96">
        <v>0</v>
      </c>
      <c r="R1404" s="94">
        <v>0</v>
      </c>
      <c r="S1404" s="94">
        <v>1.65</v>
      </c>
      <c r="T1404" s="94">
        <f>STOCK[[#This Row],[Costo Unitario (USD)]]+STOCK[[#This Row],[Costo Envío (USD)]]+STOCK[[#This Row],[Comisión 10%]]</f>
        <v>16.49</v>
      </c>
      <c r="U1404" s="76">
        <f>STOCK[[#This Row],[Costo total]]*1.5</f>
        <v>24.735</v>
      </c>
      <c r="V1404" s="94">
        <v>30</v>
      </c>
      <c r="W1404" s="94">
        <f>STOCK[[#This Row],[Precio Final]]-STOCK[[#This Row],[Costo total]]</f>
        <v>13.51</v>
      </c>
      <c r="X1404" s="94">
        <f>STOCK[[#This Row],[Ganancia Unitaria]]*STOCK[[#This Row],[Salidas]]</f>
        <v>0</v>
      </c>
      <c r="Y1404" s="94"/>
      <c r="Z1404" s="94"/>
      <c r="AA1404" s="94">
        <f>STOCK[[#This Row],[Costo total]]*STOCK[[#This Row],[Entradas]]</f>
        <v>16.49</v>
      </c>
      <c r="AB1404" s="94">
        <f>STOCK[[#This Row],[Stock Actual]]*STOCK[[#This Row],[Costo total]]</f>
        <v>16.49</v>
      </c>
      <c r="AC1404" s="94"/>
    </row>
    <row r="1405" s="76" customFormat="1" ht="50" hidden="1" customHeight="1" spans="1:29">
      <c r="A1405" s="76" t="s">
        <v>2859</v>
      </c>
      <c r="B1405" s="95"/>
      <c r="C1405" s="94" t="s">
        <v>30</v>
      </c>
      <c r="D1405" s="94" t="s">
        <v>2626</v>
      </c>
      <c r="E1405" s="94" t="s">
        <v>2857</v>
      </c>
      <c r="F1405" s="94" t="s">
        <v>44</v>
      </c>
      <c r="G1405" s="94"/>
      <c r="H1405" s="94">
        <f>STOCK[[#This Row],[Precio Final]]</f>
        <v>30</v>
      </c>
      <c r="I1405" s="98">
        <f>STOCK[[#This Row],[Precio Venta Ideal (x1.5)]]</f>
        <v>24.735</v>
      </c>
      <c r="J1405" s="96">
        <v>1</v>
      </c>
      <c r="K1405" s="96">
        <f>SUMIFS(VENTAS[Cantidad],VENTAS[Código del producto Vendido],STOCK[[#This Row],[Code]])</f>
        <v>0</v>
      </c>
      <c r="L1405" s="96">
        <f>STOCK[[#This Row],[Entradas]]-STOCK[[#This Row],[Salidas]]</f>
        <v>1</v>
      </c>
      <c r="M1405" s="94">
        <f>STOCK[[#This Row],[Precio Final]]*10%</f>
        <v>3</v>
      </c>
      <c r="N1405" s="94">
        <v>0</v>
      </c>
      <c r="O1405" s="94">
        <v>0</v>
      </c>
      <c r="P1405" s="94">
        <v>11.84</v>
      </c>
      <c r="Q1405" s="96">
        <v>0</v>
      </c>
      <c r="R1405" s="94">
        <v>0</v>
      </c>
      <c r="S1405" s="94">
        <v>1.65</v>
      </c>
      <c r="T1405" s="94">
        <f>STOCK[[#This Row],[Costo Unitario (USD)]]+STOCK[[#This Row],[Costo Envío (USD)]]+STOCK[[#This Row],[Comisión 10%]]</f>
        <v>16.49</v>
      </c>
      <c r="U1405" s="76">
        <f>STOCK[[#This Row],[Costo total]]*1.5</f>
        <v>24.735</v>
      </c>
      <c r="V1405" s="94">
        <v>30</v>
      </c>
      <c r="W1405" s="94">
        <f>STOCK[[#This Row],[Precio Final]]-STOCK[[#This Row],[Costo total]]</f>
        <v>13.51</v>
      </c>
      <c r="X1405" s="94">
        <f>STOCK[[#This Row],[Ganancia Unitaria]]*STOCK[[#This Row],[Salidas]]</f>
        <v>0</v>
      </c>
      <c r="Y1405" s="94"/>
      <c r="Z1405" s="94"/>
      <c r="AA1405" s="94">
        <f>STOCK[[#This Row],[Costo total]]*STOCK[[#This Row],[Entradas]]</f>
        <v>16.49</v>
      </c>
      <c r="AB1405" s="94">
        <f>STOCK[[#This Row],[Stock Actual]]*STOCK[[#This Row],[Costo total]]</f>
        <v>16.49</v>
      </c>
      <c r="AC1405" s="94"/>
    </row>
    <row r="1406" s="76" customFormat="1" ht="50" hidden="1" customHeight="1" spans="1:29">
      <c r="A1406" s="76" t="s">
        <v>2860</v>
      </c>
      <c r="B1406" s="95"/>
      <c r="C1406" s="94" t="s">
        <v>30</v>
      </c>
      <c r="D1406" s="94" t="s">
        <v>2626</v>
      </c>
      <c r="E1406" s="94" t="s">
        <v>2861</v>
      </c>
      <c r="F1406" s="94" t="s">
        <v>38</v>
      </c>
      <c r="G1406" s="94"/>
      <c r="H1406" s="94">
        <f>STOCK[[#This Row],[Precio Final]]</f>
        <v>25</v>
      </c>
      <c r="I1406" s="98">
        <f>STOCK[[#This Row],[Precio Venta Ideal (x1.5)]]</f>
        <v>21.72</v>
      </c>
      <c r="J1406" s="96">
        <v>2</v>
      </c>
      <c r="K1406" s="96">
        <f>SUMIFS(VENTAS[Cantidad],VENTAS[Código del producto Vendido],STOCK[[#This Row],[Code]])</f>
        <v>0</v>
      </c>
      <c r="L1406" s="96">
        <f>STOCK[[#This Row],[Entradas]]-STOCK[[#This Row],[Salidas]]</f>
        <v>2</v>
      </c>
      <c r="M1406" s="94">
        <f>STOCK[[#This Row],[Precio Final]]*10%</f>
        <v>2.5</v>
      </c>
      <c r="N1406" s="94">
        <v>0</v>
      </c>
      <c r="O1406" s="94">
        <v>0</v>
      </c>
      <c r="P1406" s="94">
        <v>10.33</v>
      </c>
      <c r="Q1406" s="96">
        <v>0</v>
      </c>
      <c r="R1406" s="94">
        <v>0</v>
      </c>
      <c r="S1406" s="94">
        <v>1.65</v>
      </c>
      <c r="T1406" s="94">
        <f>STOCK[[#This Row],[Costo Unitario (USD)]]+STOCK[[#This Row],[Costo Envío (USD)]]+STOCK[[#This Row],[Comisión 10%]]</f>
        <v>14.48</v>
      </c>
      <c r="U1406" s="76">
        <f>STOCK[[#This Row],[Costo total]]*1.5</f>
        <v>21.72</v>
      </c>
      <c r="V1406" s="94">
        <v>25</v>
      </c>
      <c r="W1406" s="94">
        <f>STOCK[[#This Row],[Precio Final]]-STOCK[[#This Row],[Costo total]]</f>
        <v>10.52</v>
      </c>
      <c r="X1406" s="94">
        <f>STOCK[[#This Row],[Ganancia Unitaria]]*STOCK[[#This Row],[Salidas]]</f>
        <v>0</v>
      </c>
      <c r="Y1406" s="94"/>
      <c r="Z1406" s="94"/>
      <c r="AA1406" s="94">
        <f>STOCK[[#This Row],[Costo total]]*STOCK[[#This Row],[Entradas]]</f>
        <v>28.96</v>
      </c>
      <c r="AB1406" s="94">
        <f>STOCK[[#This Row],[Stock Actual]]*STOCK[[#This Row],[Costo total]]</f>
        <v>28.96</v>
      </c>
      <c r="AC1406" s="94"/>
    </row>
    <row r="1407" s="76" customFormat="1" ht="50" hidden="1" customHeight="1" spans="1:29">
      <c r="A1407" s="76" t="s">
        <v>2862</v>
      </c>
      <c r="B1407" s="95"/>
      <c r="C1407" s="94" t="s">
        <v>30</v>
      </c>
      <c r="D1407" s="94" t="s">
        <v>2626</v>
      </c>
      <c r="E1407" s="94" t="s">
        <v>2861</v>
      </c>
      <c r="F1407" s="94" t="s">
        <v>60</v>
      </c>
      <c r="G1407" s="94"/>
      <c r="H1407" s="94">
        <f>STOCK[[#This Row],[Precio Final]]</f>
        <v>25</v>
      </c>
      <c r="I1407" s="98">
        <f>STOCK[[#This Row],[Precio Venta Ideal (x1.5)]]</f>
        <v>21.72</v>
      </c>
      <c r="J1407" s="96">
        <v>2</v>
      </c>
      <c r="K1407" s="96">
        <f>SUMIFS(VENTAS[Cantidad],VENTAS[Código del producto Vendido],STOCK[[#This Row],[Code]])</f>
        <v>0</v>
      </c>
      <c r="L1407" s="96">
        <f>STOCK[[#This Row],[Entradas]]-STOCK[[#This Row],[Salidas]]</f>
        <v>2</v>
      </c>
      <c r="M1407" s="94">
        <f>STOCK[[#This Row],[Precio Final]]*10%</f>
        <v>2.5</v>
      </c>
      <c r="N1407" s="94">
        <v>0</v>
      </c>
      <c r="O1407" s="94">
        <v>0</v>
      </c>
      <c r="P1407" s="94">
        <v>10.33</v>
      </c>
      <c r="Q1407" s="96">
        <v>0</v>
      </c>
      <c r="R1407" s="94">
        <v>0</v>
      </c>
      <c r="S1407" s="94">
        <v>1.65</v>
      </c>
      <c r="T1407" s="94">
        <f>STOCK[[#This Row],[Costo Unitario (USD)]]+STOCK[[#This Row],[Costo Envío (USD)]]+STOCK[[#This Row],[Comisión 10%]]</f>
        <v>14.48</v>
      </c>
      <c r="U1407" s="76">
        <f>STOCK[[#This Row],[Costo total]]*1.5</f>
        <v>21.72</v>
      </c>
      <c r="V1407" s="94">
        <v>25</v>
      </c>
      <c r="W1407" s="94">
        <f>STOCK[[#This Row],[Precio Final]]-STOCK[[#This Row],[Costo total]]</f>
        <v>10.52</v>
      </c>
      <c r="X1407" s="94">
        <f>STOCK[[#This Row],[Ganancia Unitaria]]*STOCK[[#This Row],[Salidas]]</f>
        <v>0</v>
      </c>
      <c r="Y1407" s="94"/>
      <c r="Z1407" s="94"/>
      <c r="AA1407" s="94">
        <f>STOCK[[#This Row],[Costo total]]*STOCK[[#This Row],[Entradas]]</f>
        <v>28.96</v>
      </c>
      <c r="AB1407" s="94">
        <f>STOCK[[#This Row],[Stock Actual]]*STOCK[[#This Row],[Costo total]]</f>
        <v>28.96</v>
      </c>
      <c r="AC1407" s="94"/>
    </row>
    <row r="1408" s="76" customFormat="1" ht="50" hidden="1" customHeight="1" spans="1:29">
      <c r="A1408" s="76" t="s">
        <v>2863</v>
      </c>
      <c r="B1408" s="95"/>
      <c r="C1408" s="94" t="s">
        <v>30</v>
      </c>
      <c r="D1408" s="94" t="s">
        <v>2626</v>
      </c>
      <c r="E1408" s="94" t="s">
        <v>2861</v>
      </c>
      <c r="F1408" s="94" t="s">
        <v>47</v>
      </c>
      <c r="G1408" s="94"/>
      <c r="H1408" s="94">
        <f>STOCK[[#This Row],[Precio Final]]</f>
        <v>25</v>
      </c>
      <c r="I1408" s="98">
        <f>STOCK[[#This Row],[Precio Venta Ideal (x1.5)]]</f>
        <v>21.72</v>
      </c>
      <c r="J1408" s="96">
        <v>2</v>
      </c>
      <c r="K1408" s="96">
        <f>SUMIFS(VENTAS[Cantidad],VENTAS[Código del producto Vendido],STOCK[[#This Row],[Code]])</f>
        <v>0</v>
      </c>
      <c r="L1408" s="96">
        <f>STOCK[[#This Row],[Entradas]]-STOCK[[#This Row],[Salidas]]</f>
        <v>2</v>
      </c>
      <c r="M1408" s="94">
        <f>STOCK[[#This Row],[Precio Final]]*10%</f>
        <v>2.5</v>
      </c>
      <c r="N1408" s="94">
        <v>0</v>
      </c>
      <c r="O1408" s="94">
        <v>0</v>
      </c>
      <c r="P1408" s="94">
        <v>10.33</v>
      </c>
      <c r="Q1408" s="96">
        <v>0</v>
      </c>
      <c r="R1408" s="94">
        <v>0</v>
      </c>
      <c r="S1408" s="94">
        <v>1.65</v>
      </c>
      <c r="T1408" s="94">
        <f>STOCK[[#This Row],[Costo Unitario (USD)]]+STOCK[[#This Row],[Costo Envío (USD)]]+STOCK[[#This Row],[Comisión 10%]]</f>
        <v>14.48</v>
      </c>
      <c r="U1408" s="76">
        <f>STOCK[[#This Row],[Costo total]]*1.5</f>
        <v>21.72</v>
      </c>
      <c r="V1408" s="94">
        <v>25</v>
      </c>
      <c r="W1408" s="94">
        <f>STOCK[[#This Row],[Precio Final]]-STOCK[[#This Row],[Costo total]]</f>
        <v>10.52</v>
      </c>
      <c r="X1408" s="94">
        <f>STOCK[[#This Row],[Ganancia Unitaria]]*STOCK[[#This Row],[Salidas]]</f>
        <v>0</v>
      </c>
      <c r="Y1408" s="94"/>
      <c r="Z1408" s="94"/>
      <c r="AA1408" s="94">
        <f>STOCK[[#This Row],[Costo total]]*STOCK[[#This Row],[Entradas]]</f>
        <v>28.96</v>
      </c>
      <c r="AB1408" s="94">
        <f>STOCK[[#This Row],[Stock Actual]]*STOCK[[#This Row],[Costo total]]</f>
        <v>28.96</v>
      </c>
      <c r="AC1408" s="94"/>
    </row>
    <row r="1409" s="76" customFormat="1" ht="50" hidden="1" customHeight="1" spans="1:29">
      <c r="A1409" s="76" t="s">
        <v>2864</v>
      </c>
      <c r="B1409" s="95"/>
      <c r="C1409" s="94" t="s">
        <v>30</v>
      </c>
      <c r="D1409" s="94" t="s">
        <v>1188</v>
      </c>
      <c r="E1409" s="94" t="s">
        <v>2865</v>
      </c>
      <c r="F1409" s="94" t="s">
        <v>38</v>
      </c>
      <c r="G1409" s="94"/>
      <c r="H1409" s="94">
        <f>STOCK[[#This Row],[Precio Final]]</f>
        <v>18</v>
      </c>
      <c r="I1409" s="98">
        <f>STOCK[[#This Row],[Precio Venta Ideal (x1.5)]]</f>
        <v>17.97</v>
      </c>
      <c r="J1409" s="96">
        <v>3</v>
      </c>
      <c r="K1409" s="96">
        <f>SUMIFS(VENTAS[Cantidad],VENTAS[Código del producto Vendido],STOCK[[#This Row],[Code]])</f>
        <v>1</v>
      </c>
      <c r="L1409" s="96">
        <f>STOCK[[#This Row],[Entradas]]-STOCK[[#This Row],[Salidas]]</f>
        <v>2</v>
      </c>
      <c r="M1409" s="94">
        <f>STOCK[[#This Row],[Precio Final]]*10%</f>
        <v>1.8</v>
      </c>
      <c r="N1409" s="94">
        <v>0</v>
      </c>
      <c r="O1409" s="94">
        <v>0</v>
      </c>
      <c r="P1409" s="94">
        <v>8.53</v>
      </c>
      <c r="Q1409" s="96">
        <v>0</v>
      </c>
      <c r="R1409" s="94">
        <v>0</v>
      </c>
      <c r="S1409" s="94">
        <v>1.65</v>
      </c>
      <c r="T1409" s="94">
        <f>STOCK[[#This Row],[Costo Unitario (USD)]]+STOCK[[#This Row],[Costo Envío (USD)]]+STOCK[[#This Row],[Comisión 10%]]</f>
        <v>11.98</v>
      </c>
      <c r="U1409" s="76">
        <f>STOCK[[#This Row],[Costo total]]*1.5</f>
        <v>17.97</v>
      </c>
      <c r="V1409" s="94">
        <v>18</v>
      </c>
      <c r="W1409" s="94">
        <f>STOCK[[#This Row],[Precio Final]]-STOCK[[#This Row],[Costo total]]</f>
        <v>6.02</v>
      </c>
      <c r="X1409" s="94">
        <f>STOCK[[#This Row],[Ganancia Unitaria]]*STOCK[[#This Row],[Salidas]]</f>
        <v>6.02</v>
      </c>
      <c r="Y1409" s="94"/>
      <c r="Z1409" s="94"/>
      <c r="AA1409" s="94">
        <f>STOCK[[#This Row],[Costo total]]*STOCK[[#This Row],[Entradas]]</f>
        <v>35.94</v>
      </c>
      <c r="AB1409" s="94">
        <f>STOCK[[#This Row],[Stock Actual]]*STOCK[[#This Row],[Costo total]]</f>
        <v>23.96</v>
      </c>
      <c r="AC1409" s="94"/>
    </row>
    <row r="1410" s="76" customFormat="1" ht="50" hidden="1" customHeight="1" spans="1:29">
      <c r="A1410" s="76" t="s">
        <v>2866</v>
      </c>
      <c r="B1410" s="95"/>
      <c r="C1410" s="94" t="s">
        <v>30</v>
      </c>
      <c r="D1410" s="94" t="s">
        <v>1188</v>
      </c>
      <c r="E1410" s="94" t="s">
        <v>2865</v>
      </c>
      <c r="F1410" s="94" t="s">
        <v>44</v>
      </c>
      <c r="G1410" s="94"/>
      <c r="H1410" s="94">
        <f>STOCK[[#This Row],[Precio Final]]</f>
        <v>18</v>
      </c>
      <c r="I1410" s="98">
        <f>STOCK[[#This Row],[Precio Venta Ideal (x1.5)]]</f>
        <v>17.955</v>
      </c>
      <c r="J1410" s="96">
        <v>2</v>
      </c>
      <c r="K1410" s="96">
        <f>SUMIFS(VENTAS[Cantidad],VENTAS[Código del producto Vendido],STOCK[[#This Row],[Code]])</f>
        <v>0</v>
      </c>
      <c r="L1410" s="96">
        <f>STOCK[[#This Row],[Entradas]]-STOCK[[#This Row],[Salidas]]</f>
        <v>2</v>
      </c>
      <c r="M1410" s="94">
        <f>STOCK[[#This Row],[Precio Final]]*10%</f>
        <v>1.8</v>
      </c>
      <c r="N1410" s="94">
        <v>0</v>
      </c>
      <c r="O1410" s="94">
        <v>0</v>
      </c>
      <c r="P1410" s="94">
        <v>8.52</v>
      </c>
      <c r="Q1410" s="96">
        <v>0</v>
      </c>
      <c r="R1410" s="94">
        <v>0</v>
      </c>
      <c r="S1410" s="94">
        <v>1.65</v>
      </c>
      <c r="T1410" s="94">
        <f>STOCK[[#This Row],[Costo Unitario (USD)]]+STOCK[[#This Row],[Costo Envío (USD)]]+STOCK[[#This Row],[Comisión 10%]]</f>
        <v>11.97</v>
      </c>
      <c r="U1410" s="76">
        <f>STOCK[[#This Row],[Costo total]]*1.5</f>
        <v>17.955</v>
      </c>
      <c r="V1410" s="94">
        <v>18</v>
      </c>
      <c r="W1410" s="94">
        <f>STOCK[[#This Row],[Precio Final]]-STOCK[[#This Row],[Costo total]]</f>
        <v>6.03</v>
      </c>
      <c r="X1410" s="94">
        <f>STOCK[[#This Row],[Ganancia Unitaria]]*STOCK[[#This Row],[Salidas]]</f>
        <v>0</v>
      </c>
      <c r="Y1410" s="94"/>
      <c r="Z1410" s="94"/>
      <c r="AA1410" s="94">
        <f>STOCK[[#This Row],[Costo total]]*STOCK[[#This Row],[Entradas]]</f>
        <v>23.94</v>
      </c>
      <c r="AB1410" s="94">
        <f>STOCK[[#This Row],[Stock Actual]]*STOCK[[#This Row],[Costo total]]</f>
        <v>23.94</v>
      </c>
      <c r="AC1410" s="94"/>
    </row>
    <row r="1411" s="76" customFormat="1" ht="50" hidden="1" customHeight="1" spans="1:29">
      <c r="A1411" s="76" t="s">
        <v>2867</v>
      </c>
      <c r="B1411" s="95"/>
      <c r="C1411" s="94" t="s">
        <v>30</v>
      </c>
      <c r="D1411" s="94" t="s">
        <v>2626</v>
      </c>
      <c r="E1411" s="94" t="s">
        <v>2868</v>
      </c>
      <c r="F1411" s="94" t="s">
        <v>38</v>
      </c>
      <c r="G1411" s="94"/>
      <c r="H1411" s="94">
        <f>STOCK[[#This Row],[Precio Final]]</f>
        <v>30</v>
      </c>
      <c r="I1411" s="98">
        <f>STOCK[[#This Row],[Precio Venta Ideal (x1.5)]]</f>
        <v>28.005</v>
      </c>
      <c r="J1411" s="96">
        <v>2</v>
      </c>
      <c r="K1411" s="96">
        <f>SUMIFS(VENTAS[Cantidad],VENTAS[Código del producto Vendido],STOCK[[#This Row],[Code]])</f>
        <v>0</v>
      </c>
      <c r="L1411" s="96">
        <f>STOCK[[#This Row],[Entradas]]-STOCK[[#This Row],[Salidas]]</f>
        <v>2</v>
      </c>
      <c r="M1411" s="94">
        <f>STOCK[[#This Row],[Precio Final]]*10%</f>
        <v>3</v>
      </c>
      <c r="N1411" s="94">
        <v>0</v>
      </c>
      <c r="O1411" s="94">
        <v>0</v>
      </c>
      <c r="P1411" s="94">
        <v>14.02</v>
      </c>
      <c r="Q1411" s="96">
        <v>0</v>
      </c>
      <c r="R1411" s="94">
        <v>0</v>
      </c>
      <c r="S1411" s="94">
        <v>1.65</v>
      </c>
      <c r="T1411" s="94">
        <f>STOCK[[#This Row],[Costo Unitario (USD)]]+STOCK[[#This Row],[Costo Envío (USD)]]+STOCK[[#This Row],[Comisión 10%]]</f>
        <v>18.67</v>
      </c>
      <c r="U1411" s="76">
        <f>STOCK[[#This Row],[Costo total]]*1.5</f>
        <v>28.005</v>
      </c>
      <c r="V1411" s="94">
        <v>30</v>
      </c>
      <c r="W1411" s="94">
        <f>STOCK[[#This Row],[Precio Final]]-STOCK[[#This Row],[Costo total]]</f>
        <v>11.33</v>
      </c>
      <c r="X1411" s="94">
        <f>STOCK[[#This Row],[Ganancia Unitaria]]*STOCK[[#This Row],[Salidas]]</f>
        <v>0</v>
      </c>
      <c r="Y1411" s="94"/>
      <c r="Z1411" s="94"/>
      <c r="AA1411" s="94">
        <f>STOCK[[#This Row],[Costo total]]*STOCK[[#This Row],[Entradas]]</f>
        <v>37.34</v>
      </c>
      <c r="AB1411" s="94">
        <f>STOCK[[#This Row],[Stock Actual]]*STOCK[[#This Row],[Costo total]]</f>
        <v>37.34</v>
      </c>
      <c r="AC1411" s="94"/>
    </row>
    <row r="1412" s="76" customFormat="1" ht="50" hidden="1" customHeight="1" spans="1:29">
      <c r="A1412" s="76" t="s">
        <v>2869</v>
      </c>
      <c r="B1412" s="95"/>
      <c r="C1412" s="94" t="s">
        <v>30</v>
      </c>
      <c r="D1412" s="94" t="s">
        <v>2125</v>
      </c>
      <c r="E1412" s="94" t="s">
        <v>2870</v>
      </c>
      <c r="F1412" s="94" t="s">
        <v>60</v>
      </c>
      <c r="G1412" s="94"/>
      <c r="H1412" s="94">
        <f>STOCK[[#This Row],[Precio Final]]</f>
        <v>18</v>
      </c>
      <c r="I1412" s="98">
        <f>STOCK[[#This Row],[Precio Venta Ideal (x1.5)]]</f>
        <v>10.095</v>
      </c>
      <c r="J1412" s="96">
        <v>3</v>
      </c>
      <c r="K1412" s="96">
        <f>SUMIFS(VENTAS[Cantidad],VENTAS[Código del producto Vendido],STOCK[[#This Row],[Code]])</f>
        <v>0</v>
      </c>
      <c r="L1412" s="96">
        <f>STOCK[[#This Row],[Entradas]]-STOCK[[#This Row],[Salidas]]</f>
        <v>3</v>
      </c>
      <c r="M1412" s="94">
        <f>STOCK[[#This Row],[Precio Final]]*10%</f>
        <v>1.8</v>
      </c>
      <c r="N1412" s="94">
        <v>0</v>
      </c>
      <c r="O1412" s="94">
        <v>0</v>
      </c>
      <c r="P1412" s="94">
        <v>3.28</v>
      </c>
      <c r="Q1412" s="96">
        <v>0</v>
      </c>
      <c r="R1412" s="94">
        <v>0</v>
      </c>
      <c r="S1412" s="94">
        <v>1.65</v>
      </c>
      <c r="T1412" s="94">
        <f>STOCK[[#This Row],[Costo Unitario (USD)]]+STOCK[[#This Row],[Costo Envío (USD)]]+STOCK[[#This Row],[Comisión 10%]]</f>
        <v>6.73</v>
      </c>
      <c r="U1412" s="76">
        <f>STOCK[[#This Row],[Costo total]]*1.5</f>
        <v>10.095</v>
      </c>
      <c r="V1412" s="94">
        <v>18</v>
      </c>
      <c r="W1412" s="94">
        <f>STOCK[[#This Row],[Precio Final]]-STOCK[[#This Row],[Costo total]]</f>
        <v>11.27</v>
      </c>
      <c r="X1412" s="94">
        <f>STOCK[[#This Row],[Ganancia Unitaria]]*STOCK[[#This Row],[Salidas]]</f>
        <v>0</v>
      </c>
      <c r="Y1412" s="94"/>
      <c r="Z1412" s="94"/>
      <c r="AA1412" s="94">
        <f>STOCK[[#This Row],[Costo total]]*STOCK[[#This Row],[Entradas]]</f>
        <v>20.19</v>
      </c>
      <c r="AB1412" s="94">
        <f>STOCK[[#This Row],[Stock Actual]]*STOCK[[#This Row],[Costo total]]</f>
        <v>20.19</v>
      </c>
      <c r="AC1412" s="94"/>
    </row>
    <row r="1413" s="76" customFormat="1" ht="50" hidden="1" customHeight="1" spans="1:29">
      <c r="A1413" s="76" t="s">
        <v>2871</v>
      </c>
      <c r="B1413" s="95"/>
      <c r="C1413" s="94" t="s">
        <v>30</v>
      </c>
      <c r="D1413" s="94" t="s">
        <v>2125</v>
      </c>
      <c r="E1413" s="94" t="s">
        <v>2872</v>
      </c>
      <c r="F1413" s="94" t="s">
        <v>60</v>
      </c>
      <c r="G1413" s="94"/>
      <c r="H1413" s="94">
        <f>STOCK[[#This Row],[Precio Final]]</f>
        <v>25</v>
      </c>
      <c r="I1413" s="98">
        <f>STOCK[[#This Row],[Precio Venta Ideal (x1.5)]]</f>
        <v>22.47</v>
      </c>
      <c r="J1413" s="96">
        <v>2</v>
      </c>
      <c r="K1413" s="96">
        <f>SUMIFS(VENTAS[Cantidad],VENTAS[Código del producto Vendido],STOCK[[#This Row],[Code]])</f>
        <v>0</v>
      </c>
      <c r="L1413" s="96">
        <f>STOCK[[#This Row],[Entradas]]-STOCK[[#This Row],[Salidas]]</f>
        <v>2</v>
      </c>
      <c r="M1413" s="94">
        <f>STOCK[[#This Row],[Precio Final]]*10%</f>
        <v>2.5</v>
      </c>
      <c r="N1413" s="94">
        <v>0</v>
      </c>
      <c r="O1413" s="94">
        <v>0</v>
      </c>
      <c r="P1413" s="94">
        <v>10.83</v>
      </c>
      <c r="Q1413" s="96">
        <v>0</v>
      </c>
      <c r="R1413" s="94">
        <v>0</v>
      </c>
      <c r="S1413" s="94">
        <v>1.65</v>
      </c>
      <c r="T1413" s="94">
        <f>STOCK[[#This Row],[Costo Unitario (USD)]]+STOCK[[#This Row],[Costo Envío (USD)]]+STOCK[[#This Row],[Comisión 10%]]</f>
        <v>14.98</v>
      </c>
      <c r="U1413" s="76">
        <f>STOCK[[#This Row],[Costo total]]*1.5</f>
        <v>22.47</v>
      </c>
      <c r="V1413" s="94">
        <v>25</v>
      </c>
      <c r="W1413" s="94">
        <f>STOCK[[#This Row],[Precio Final]]-STOCK[[#This Row],[Costo total]]</f>
        <v>10.02</v>
      </c>
      <c r="X1413" s="94">
        <f>STOCK[[#This Row],[Ganancia Unitaria]]*STOCK[[#This Row],[Salidas]]</f>
        <v>0</v>
      </c>
      <c r="Y1413" s="94"/>
      <c r="Z1413" s="94"/>
      <c r="AA1413" s="94">
        <f>STOCK[[#This Row],[Costo total]]*STOCK[[#This Row],[Entradas]]</f>
        <v>29.96</v>
      </c>
      <c r="AB1413" s="94">
        <f>STOCK[[#This Row],[Stock Actual]]*STOCK[[#This Row],[Costo total]]</f>
        <v>29.96</v>
      </c>
      <c r="AC1413" s="94"/>
    </row>
    <row r="1414" s="76" customFormat="1" ht="50" hidden="1" customHeight="1" spans="1:29">
      <c r="A1414" s="76" t="s">
        <v>2873</v>
      </c>
      <c r="B1414" s="95"/>
      <c r="C1414" s="94" t="s">
        <v>30</v>
      </c>
      <c r="D1414" s="94" t="s">
        <v>2125</v>
      </c>
      <c r="E1414" s="94" t="s">
        <v>2872</v>
      </c>
      <c r="F1414" s="94" t="s">
        <v>47</v>
      </c>
      <c r="G1414" s="94"/>
      <c r="H1414" s="94">
        <f>STOCK[[#This Row],[Precio Final]]</f>
        <v>25</v>
      </c>
      <c r="I1414" s="98">
        <f>STOCK[[#This Row],[Precio Venta Ideal (x1.5)]]</f>
        <v>22.47</v>
      </c>
      <c r="J1414" s="96">
        <v>2</v>
      </c>
      <c r="K1414" s="96">
        <f>SUMIFS(VENTAS[Cantidad],VENTAS[Código del producto Vendido],STOCK[[#This Row],[Code]])</f>
        <v>0</v>
      </c>
      <c r="L1414" s="96">
        <f>STOCK[[#This Row],[Entradas]]-STOCK[[#This Row],[Salidas]]</f>
        <v>2</v>
      </c>
      <c r="M1414" s="94">
        <f>STOCK[[#This Row],[Precio Final]]*10%</f>
        <v>2.5</v>
      </c>
      <c r="N1414" s="94">
        <v>0</v>
      </c>
      <c r="O1414" s="94">
        <v>0</v>
      </c>
      <c r="P1414" s="94">
        <v>10.83</v>
      </c>
      <c r="Q1414" s="96">
        <v>0</v>
      </c>
      <c r="R1414" s="94">
        <v>0</v>
      </c>
      <c r="S1414" s="94">
        <v>1.65</v>
      </c>
      <c r="T1414" s="94">
        <f>STOCK[[#This Row],[Costo Unitario (USD)]]+STOCK[[#This Row],[Costo Envío (USD)]]+STOCK[[#This Row],[Comisión 10%]]</f>
        <v>14.98</v>
      </c>
      <c r="U1414" s="76">
        <f>STOCK[[#This Row],[Costo total]]*1.5</f>
        <v>22.47</v>
      </c>
      <c r="V1414" s="94">
        <v>25</v>
      </c>
      <c r="W1414" s="94">
        <f>STOCK[[#This Row],[Precio Final]]-STOCK[[#This Row],[Costo total]]</f>
        <v>10.02</v>
      </c>
      <c r="X1414" s="94">
        <f>STOCK[[#This Row],[Ganancia Unitaria]]*STOCK[[#This Row],[Salidas]]</f>
        <v>0</v>
      </c>
      <c r="Y1414" s="94"/>
      <c r="Z1414" s="94"/>
      <c r="AA1414" s="94">
        <f>STOCK[[#This Row],[Costo total]]*STOCK[[#This Row],[Entradas]]</f>
        <v>29.96</v>
      </c>
      <c r="AB1414" s="94">
        <f>STOCK[[#This Row],[Stock Actual]]*STOCK[[#This Row],[Costo total]]</f>
        <v>29.96</v>
      </c>
      <c r="AC1414" s="94"/>
    </row>
    <row r="1415" s="76" customFormat="1" ht="50" hidden="1" customHeight="1" spans="1:29">
      <c r="A1415" s="76" t="s">
        <v>2874</v>
      </c>
      <c r="B1415" s="95"/>
      <c r="C1415" s="94" t="s">
        <v>30</v>
      </c>
      <c r="D1415" s="94" t="s">
        <v>2125</v>
      </c>
      <c r="E1415" s="94" t="s">
        <v>2872</v>
      </c>
      <c r="F1415" s="94" t="s">
        <v>44</v>
      </c>
      <c r="G1415" s="94"/>
      <c r="H1415" s="94">
        <f>STOCK[[#This Row],[Precio Final]]</f>
        <v>25</v>
      </c>
      <c r="I1415" s="98">
        <f>STOCK[[#This Row],[Precio Venta Ideal (x1.5)]]</f>
        <v>22.485</v>
      </c>
      <c r="J1415" s="96">
        <v>2</v>
      </c>
      <c r="K1415" s="96">
        <f>SUMIFS(VENTAS[Cantidad],VENTAS[Código del producto Vendido],STOCK[[#This Row],[Code]])</f>
        <v>0</v>
      </c>
      <c r="L1415" s="96">
        <f>STOCK[[#This Row],[Entradas]]-STOCK[[#This Row],[Salidas]]</f>
        <v>2</v>
      </c>
      <c r="M1415" s="94">
        <f>STOCK[[#This Row],[Precio Final]]*10%</f>
        <v>2.5</v>
      </c>
      <c r="N1415" s="94">
        <v>0</v>
      </c>
      <c r="O1415" s="94">
        <v>0</v>
      </c>
      <c r="P1415" s="94">
        <v>10.84</v>
      </c>
      <c r="Q1415" s="96">
        <v>0</v>
      </c>
      <c r="R1415" s="94">
        <v>0</v>
      </c>
      <c r="S1415" s="94">
        <v>1.65</v>
      </c>
      <c r="T1415" s="94">
        <f>STOCK[[#This Row],[Costo Unitario (USD)]]+STOCK[[#This Row],[Costo Envío (USD)]]+STOCK[[#This Row],[Comisión 10%]]</f>
        <v>14.99</v>
      </c>
      <c r="U1415" s="76">
        <f>STOCK[[#This Row],[Costo total]]*1.5</f>
        <v>22.485</v>
      </c>
      <c r="V1415" s="94">
        <v>25</v>
      </c>
      <c r="W1415" s="94">
        <f>STOCK[[#This Row],[Precio Final]]-STOCK[[#This Row],[Costo total]]</f>
        <v>10.01</v>
      </c>
      <c r="X1415" s="94">
        <f>STOCK[[#This Row],[Ganancia Unitaria]]*STOCK[[#This Row],[Salidas]]</f>
        <v>0</v>
      </c>
      <c r="Y1415" s="94"/>
      <c r="Z1415" s="94"/>
      <c r="AA1415" s="94">
        <f>STOCK[[#This Row],[Costo total]]*STOCK[[#This Row],[Entradas]]</f>
        <v>29.98</v>
      </c>
      <c r="AB1415" s="94">
        <f>STOCK[[#This Row],[Stock Actual]]*STOCK[[#This Row],[Costo total]]</f>
        <v>29.98</v>
      </c>
      <c r="AC1415" s="94"/>
    </row>
    <row r="1416" s="76" customFormat="1" ht="50" hidden="1" customHeight="1" spans="1:29">
      <c r="A1416" s="76" t="s">
        <v>2875</v>
      </c>
      <c r="B1416" s="95"/>
      <c r="C1416" s="94" t="s">
        <v>30</v>
      </c>
      <c r="D1416" s="94" t="s">
        <v>2876</v>
      </c>
      <c r="E1416" s="94" t="s">
        <v>2877</v>
      </c>
      <c r="F1416" s="94" t="s">
        <v>60</v>
      </c>
      <c r="G1416" s="94"/>
      <c r="H1416" s="94">
        <f>STOCK[[#This Row],[Precio Final]]</f>
        <v>35</v>
      </c>
      <c r="I1416" s="98">
        <f>STOCK[[#This Row],[Precio Venta Ideal (x1.5)]]</f>
        <v>22.605</v>
      </c>
      <c r="J1416" s="96">
        <v>2</v>
      </c>
      <c r="K1416" s="96">
        <f>SUMIFS(VENTAS[Cantidad],VENTAS[Código del producto Vendido],STOCK[[#This Row],[Code]])</f>
        <v>0</v>
      </c>
      <c r="L1416" s="96">
        <f>STOCK[[#This Row],[Entradas]]-STOCK[[#This Row],[Salidas]]</f>
        <v>2</v>
      </c>
      <c r="M1416" s="94">
        <f>STOCK[[#This Row],[Precio Final]]*10%</f>
        <v>3.5</v>
      </c>
      <c r="N1416" s="94">
        <v>0</v>
      </c>
      <c r="O1416" s="94">
        <v>0</v>
      </c>
      <c r="P1416" s="94">
        <v>9.92</v>
      </c>
      <c r="Q1416" s="96">
        <v>0</v>
      </c>
      <c r="R1416" s="94">
        <v>0</v>
      </c>
      <c r="S1416" s="94">
        <v>1.65</v>
      </c>
      <c r="T1416" s="94">
        <f>STOCK[[#This Row],[Costo Unitario (USD)]]+STOCK[[#This Row],[Costo Envío (USD)]]+STOCK[[#This Row],[Comisión 10%]]</f>
        <v>15.07</v>
      </c>
      <c r="U1416" s="76">
        <f>STOCK[[#This Row],[Costo total]]*1.5</f>
        <v>22.605</v>
      </c>
      <c r="V1416" s="94">
        <v>35</v>
      </c>
      <c r="W1416" s="94">
        <f>STOCK[[#This Row],[Precio Final]]-STOCK[[#This Row],[Costo total]]</f>
        <v>19.93</v>
      </c>
      <c r="X1416" s="94">
        <f>STOCK[[#This Row],[Ganancia Unitaria]]*STOCK[[#This Row],[Salidas]]</f>
        <v>0</v>
      </c>
      <c r="Y1416" s="94"/>
      <c r="Z1416" s="94"/>
      <c r="AA1416" s="94">
        <f>STOCK[[#This Row],[Costo total]]*STOCK[[#This Row],[Entradas]]</f>
        <v>30.14</v>
      </c>
      <c r="AB1416" s="94">
        <f>STOCK[[#This Row],[Stock Actual]]*STOCK[[#This Row],[Costo total]]</f>
        <v>30.14</v>
      </c>
      <c r="AC1416" s="94"/>
    </row>
    <row r="1417" s="76" customFormat="1" ht="50" hidden="1" customHeight="1" spans="1:29">
      <c r="A1417" s="76" t="s">
        <v>2878</v>
      </c>
      <c r="B1417" s="95"/>
      <c r="C1417" s="94" t="s">
        <v>30</v>
      </c>
      <c r="D1417" s="94" t="s">
        <v>2876</v>
      </c>
      <c r="E1417" s="94" t="s">
        <v>2877</v>
      </c>
      <c r="F1417" s="94" t="s">
        <v>47</v>
      </c>
      <c r="G1417" s="94"/>
      <c r="H1417" s="94">
        <f>STOCK[[#This Row],[Precio Final]]</f>
        <v>35</v>
      </c>
      <c r="I1417" s="98">
        <f>STOCK[[#This Row],[Precio Venta Ideal (x1.5)]]</f>
        <v>22.605</v>
      </c>
      <c r="J1417" s="96">
        <v>2</v>
      </c>
      <c r="K1417" s="96">
        <f>SUMIFS(VENTAS[Cantidad],VENTAS[Código del producto Vendido],STOCK[[#This Row],[Code]])</f>
        <v>0</v>
      </c>
      <c r="L1417" s="96">
        <f>STOCK[[#This Row],[Entradas]]-STOCK[[#This Row],[Salidas]]</f>
        <v>2</v>
      </c>
      <c r="M1417" s="94">
        <f>STOCK[[#This Row],[Precio Final]]*10%</f>
        <v>3.5</v>
      </c>
      <c r="N1417" s="94">
        <v>0</v>
      </c>
      <c r="O1417" s="94">
        <v>0</v>
      </c>
      <c r="P1417" s="94">
        <v>9.92</v>
      </c>
      <c r="Q1417" s="96">
        <v>0</v>
      </c>
      <c r="R1417" s="94">
        <v>0</v>
      </c>
      <c r="S1417" s="94">
        <v>1.65</v>
      </c>
      <c r="T1417" s="94">
        <f>STOCK[[#This Row],[Costo Unitario (USD)]]+STOCK[[#This Row],[Costo Envío (USD)]]+STOCK[[#This Row],[Comisión 10%]]</f>
        <v>15.07</v>
      </c>
      <c r="U1417" s="76">
        <f>STOCK[[#This Row],[Costo total]]*1.5</f>
        <v>22.605</v>
      </c>
      <c r="V1417" s="94">
        <v>35</v>
      </c>
      <c r="W1417" s="94">
        <f>STOCK[[#This Row],[Precio Final]]-STOCK[[#This Row],[Costo total]]</f>
        <v>19.93</v>
      </c>
      <c r="X1417" s="94">
        <f>STOCK[[#This Row],[Ganancia Unitaria]]*STOCK[[#This Row],[Salidas]]</f>
        <v>0</v>
      </c>
      <c r="Y1417" s="94"/>
      <c r="Z1417" s="94"/>
      <c r="AA1417" s="94">
        <f>STOCK[[#This Row],[Costo total]]*STOCK[[#This Row],[Entradas]]</f>
        <v>30.14</v>
      </c>
      <c r="AB1417" s="94">
        <f>STOCK[[#This Row],[Stock Actual]]*STOCK[[#This Row],[Costo total]]</f>
        <v>30.14</v>
      </c>
      <c r="AC1417" s="94"/>
    </row>
    <row r="1418" s="76" customFormat="1" ht="50" hidden="1" customHeight="1" spans="1:29">
      <c r="A1418" s="76" t="s">
        <v>2879</v>
      </c>
      <c r="B1418" s="95"/>
      <c r="C1418" s="94" t="s">
        <v>30</v>
      </c>
      <c r="D1418" s="94" t="s">
        <v>2876</v>
      </c>
      <c r="E1418" s="94" t="s">
        <v>2877</v>
      </c>
      <c r="F1418" s="94" t="s">
        <v>44</v>
      </c>
      <c r="G1418" s="94"/>
      <c r="H1418" s="94">
        <f>STOCK[[#This Row],[Precio Final]]</f>
        <v>35</v>
      </c>
      <c r="I1418" s="98">
        <f>STOCK[[#This Row],[Precio Venta Ideal (x1.5)]]</f>
        <v>22.605</v>
      </c>
      <c r="J1418" s="96">
        <v>2</v>
      </c>
      <c r="K1418" s="96">
        <f>SUMIFS(VENTAS[Cantidad],VENTAS[Código del producto Vendido],STOCK[[#This Row],[Code]])</f>
        <v>1</v>
      </c>
      <c r="L1418" s="96">
        <f>STOCK[[#This Row],[Entradas]]-STOCK[[#This Row],[Salidas]]</f>
        <v>1</v>
      </c>
      <c r="M1418" s="94">
        <f>STOCK[[#This Row],[Precio Final]]*10%</f>
        <v>3.5</v>
      </c>
      <c r="N1418" s="94">
        <v>0</v>
      </c>
      <c r="O1418" s="94">
        <v>0</v>
      </c>
      <c r="P1418" s="94">
        <v>9.92</v>
      </c>
      <c r="Q1418" s="96">
        <v>0</v>
      </c>
      <c r="R1418" s="94">
        <v>0</v>
      </c>
      <c r="S1418" s="94">
        <v>1.65</v>
      </c>
      <c r="T1418" s="94">
        <f>STOCK[[#This Row],[Costo Unitario (USD)]]+STOCK[[#This Row],[Costo Envío (USD)]]+STOCK[[#This Row],[Comisión 10%]]</f>
        <v>15.07</v>
      </c>
      <c r="U1418" s="76">
        <f>STOCK[[#This Row],[Costo total]]*1.5</f>
        <v>22.605</v>
      </c>
      <c r="V1418" s="94">
        <v>35</v>
      </c>
      <c r="W1418" s="94">
        <f>STOCK[[#This Row],[Precio Final]]-STOCK[[#This Row],[Costo total]]</f>
        <v>19.93</v>
      </c>
      <c r="X1418" s="94">
        <f>STOCK[[#This Row],[Ganancia Unitaria]]*STOCK[[#This Row],[Salidas]]</f>
        <v>19.93</v>
      </c>
      <c r="Y1418" s="94"/>
      <c r="Z1418" s="94"/>
      <c r="AA1418" s="94">
        <f>STOCK[[#This Row],[Costo total]]*STOCK[[#This Row],[Entradas]]</f>
        <v>30.14</v>
      </c>
      <c r="AB1418" s="94">
        <f>STOCK[[#This Row],[Stock Actual]]*STOCK[[#This Row],[Costo total]]</f>
        <v>15.07</v>
      </c>
      <c r="AC1418" s="94"/>
    </row>
    <row r="1419" s="76" customFormat="1" ht="50" hidden="1" customHeight="1" spans="1:29">
      <c r="A1419" s="76" t="s">
        <v>2880</v>
      </c>
      <c r="B1419" s="95"/>
      <c r="C1419" s="94" t="s">
        <v>30</v>
      </c>
      <c r="D1419" s="94" t="s">
        <v>2876</v>
      </c>
      <c r="E1419" s="94" t="s">
        <v>2877</v>
      </c>
      <c r="F1419" s="94" t="s">
        <v>40</v>
      </c>
      <c r="G1419" s="94"/>
      <c r="H1419" s="94">
        <f>STOCK[[#This Row],[Precio Final]]</f>
        <v>35</v>
      </c>
      <c r="I1419" s="98">
        <f>STOCK[[#This Row],[Precio Venta Ideal (x1.5)]]</f>
        <v>22.605</v>
      </c>
      <c r="J1419" s="96">
        <v>2</v>
      </c>
      <c r="K1419" s="96">
        <f>SUMIFS(VENTAS[Cantidad],VENTAS[Código del producto Vendido],STOCK[[#This Row],[Code]])</f>
        <v>0</v>
      </c>
      <c r="L1419" s="96">
        <f>STOCK[[#This Row],[Entradas]]-STOCK[[#This Row],[Salidas]]</f>
        <v>2</v>
      </c>
      <c r="M1419" s="94">
        <f>STOCK[[#This Row],[Precio Final]]*10%</f>
        <v>3.5</v>
      </c>
      <c r="N1419" s="94">
        <v>0</v>
      </c>
      <c r="O1419" s="94">
        <v>0</v>
      </c>
      <c r="P1419" s="94">
        <v>9.92</v>
      </c>
      <c r="Q1419" s="96">
        <v>0</v>
      </c>
      <c r="R1419" s="94">
        <v>0</v>
      </c>
      <c r="S1419" s="94">
        <v>1.65</v>
      </c>
      <c r="T1419" s="94">
        <f>STOCK[[#This Row],[Costo Unitario (USD)]]+STOCK[[#This Row],[Costo Envío (USD)]]+STOCK[[#This Row],[Comisión 10%]]</f>
        <v>15.07</v>
      </c>
      <c r="U1419" s="76">
        <f>STOCK[[#This Row],[Costo total]]*1.5</f>
        <v>22.605</v>
      </c>
      <c r="V1419" s="94">
        <v>35</v>
      </c>
      <c r="W1419" s="94">
        <f>STOCK[[#This Row],[Precio Final]]-STOCK[[#This Row],[Costo total]]</f>
        <v>19.93</v>
      </c>
      <c r="X1419" s="94">
        <f>STOCK[[#This Row],[Ganancia Unitaria]]*STOCK[[#This Row],[Salidas]]</f>
        <v>0</v>
      </c>
      <c r="Y1419" s="94"/>
      <c r="Z1419" s="94"/>
      <c r="AA1419" s="94">
        <f>STOCK[[#This Row],[Costo total]]*STOCK[[#This Row],[Entradas]]</f>
        <v>30.14</v>
      </c>
      <c r="AB1419" s="94">
        <f>STOCK[[#This Row],[Stock Actual]]*STOCK[[#This Row],[Costo total]]</f>
        <v>30.14</v>
      </c>
      <c r="AC1419" s="94"/>
    </row>
    <row r="1420" s="76" customFormat="1" ht="50" hidden="1" customHeight="1" spans="1:29">
      <c r="A1420" s="76" t="s">
        <v>2881</v>
      </c>
      <c r="B1420" s="95"/>
      <c r="C1420" s="94" t="s">
        <v>30</v>
      </c>
      <c r="D1420" s="94" t="s">
        <v>2626</v>
      </c>
      <c r="E1420" s="94" t="s">
        <v>2882</v>
      </c>
      <c r="F1420" s="94" t="s">
        <v>60</v>
      </c>
      <c r="G1420" s="94"/>
      <c r="H1420" s="94">
        <f>STOCK[[#This Row],[Precio Final]]</f>
        <v>35</v>
      </c>
      <c r="I1420" s="98">
        <f>STOCK[[#This Row],[Precio Venta Ideal (x1.5)]]</f>
        <v>25.695</v>
      </c>
      <c r="J1420" s="96">
        <v>1</v>
      </c>
      <c r="K1420" s="96">
        <f>SUMIFS(VENTAS[Cantidad],VENTAS[Código del producto Vendido],STOCK[[#This Row],[Code]])</f>
        <v>0</v>
      </c>
      <c r="L1420" s="96">
        <f>STOCK[[#This Row],[Entradas]]-STOCK[[#This Row],[Salidas]]</f>
        <v>1</v>
      </c>
      <c r="M1420" s="94">
        <f>STOCK[[#This Row],[Precio Final]]*10%</f>
        <v>3.5</v>
      </c>
      <c r="N1420" s="94">
        <v>0</v>
      </c>
      <c r="O1420" s="94">
        <v>0</v>
      </c>
      <c r="P1420" s="94">
        <v>11.98</v>
      </c>
      <c r="Q1420" s="96">
        <v>0</v>
      </c>
      <c r="R1420" s="94">
        <v>0</v>
      </c>
      <c r="S1420" s="94">
        <v>1.65</v>
      </c>
      <c r="T1420" s="94">
        <f>STOCK[[#This Row],[Costo Unitario (USD)]]+STOCK[[#This Row],[Costo Envío (USD)]]+STOCK[[#This Row],[Comisión 10%]]</f>
        <v>17.13</v>
      </c>
      <c r="U1420" s="76">
        <f>STOCK[[#This Row],[Costo total]]*1.5</f>
        <v>25.695</v>
      </c>
      <c r="V1420" s="94">
        <v>35</v>
      </c>
      <c r="W1420" s="94">
        <f>STOCK[[#This Row],[Precio Final]]-STOCK[[#This Row],[Costo total]]</f>
        <v>17.87</v>
      </c>
      <c r="X1420" s="94">
        <f>STOCK[[#This Row],[Ganancia Unitaria]]*STOCK[[#This Row],[Salidas]]</f>
        <v>0</v>
      </c>
      <c r="Y1420" s="94"/>
      <c r="Z1420" s="94"/>
      <c r="AA1420" s="94">
        <f>STOCK[[#This Row],[Costo total]]*STOCK[[#This Row],[Entradas]]</f>
        <v>17.13</v>
      </c>
      <c r="AB1420" s="94">
        <f>STOCK[[#This Row],[Stock Actual]]*STOCK[[#This Row],[Costo total]]</f>
        <v>17.13</v>
      </c>
      <c r="AC1420" s="94"/>
    </row>
    <row r="1421" s="76" customFormat="1" ht="50" hidden="1" customHeight="1" spans="1:29">
      <c r="A1421" s="76" t="s">
        <v>2883</v>
      </c>
      <c r="B1421" s="95"/>
      <c r="C1421" s="94" t="s">
        <v>30</v>
      </c>
      <c r="D1421" s="94" t="s">
        <v>2626</v>
      </c>
      <c r="E1421" s="94" t="s">
        <v>2882</v>
      </c>
      <c r="F1421" s="94" t="s">
        <v>47</v>
      </c>
      <c r="G1421" s="94"/>
      <c r="H1421" s="94">
        <f>STOCK[[#This Row],[Precio Final]]</f>
        <v>35</v>
      </c>
      <c r="I1421" s="98">
        <f>STOCK[[#This Row],[Precio Venta Ideal (x1.5)]]</f>
        <v>25.695</v>
      </c>
      <c r="J1421" s="96">
        <v>1</v>
      </c>
      <c r="K1421" s="96">
        <f>SUMIFS(VENTAS[Cantidad],VENTAS[Código del producto Vendido],STOCK[[#This Row],[Code]])</f>
        <v>0</v>
      </c>
      <c r="L1421" s="96">
        <f>STOCK[[#This Row],[Entradas]]-STOCK[[#This Row],[Salidas]]</f>
        <v>1</v>
      </c>
      <c r="M1421" s="94">
        <f>STOCK[[#This Row],[Precio Final]]*10%</f>
        <v>3.5</v>
      </c>
      <c r="N1421" s="94">
        <v>0</v>
      </c>
      <c r="O1421" s="94">
        <v>0</v>
      </c>
      <c r="P1421" s="94">
        <v>11.98</v>
      </c>
      <c r="Q1421" s="96">
        <v>0</v>
      </c>
      <c r="R1421" s="94">
        <v>0</v>
      </c>
      <c r="S1421" s="94">
        <v>1.65</v>
      </c>
      <c r="T1421" s="94">
        <f>STOCK[[#This Row],[Costo Unitario (USD)]]+STOCK[[#This Row],[Costo Envío (USD)]]+STOCK[[#This Row],[Comisión 10%]]</f>
        <v>17.13</v>
      </c>
      <c r="U1421" s="76">
        <f>STOCK[[#This Row],[Costo total]]*1.5</f>
        <v>25.695</v>
      </c>
      <c r="V1421" s="94">
        <v>35</v>
      </c>
      <c r="W1421" s="94">
        <f>STOCK[[#This Row],[Precio Final]]-STOCK[[#This Row],[Costo total]]</f>
        <v>17.87</v>
      </c>
      <c r="X1421" s="94">
        <f>STOCK[[#This Row],[Ganancia Unitaria]]*STOCK[[#This Row],[Salidas]]</f>
        <v>0</v>
      </c>
      <c r="Y1421" s="94"/>
      <c r="Z1421" s="94"/>
      <c r="AA1421" s="94">
        <f>STOCK[[#This Row],[Costo total]]*STOCK[[#This Row],[Entradas]]</f>
        <v>17.13</v>
      </c>
      <c r="AB1421" s="94">
        <f>STOCK[[#This Row],[Stock Actual]]*STOCK[[#This Row],[Costo total]]</f>
        <v>17.13</v>
      </c>
      <c r="AC1421" s="94"/>
    </row>
    <row r="1422" s="76" customFormat="1" ht="50" hidden="1" customHeight="1" spans="1:29">
      <c r="A1422" s="76" t="s">
        <v>2884</v>
      </c>
      <c r="B1422" s="95"/>
      <c r="C1422" s="94" t="s">
        <v>30</v>
      </c>
      <c r="D1422" s="94" t="s">
        <v>2626</v>
      </c>
      <c r="E1422" s="94" t="s">
        <v>2882</v>
      </c>
      <c r="F1422" s="94" t="s">
        <v>40</v>
      </c>
      <c r="G1422" s="94"/>
      <c r="H1422" s="94">
        <f>STOCK[[#This Row],[Precio Final]]</f>
        <v>35</v>
      </c>
      <c r="I1422" s="98">
        <f>STOCK[[#This Row],[Precio Venta Ideal (x1.5)]]</f>
        <v>25.695</v>
      </c>
      <c r="J1422" s="96">
        <v>1</v>
      </c>
      <c r="K1422" s="96">
        <f>SUMIFS(VENTAS[Cantidad],VENTAS[Código del producto Vendido],STOCK[[#This Row],[Code]])</f>
        <v>0</v>
      </c>
      <c r="L1422" s="96">
        <f>STOCK[[#This Row],[Entradas]]-STOCK[[#This Row],[Salidas]]</f>
        <v>1</v>
      </c>
      <c r="M1422" s="94">
        <f>STOCK[[#This Row],[Precio Final]]*10%</f>
        <v>3.5</v>
      </c>
      <c r="N1422" s="94">
        <v>0</v>
      </c>
      <c r="O1422" s="94">
        <v>0</v>
      </c>
      <c r="P1422" s="94">
        <v>11.98</v>
      </c>
      <c r="Q1422" s="96">
        <v>0</v>
      </c>
      <c r="R1422" s="94">
        <v>0</v>
      </c>
      <c r="S1422" s="94">
        <v>1.65</v>
      </c>
      <c r="T1422" s="94">
        <f>STOCK[[#This Row],[Costo Unitario (USD)]]+STOCK[[#This Row],[Costo Envío (USD)]]+STOCK[[#This Row],[Comisión 10%]]</f>
        <v>17.13</v>
      </c>
      <c r="U1422" s="76">
        <f>STOCK[[#This Row],[Costo total]]*1.5</f>
        <v>25.695</v>
      </c>
      <c r="V1422" s="94">
        <v>35</v>
      </c>
      <c r="W1422" s="94">
        <f>STOCK[[#This Row],[Precio Final]]-STOCK[[#This Row],[Costo total]]</f>
        <v>17.87</v>
      </c>
      <c r="X1422" s="94">
        <f>STOCK[[#This Row],[Ganancia Unitaria]]*STOCK[[#This Row],[Salidas]]</f>
        <v>0</v>
      </c>
      <c r="Y1422" s="94"/>
      <c r="Z1422" s="94"/>
      <c r="AA1422" s="94">
        <f>STOCK[[#This Row],[Costo total]]*STOCK[[#This Row],[Entradas]]</f>
        <v>17.13</v>
      </c>
      <c r="AB1422" s="94">
        <f>STOCK[[#This Row],[Stock Actual]]*STOCK[[#This Row],[Costo total]]</f>
        <v>17.13</v>
      </c>
      <c r="AC1422" s="94"/>
    </row>
    <row r="1423" s="76" customFormat="1" ht="50" hidden="1" customHeight="1" spans="1:29">
      <c r="A1423" s="76" t="s">
        <v>2885</v>
      </c>
      <c r="B1423" s="95"/>
      <c r="C1423" s="94" t="s">
        <v>30</v>
      </c>
      <c r="D1423" s="94" t="s">
        <v>2626</v>
      </c>
      <c r="E1423" s="94" t="s">
        <v>2886</v>
      </c>
      <c r="F1423" s="94" t="s">
        <v>60</v>
      </c>
      <c r="G1423" s="94"/>
      <c r="H1423" s="94">
        <f>STOCK[[#This Row],[Precio Final]]</f>
        <v>20</v>
      </c>
      <c r="I1423" s="98">
        <f>STOCK[[#This Row],[Precio Venta Ideal (x1.5)]]</f>
        <v>19.215</v>
      </c>
      <c r="J1423" s="96">
        <v>1</v>
      </c>
      <c r="K1423" s="96">
        <f>SUMIFS(VENTAS[Cantidad],VENTAS[Código del producto Vendido],STOCK[[#This Row],[Code]])</f>
        <v>0</v>
      </c>
      <c r="L1423" s="96">
        <f>STOCK[[#This Row],[Entradas]]-STOCK[[#This Row],[Salidas]]</f>
        <v>1</v>
      </c>
      <c r="M1423" s="94">
        <f>STOCK[[#This Row],[Precio Final]]*10%</f>
        <v>2</v>
      </c>
      <c r="N1423" s="94">
        <v>0</v>
      </c>
      <c r="O1423" s="94">
        <v>0</v>
      </c>
      <c r="P1423" s="94">
        <v>9.16</v>
      </c>
      <c r="Q1423" s="96">
        <v>0</v>
      </c>
      <c r="R1423" s="94">
        <v>0</v>
      </c>
      <c r="S1423" s="94">
        <v>1.65</v>
      </c>
      <c r="T1423" s="94">
        <f>STOCK[[#This Row],[Costo Unitario (USD)]]+STOCK[[#This Row],[Costo Envío (USD)]]+STOCK[[#This Row],[Comisión 10%]]</f>
        <v>12.81</v>
      </c>
      <c r="U1423" s="76">
        <f>STOCK[[#This Row],[Costo total]]*1.5</f>
        <v>19.215</v>
      </c>
      <c r="V1423" s="94">
        <v>20</v>
      </c>
      <c r="W1423" s="94">
        <f>STOCK[[#This Row],[Precio Final]]-STOCK[[#This Row],[Costo total]]</f>
        <v>7.19</v>
      </c>
      <c r="X1423" s="94">
        <f>STOCK[[#This Row],[Ganancia Unitaria]]*STOCK[[#This Row],[Salidas]]</f>
        <v>0</v>
      </c>
      <c r="Y1423" s="94"/>
      <c r="Z1423" s="94"/>
      <c r="AA1423" s="94">
        <f>STOCK[[#This Row],[Costo total]]*STOCK[[#This Row],[Entradas]]</f>
        <v>12.81</v>
      </c>
      <c r="AB1423" s="94">
        <f>STOCK[[#This Row],[Stock Actual]]*STOCK[[#This Row],[Costo total]]</f>
        <v>12.81</v>
      </c>
      <c r="AC1423" s="94"/>
    </row>
    <row r="1424" s="76" customFormat="1" ht="50" hidden="1" customHeight="1" spans="1:29">
      <c r="A1424" s="76" t="s">
        <v>2887</v>
      </c>
      <c r="B1424" s="95"/>
      <c r="C1424" s="94" t="s">
        <v>30</v>
      </c>
      <c r="D1424" s="94" t="s">
        <v>2626</v>
      </c>
      <c r="E1424" s="94" t="s">
        <v>2886</v>
      </c>
      <c r="F1424" s="94" t="s">
        <v>47</v>
      </c>
      <c r="G1424" s="94"/>
      <c r="H1424" s="94">
        <f>STOCK[[#This Row],[Precio Final]]</f>
        <v>20</v>
      </c>
      <c r="I1424" s="98">
        <f>STOCK[[#This Row],[Precio Venta Ideal (x1.5)]]</f>
        <v>19.215</v>
      </c>
      <c r="J1424" s="96">
        <v>1</v>
      </c>
      <c r="K1424" s="96">
        <f>SUMIFS(VENTAS[Cantidad],VENTAS[Código del producto Vendido],STOCK[[#This Row],[Code]])</f>
        <v>0</v>
      </c>
      <c r="L1424" s="96">
        <f>STOCK[[#This Row],[Entradas]]-STOCK[[#This Row],[Salidas]]</f>
        <v>1</v>
      </c>
      <c r="M1424" s="94">
        <f>STOCK[[#This Row],[Precio Final]]*10%</f>
        <v>2</v>
      </c>
      <c r="N1424" s="94">
        <v>0</v>
      </c>
      <c r="O1424" s="94">
        <v>0</v>
      </c>
      <c r="P1424" s="94">
        <v>9.16</v>
      </c>
      <c r="Q1424" s="96">
        <v>0</v>
      </c>
      <c r="R1424" s="94">
        <v>0</v>
      </c>
      <c r="S1424" s="94">
        <v>1.65</v>
      </c>
      <c r="T1424" s="94">
        <f>STOCK[[#This Row],[Costo Unitario (USD)]]+STOCK[[#This Row],[Costo Envío (USD)]]+STOCK[[#This Row],[Comisión 10%]]</f>
        <v>12.81</v>
      </c>
      <c r="U1424" s="76">
        <f>STOCK[[#This Row],[Costo total]]*1.5</f>
        <v>19.215</v>
      </c>
      <c r="V1424" s="94">
        <v>20</v>
      </c>
      <c r="W1424" s="94">
        <f>STOCK[[#This Row],[Precio Final]]-STOCK[[#This Row],[Costo total]]</f>
        <v>7.19</v>
      </c>
      <c r="X1424" s="94">
        <f>STOCK[[#This Row],[Ganancia Unitaria]]*STOCK[[#This Row],[Salidas]]</f>
        <v>0</v>
      </c>
      <c r="Y1424" s="94"/>
      <c r="Z1424" s="94"/>
      <c r="AA1424" s="94">
        <f>STOCK[[#This Row],[Costo total]]*STOCK[[#This Row],[Entradas]]</f>
        <v>12.81</v>
      </c>
      <c r="AB1424" s="94">
        <f>STOCK[[#This Row],[Stock Actual]]*STOCK[[#This Row],[Costo total]]</f>
        <v>12.81</v>
      </c>
      <c r="AC1424" s="94"/>
    </row>
    <row r="1425" s="76" customFormat="1" ht="50" hidden="1" customHeight="1" spans="1:29">
      <c r="A1425" s="76" t="s">
        <v>2888</v>
      </c>
      <c r="B1425" s="95"/>
      <c r="C1425" s="94" t="s">
        <v>30</v>
      </c>
      <c r="D1425" s="94" t="s">
        <v>2626</v>
      </c>
      <c r="E1425" s="94" t="s">
        <v>2889</v>
      </c>
      <c r="F1425" s="94" t="s">
        <v>38</v>
      </c>
      <c r="G1425" s="94"/>
      <c r="H1425" s="94">
        <f>STOCK[[#This Row],[Precio Final]]</f>
        <v>20</v>
      </c>
      <c r="I1425" s="98">
        <f>STOCK[[#This Row],[Precio Venta Ideal (x1.5)]]</f>
        <v>16.905</v>
      </c>
      <c r="J1425" s="96">
        <v>1</v>
      </c>
      <c r="K1425" s="96">
        <f>SUMIFS(VENTAS[Cantidad],VENTAS[Código del producto Vendido],STOCK[[#This Row],[Code]])</f>
        <v>0</v>
      </c>
      <c r="L1425" s="96">
        <f>STOCK[[#This Row],[Entradas]]-STOCK[[#This Row],[Salidas]]</f>
        <v>1</v>
      </c>
      <c r="M1425" s="94">
        <f>STOCK[[#This Row],[Precio Final]]*10%</f>
        <v>2</v>
      </c>
      <c r="N1425" s="94">
        <v>0</v>
      </c>
      <c r="O1425" s="94">
        <v>0</v>
      </c>
      <c r="P1425" s="94">
        <v>7.62</v>
      </c>
      <c r="Q1425" s="96">
        <v>0</v>
      </c>
      <c r="R1425" s="94">
        <v>0</v>
      </c>
      <c r="S1425" s="94">
        <v>1.65</v>
      </c>
      <c r="T1425" s="94">
        <f>STOCK[[#This Row],[Costo Unitario (USD)]]+STOCK[[#This Row],[Costo Envío (USD)]]+STOCK[[#This Row],[Comisión 10%]]</f>
        <v>11.27</v>
      </c>
      <c r="U1425" s="76">
        <f>STOCK[[#This Row],[Costo total]]*1.5</f>
        <v>16.905</v>
      </c>
      <c r="V1425" s="94">
        <v>20</v>
      </c>
      <c r="W1425" s="94">
        <f>STOCK[[#This Row],[Precio Final]]-STOCK[[#This Row],[Costo total]]</f>
        <v>8.73</v>
      </c>
      <c r="X1425" s="94">
        <f>STOCK[[#This Row],[Ganancia Unitaria]]*STOCK[[#This Row],[Salidas]]</f>
        <v>0</v>
      </c>
      <c r="Y1425" s="94"/>
      <c r="Z1425" s="94"/>
      <c r="AA1425" s="94">
        <f>STOCK[[#This Row],[Costo total]]*STOCK[[#This Row],[Entradas]]</f>
        <v>11.27</v>
      </c>
      <c r="AB1425" s="94">
        <f>STOCK[[#This Row],[Stock Actual]]*STOCK[[#This Row],[Costo total]]</f>
        <v>11.27</v>
      </c>
      <c r="AC1425" s="94"/>
    </row>
    <row r="1426" s="76" customFormat="1" ht="50" hidden="1" customHeight="1" spans="1:29">
      <c r="A1426" s="76" t="s">
        <v>2890</v>
      </c>
      <c r="B1426" s="95"/>
      <c r="C1426" s="94" t="s">
        <v>30</v>
      </c>
      <c r="D1426" s="94" t="s">
        <v>2626</v>
      </c>
      <c r="E1426" s="94" t="s">
        <v>2889</v>
      </c>
      <c r="F1426" s="94" t="s">
        <v>60</v>
      </c>
      <c r="G1426" s="94"/>
      <c r="H1426" s="94">
        <f>STOCK[[#This Row],[Precio Final]]</f>
        <v>20</v>
      </c>
      <c r="I1426" s="98">
        <f>STOCK[[#This Row],[Precio Venta Ideal (x1.5)]]</f>
        <v>16.905</v>
      </c>
      <c r="J1426" s="96">
        <v>1</v>
      </c>
      <c r="K1426" s="96">
        <f>SUMIFS(VENTAS[Cantidad],VENTAS[Código del producto Vendido],STOCK[[#This Row],[Code]])</f>
        <v>0</v>
      </c>
      <c r="L1426" s="96">
        <f>STOCK[[#This Row],[Entradas]]-STOCK[[#This Row],[Salidas]]</f>
        <v>1</v>
      </c>
      <c r="M1426" s="94">
        <f>STOCK[[#This Row],[Precio Final]]*10%</f>
        <v>2</v>
      </c>
      <c r="N1426" s="94">
        <v>0</v>
      </c>
      <c r="O1426" s="94">
        <v>0</v>
      </c>
      <c r="P1426" s="94">
        <v>7.62</v>
      </c>
      <c r="Q1426" s="96">
        <v>0</v>
      </c>
      <c r="R1426" s="94">
        <v>0</v>
      </c>
      <c r="S1426" s="94">
        <v>1.65</v>
      </c>
      <c r="T1426" s="94">
        <f>STOCK[[#This Row],[Costo Unitario (USD)]]+STOCK[[#This Row],[Costo Envío (USD)]]+STOCK[[#This Row],[Comisión 10%]]</f>
        <v>11.27</v>
      </c>
      <c r="U1426" s="76">
        <f>STOCK[[#This Row],[Costo total]]*1.5</f>
        <v>16.905</v>
      </c>
      <c r="V1426" s="94">
        <v>20</v>
      </c>
      <c r="W1426" s="94">
        <f>STOCK[[#This Row],[Precio Final]]-STOCK[[#This Row],[Costo total]]</f>
        <v>8.73</v>
      </c>
      <c r="X1426" s="94">
        <f>STOCK[[#This Row],[Ganancia Unitaria]]*STOCK[[#This Row],[Salidas]]</f>
        <v>0</v>
      </c>
      <c r="Y1426" s="94"/>
      <c r="Z1426" s="94"/>
      <c r="AA1426" s="94">
        <f>STOCK[[#This Row],[Costo total]]*STOCK[[#This Row],[Entradas]]</f>
        <v>11.27</v>
      </c>
      <c r="AB1426" s="94">
        <f>STOCK[[#This Row],[Stock Actual]]*STOCK[[#This Row],[Costo total]]</f>
        <v>11.27</v>
      </c>
      <c r="AC1426" s="94"/>
    </row>
    <row r="1427" s="76" customFormat="1" ht="50" hidden="1" customHeight="1" spans="1:29">
      <c r="A1427" s="76" t="s">
        <v>2891</v>
      </c>
      <c r="B1427" s="95"/>
      <c r="C1427" s="94" t="s">
        <v>30</v>
      </c>
      <c r="D1427" s="94" t="s">
        <v>2626</v>
      </c>
      <c r="E1427" s="94" t="s">
        <v>2889</v>
      </c>
      <c r="F1427" s="94" t="s">
        <v>47</v>
      </c>
      <c r="G1427" s="94"/>
      <c r="H1427" s="94">
        <f>STOCK[[#This Row],[Precio Final]]</f>
        <v>20</v>
      </c>
      <c r="I1427" s="98">
        <f>STOCK[[#This Row],[Precio Venta Ideal (x1.5)]]</f>
        <v>16.905</v>
      </c>
      <c r="J1427" s="96">
        <v>1</v>
      </c>
      <c r="K1427" s="96">
        <f>SUMIFS(VENTAS[Cantidad],VENTAS[Código del producto Vendido],STOCK[[#This Row],[Code]])</f>
        <v>0</v>
      </c>
      <c r="L1427" s="96">
        <f>STOCK[[#This Row],[Entradas]]-STOCK[[#This Row],[Salidas]]</f>
        <v>1</v>
      </c>
      <c r="M1427" s="94">
        <f>STOCK[[#This Row],[Precio Final]]*10%</f>
        <v>2</v>
      </c>
      <c r="N1427" s="94">
        <v>0</v>
      </c>
      <c r="O1427" s="94">
        <v>0</v>
      </c>
      <c r="P1427" s="94">
        <v>7.62</v>
      </c>
      <c r="Q1427" s="96">
        <v>0</v>
      </c>
      <c r="R1427" s="94">
        <v>0</v>
      </c>
      <c r="S1427" s="94">
        <v>1.65</v>
      </c>
      <c r="T1427" s="94">
        <f>STOCK[[#This Row],[Costo Unitario (USD)]]+STOCK[[#This Row],[Costo Envío (USD)]]+STOCK[[#This Row],[Comisión 10%]]</f>
        <v>11.27</v>
      </c>
      <c r="U1427" s="76">
        <f>STOCK[[#This Row],[Costo total]]*1.5</f>
        <v>16.905</v>
      </c>
      <c r="V1427" s="94">
        <v>20</v>
      </c>
      <c r="W1427" s="94">
        <f>STOCK[[#This Row],[Precio Final]]-STOCK[[#This Row],[Costo total]]</f>
        <v>8.73</v>
      </c>
      <c r="X1427" s="94">
        <f>STOCK[[#This Row],[Ganancia Unitaria]]*STOCK[[#This Row],[Salidas]]</f>
        <v>0</v>
      </c>
      <c r="Y1427" s="94"/>
      <c r="Z1427" s="94"/>
      <c r="AA1427" s="94">
        <f>STOCK[[#This Row],[Costo total]]*STOCK[[#This Row],[Entradas]]</f>
        <v>11.27</v>
      </c>
      <c r="AB1427" s="94">
        <f>STOCK[[#This Row],[Stock Actual]]*STOCK[[#This Row],[Costo total]]</f>
        <v>11.27</v>
      </c>
      <c r="AC1427" s="94"/>
    </row>
    <row r="1428" s="76" customFormat="1" ht="50" hidden="1" customHeight="1" spans="1:29">
      <c r="A1428" s="76" t="s">
        <v>2892</v>
      </c>
      <c r="B1428" s="95"/>
      <c r="C1428" s="94" t="s">
        <v>30</v>
      </c>
      <c r="D1428" s="94" t="s">
        <v>2626</v>
      </c>
      <c r="E1428" s="94" t="s">
        <v>2889</v>
      </c>
      <c r="F1428" s="94" t="s">
        <v>44</v>
      </c>
      <c r="G1428" s="94"/>
      <c r="H1428" s="94">
        <f>STOCK[[#This Row],[Precio Final]]</f>
        <v>20</v>
      </c>
      <c r="I1428" s="98">
        <f>STOCK[[#This Row],[Precio Venta Ideal (x1.5)]]</f>
        <v>16.905</v>
      </c>
      <c r="J1428" s="96">
        <v>1</v>
      </c>
      <c r="K1428" s="96">
        <f>SUMIFS(VENTAS[Cantidad],VENTAS[Código del producto Vendido],STOCK[[#This Row],[Code]])</f>
        <v>0</v>
      </c>
      <c r="L1428" s="96">
        <f>STOCK[[#This Row],[Entradas]]-STOCK[[#This Row],[Salidas]]</f>
        <v>1</v>
      </c>
      <c r="M1428" s="94">
        <f>STOCK[[#This Row],[Precio Final]]*10%</f>
        <v>2</v>
      </c>
      <c r="N1428" s="94">
        <v>0</v>
      </c>
      <c r="O1428" s="94">
        <v>0</v>
      </c>
      <c r="P1428" s="94">
        <v>7.62</v>
      </c>
      <c r="Q1428" s="96">
        <v>0</v>
      </c>
      <c r="R1428" s="94">
        <v>0</v>
      </c>
      <c r="S1428" s="94">
        <v>1.65</v>
      </c>
      <c r="T1428" s="94">
        <f>STOCK[[#This Row],[Costo Unitario (USD)]]+STOCK[[#This Row],[Costo Envío (USD)]]+STOCK[[#This Row],[Comisión 10%]]</f>
        <v>11.27</v>
      </c>
      <c r="U1428" s="76">
        <f>STOCK[[#This Row],[Costo total]]*1.5</f>
        <v>16.905</v>
      </c>
      <c r="V1428" s="94">
        <v>20</v>
      </c>
      <c r="W1428" s="94">
        <f>STOCK[[#This Row],[Precio Final]]-STOCK[[#This Row],[Costo total]]</f>
        <v>8.73</v>
      </c>
      <c r="X1428" s="94">
        <f>STOCK[[#This Row],[Ganancia Unitaria]]*STOCK[[#This Row],[Salidas]]</f>
        <v>0</v>
      </c>
      <c r="Y1428" s="94"/>
      <c r="Z1428" s="94"/>
      <c r="AA1428" s="94">
        <f>STOCK[[#This Row],[Costo total]]*STOCK[[#This Row],[Entradas]]</f>
        <v>11.27</v>
      </c>
      <c r="AB1428" s="94">
        <f>STOCK[[#This Row],[Stock Actual]]*STOCK[[#This Row],[Costo total]]</f>
        <v>11.27</v>
      </c>
      <c r="AC1428" s="94"/>
    </row>
    <row r="1429" s="76" customFormat="1" ht="50" hidden="1" customHeight="1" spans="1:29">
      <c r="A1429" s="76" t="s">
        <v>2893</v>
      </c>
      <c r="B1429" s="95"/>
      <c r="C1429" s="94" t="s">
        <v>30</v>
      </c>
      <c r="D1429" s="94" t="s">
        <v>2894</v>
      </c>
      <c r="E1429" s="94" t="s">
        <v>2895</v>
      </c>
      <c r="F1429" s="94" t="s">
        <v>38</v>
      </c>
      <c r="G1429" s="94"/>
      <c r="H1429" s="94">
        <f>STOCK[[#This Row],[Precio Final]]</f>
        <v>15</v>
      </c>
      <c r="I1429" s="98">
        <f>STOCK[[#This Row],[Precio Venta Ideal (x1.5)]]</f>
        <v>11.82</v>
      </c>
      <c r="J1429" s="96">
        <v>2</v>
      </c>
      <c r="K1429" s="96">
        <f>SUMIFS(VENTAS[Cantidad],VENTAS[Código del producto Vendido],STOCK[[#This Row],[Code]])</f>
        <v>1</v>
      </c>
      <c r="L1429" s="96">
        <f>STOCK[[#This Row],[Entradas]]-STOCK[[#This Row],[Salidas]]</f>
        <v>1</v>
      </c>
      <c r="M1429" s="94">
        <f>STOCK[[#This Row],[Precio Final]]*10%</f>
        <v>1.5</v>
      </c>
      <c r="N1429" s="94">
        <v>0</v>
      </c>
      <c r="O1429" s="94">
        <v>0</v>
      </c>
      <c r="P1429" s="94">
        <v>4.73</v>
      </c>
      <c r="Q1429" s="96">
        <v>0</v>
      </c>
      <c r="R1429" s="94">
        <v>0</v>
      </c>
      <c r="S1429" s="94">
        <v>1.65</v>
      </c>
      <c r="T1429" s="94">
        <f>STOCK[[#This Row],[Costo Unitario (USD)]]+STOCK[[#This Row],[Costo Envío (USD)]]+STOCK[[#This Row],[Comisión 10%]]</f>
        <v>7.88</v>
      </c>
      <c r="U1429" s="76">
        <f>STOCK[[#This Row],[Costo total]]*1.5</f>
        <v>11.82</v>
      </c>
      <c r="V1429" s="94">
        <v>15</v>
      </c>
      <c r="W1429" s="94">
        <f>STOCK[[#This Row],[Precio Final]]-STOCK[[#This Row],[Costo total]]</f>
        <v>7.12</v>
      </c>
      <c r="X1429" s="94">
        <f>STOCK[[#This Row],[Ganancia Unitaria]]*STOCK[[#This Row],[Salidas]]</f>
        <v>7.12</v>
      </c>
      <c r="Y1429" s="94"/>
      <c r="Z1429" s="94"/>
      <c r="AA1429" s="94">
        <f>STOCK[[#This Row],[Costo total]]*STOCK[[#This Row],[Entradas]]</f>
        <v>15.76</v>
      </c>
      <c r="AB1429" s="94">
        <f>STOCK[[#This Row],[Stock Actual]]*STOCK[[#This Row],[Costo total]]</f>
        <v>7.88</v>
      </c>
      <c r="AC1429" s="94"/>
    </row>
    <row r="1430" s="76" customFormat="1" ht="50" hidden="1" customHeight="1" spans="1:29">
      <c r="A1430" s="76" t="s">
        <v>2896</v>
      </c>
      <c r="B1430" s="95"/>
      <c r="C1430" s="94" t="s">
        <v>30</v>
      </c>
      <c r="D1430" s="94" t="s">
        <v>2894</v>
      </c>
      <c r="E1430" s="94" t="s">
        <v>2895</v>
      </c>
      <c r="F1430" s="94" t="s">
        <v>60</v>
      </c>
      <c r="G1430" s="94"/>
      <c r="H1430" s="94">
        <f>STOCK[[#This Row],[Precio Final]]</f>
        <v>15</v>
      </c>
      <c r="I1430" s="98">
        <f>STOCK[[#This Row],[Precio Venta Ideal (x1.5)]]</f>
        <v>11.82</v>
      </c>
      <c r="J1430" s="96">
        <v>3</v>
      </c>
      <c r="K1430" s="96">
        <f>SUMIFS(VENTAS[Cantidad],VENTAS[Código del producto Vendido],STOCK[[#This Row],[Code]])</f>
        <v>0</v>
      </c>
      <c r="L1430" s="96">
        <f>STOCK[[#This Row],[Entradas]]-STOCK[[#This Row],[Salidas]]</f>
        <v>3</v>
      </c>
      <c r="M1430" s="94">
        <f>STOCK[[#This Row],[Precio Final]]*10%</f>
        <v>1.5</v>
      </c>
      <c r="N1430" s="94">
        <v>0</v>
      </c>
      <c r="O1430" s="94">
        <v>0</v>
      </c>
      <c r="P1430" s="94">
        <v>4.73</v>
      </c>
      <c r="Q1430" s="96">
        <v>0</v>
      </c>
      <c r="R1430" s="94">
        <v>0</v>
      </c>
      <c r="S1430" s="94">
        <v>1.65</v>
      </c>
      <c r="T1430" s="94">
        <f>STOCK[[#This Row],[Costo Unitario (USD)]]+STOCK[[#This Row],[Costo Envío (USD)]]+STOCK[[#This Row],[Comisión 10%]]</f>
        <v>7.88</v>
      </c>
      <c r="U1430" s="76">
        <f>STOCK[[#This Row],[Costo total]]*1.5</f>
        <v>11.82</v>
      </c>
      <c r="V1430" s="94">
        <v>15</v>
      </c>
      <c r="W1430" s="94">
        <f>STOCK[[#This Row],[Precio Final]]-STOCK[[#This Row],[Costo total]]</f>
        <v>7.12</v>
      </c>
      <c r="X1430" s="94">
        <f>STOCK[[#This Row],[Ganancia Unitaria]]*STOCK[[#This Row],[Salidas]]</f>
        <v>0</v>
      </c>
      <c r="Y1430" s="94"/>
      <c r="Z1430" s="94"/>
      <c r="AA1430" s="94">
        <f>STOCK[[#This Row],[Costo total]]*STOCK[[#This Row],[Entradas]]</f>
        <v>23.64</v>
      </c>
      <c r="AB1430" s="94">
        <f>STOCK[[#This Row],[Stock Actual]]*STOCK[[#This Row],[Costo total]]</f>
        <v>23.64</v>
      </c>
      <c r="AC1430" s="94"/>
    </row>
    <row r="1431" s="76" customFormat="1" ht="50" hidden="1" customHeight="1" spans="1:29">
      <c r="A1431" s="76" t="s">
        <v>2897</v>
      </c>
      <c r="B1431" s="95"/>
      <c r="C1431" s="94" t="s">
        <v>30</v>
      </c>
      <c r="D1431" s="94" t="s">
        <v>2894</v>
      </c>
      <c r="E1431" s="94" t="s">
        <v>2895</v>
      </c>
      <c r="F1431" s="94" t="s">
        <v>47</v>
      </c>
      <c r="G1431" s="94"/>
      <c r="H1431" s="94">
        <f>STOCK[[#This Row],[Precio Final]]</f>
        <v>15</v>
      </c>
      <c r="I1431" s="98">
        <f>STOCK[[#This Row],[Precio Venta Ideal (x1.5)]]</f>
        <v>11.82</v>
      </c>
      <c r="J1431" s="96">
        <v>2</v>
      </c>
      <c r="K1431" s="96">
        <f>SUMIFS(VENTAS[Cantidad],VENTAS[Código del producto Vendido],STOCK[[#This Row],[Code]])</f>
        <v>0</v>
      </c>
      <c r="L1431" s="96">
        <f>STOCK[[#This Row],[Entradas]]-STOCK[[#This Row],[Salidas]]</f>
        <v>2</v>
      </c>
      <c r="M1431" s="94">
        <f>STOCK[[#This Row],[Precio Final]]*10%</f>
        <v>1.5</v>
      </c>
      <c r="N1431" s="94">
        <v>0</v>
      </c>
      <c r="O1431" s="94">
        <v>0</v>
      </c>
      <c r="P1431" s="94">
        <v>4.73</v>
      </c>
      <c r="Q1431" s="96">
        <v>0</v>
      </c>
      <c r="R1431" s="94">
        <v>0</v>
      </c>
      <c r="S1431" s="94">
        <v>1.65</v>
      </c>
      <c r="T1431" s="94">
        <f>STOCK[[#This Row],[Costo Unitario (USD)]]+STOCK[[#This Row],[Costo Envío (USD)]]+STOCK[[#This Row],[Comisión 10%]]</f>
        <v>7.88</v>
      </c>
      <c r="U1431" s="76">
        <f>STOCK[[#This Row],[Costo total]]*1.5</f>
        <v>11.82</v>
      </c>
      <c r="V1431" s="94">
        <v>15</v>
      </c>
      <c r="W1431" s="94">
        <f>STOCK[[#This Row],[Precio Final]]-STOCK[[#This Row],[Costo total]]</f>
        <v>7.12</v>
      </c>
      <c r="X1431" s="94">
        <f>STOCK[[#This Row],[Ganancia Unitaria]]*STOCK[[#This Row],[Salidas]]</f>
        <v>0</v>
      </c>
      <c r="Y1431" s="94"/>
      <c r="Z1431" s="94"/>
      <c r="AA1431" s="94">
        <f>STOCK[[#This Row],[Costo total]]*STOCK[[#This Row],[Entradas]]</f>
        <v>15.76</v>
      </c>
      <c r="AB1431" s="94">
        <f>STOCK[[#This Row],[Stock Actual]]*STOCK[[#This Row],[Costo total]]</f>
        <v>15.76</v>
      </c>
      <c r="AC1431" s="94"/>
    </row>
    <row r="1432" s="76" customFormat="1" ht="50" hidden="1" customHeight="1" spans="1:29">
      <c r="A1432" s="76" t="s">
        <v>2898</v>
      </c>
      <c r="B1432" s="95"/>
      <c r="C1432" s="94" t="s">
        <v>30</v>
      </c>
      <c r="D1432" s="94" t="s">
        <v>2894</v>
      </c>
      <c r="E1432" s="94" t="s">
        <v>2895</v>
      </c>
      <c r="F1432" s="94" t="s">
        <v>44</v>
      </c>
      <c r="G1432" s="94"/>
      <c r="H1432" s="94">
        <f>STOCK[[#This Row],[Precio Final]]</f>
        <v>15</v>
      </c>
      <c r="I1432" s="98">
        <f>STOCK[[#This Row],[Precio Venta Ideal (x1.5)]]</f>
        <v>11.82</v>
      </c>
      <c r="J1432" s="96">
        <v>2</v>
      </c>
      <c r="K1432" s="96">
        <f>SUMIFS(VENTAS[Cantidad],VENTAS[Código del producto Vendido],STOCK[[#This Row],[Code]])</f>
        <v>1</v>
      </c>
      <c r="L1432" s="96">
        <f>STOCK[[#This Row],[Entradas]]-STOCK[[#This Row],[Salidas]]</f>
        <v>1</v>
      </c>
      <c r="M1432" s="94">
        <f>STOCK[[#This Row],[Precio Final]]*10%</f>
        <v>1.5</v>
      </c>
      <c r="N1432" s="94">
        <v>0</v>
      </c>
      <c r="O1432" s="94">
        <v>0</v>
      </c>
      <c r="P1432" s="94">
        <v>4.73</v>
      </c>
      <c r="Q1432" s="96">
        <v>0</v>
      </c>
      <c r="R1432" s="94">
        <v>0</v>
      </c>
      <c r="S1432" s="94">
        <v>1.65</v>
      </c>
      <c r="T1432" s="94">
        <f>STOCK[[#This Row],[Costo Unitario (USD)]]+STOCK[[#This Row],[Costo Envío (USD)]]+STOCK[[#This Row],[Comisión 10%]]</f>
        <v>7.88</v>
      </c>
      <c r="U1432" s="76">
        <f>STOCK[[#This Row],[Costo total]]*1.5</f>
        <v>11.82</v>
      </c>
      <c r="V1432" s="94">
        <v>15</v>
      </c>
      <c r="W1432" s="94">
        <f>STOCK[[#This Row],[Precio Final]]-STOCK[[#This Row],[Costo total]]</f>
        <v>7.12</v>
      </c>
      <c r="X1432" s="94">
        <f>STOCK[[#This Row],[Ganancia Unitaria]]*STOCK[[#This Row],[Salidas]]</f>
        <v>7.12</v>
      </c>
      <c r="Y1432" s="94"/>
      <c r="Z1432" s="94"/>
      <c r="AA1432" s="94">
        <f>STOCK[[#This Row],[Costo total]]*STOCK[[#This Row],[Entradas]]</f>
        <v>15.76</v>
      </c>
      <c r="AB1432" s="94">
        <f>STOCK[[#This Row],[Stock Actual]]*STOCK[[#This Row],[Costo total]]</f>
        <v>7.88</v>
      </c>
      <c r="AC1432" s="94"/>
    </row>
    <row r="1433" s="76" customFormat="1" ht="50" hidden="1" customHeight="1" spans="1:29">
      <c r="A1433" s="76" t="s">
        <v>2899</v>
      </c>
      <c r="B1433" s="95"/>
      <c r="C1433" s="94" t="s">
        <v>30</v>
      </c>
      <c r="D1433" s="94" t="s">
        <v>2894</v>
      </c>
      <c r="E1433" s="94" t="s">
        <v>2900</v>
      </c>
      <c r="F1433" s="94" t="s">
        <v>38</v>
      </c>
      <c r="G1433" s="94"/>
      <c r="H1433" s="94">
        <f>STOCK[[#This Row],[Precio Final]]</f>
        <v>15</v>
      </c>
      <c r="I1433" s="98">
        <f>STOCK[[#This Row],[Precio Venta Ideal (x1.5)]]</f>
        <v>14.46</v>
      </c>
      <c r="J1433" s="96">
        <v>2</v>
      </c>
      <c r="K1433" s="96">
        <f>SUMIFS(VENTAS[Cantidad],VENTAS[Código del producto Vendido],STOCK[[#This Row],[Code]])</f>
        <v>0</v>
      </c>
      <c r="L1433" s="96">
        <f>STOCK[[#This Row],[Entradas]]-STOCK[[#This Row],[Salidas]]</f>
        <v>2</v>
      </c>
      <c r="M1433" s="94">
        <f>STOCK[[#This Row],[Precio Final]]*10%</f>
        <v>1.5</v>
      </c>
      <c r="N1433" s="94">
        <v>0</v>
      </c>
      <c r="O1433" s="94">
        <v>0</v>
      </c>
      <c r="P1433" s="94">
        <v>6.49</v>
      </c>
      <c r="Q1433" s="96">
        <v>0</v>
      </c>
      <c r="R1433" s="94">
        <v>0</v>
      </c>
      <c r="S1433" s="94">
        <v>1.65</v>
      </c>
      <c r="T1433" s="94">
        <f>STOCK[[#This Row],[Costo Unitario (USD)]]+STOCK[[#This Row],[Costo Envío (USD)]]+STOCK[[#This Row],[Comisión 10%]]</f>
        <v>9.64</v>
      </c>
      <c r="U1433" s="76">
        <f>STOCK[[#This Row],[Costo total]]*1.5</f>
        <v>14.46</v>
      </c>
      <c r="V1433" s="99">
        <v>15</v>
      </c>
      <c r="W1433" s="94">
        <f>STOCK[[#This Row],[Precio Final]]-STOCK[[#This Row],[Costo total]]</f>
        <v>5.36</v>
      </c>
      <c r="X1433" s="94">
        <f>STOCK[[#This Row],[Ganancia Unitaria]]*STOCK[[#This Row],[Salidas]]</f>
        <v>0</v>
      </c>
      <c r="Y1433" s="94"/>
      <c r="Z1433" s="94"/>
      <c r="AA1433" s="94">
        <f>STOCK[[#This Row],[Costo total]]*STOCK[[#This Row],[Entradas]]</f>
        <v>19.28</v>
      </c>
      <c r="AB1433" s="94">
        <f>STOCK[[#This Row],[Stock Actual]]*STOCK[[#This Row],[Costo total]]</f>
        <v>19.28</v>
      </c>
      <c r="AC1433" s="94"/>
    </row>
    <row r="1434" s="76" customFormat="1" ht="50" hidden="1" customHeight="1" spans="1:29">
      <c r="A1434" s="76" t="s">
        <v>2901</v>
      </c>
      <c r="B1434" s="95"/>
      <c r="C1434" s="94" t="s">
        <v>30</v>
      </c>
      <c r="D1434" s="94" t="s">
        <v>2894</v>
      </c>
      <c r="E1434" s="94" t="s">
        <v>2900</v>
      </c>
      <c r="F1434" s="94" t="s">
        <v>60</v>
      </c>
      <c r="G1434" s="94"/>
      <c r="H1434" s="94">
        <f>STOCK[[#This Row],[Precio Final]]</f>
        <v>15</v>
      </c>
      <c r="I1434" s="98">
        <f>STOCK[[#This Row],[Precio Venta Ideal (x1.5)]]</f>
        <v>14.475</v>
      </c>
      <c r="J1434" s="96">
        <v>2</v>
      </c>
      <c r="K1434" s="96">
        <f>SUMIFS(VENTAS[Cantidad],VENTAS[Código del producto Vendido],STOCK[[#This Row],[Code]])</f>
        <v>0</v>
      </c>
      <c r="L1434" s="96">
        <f>STOCK[[#This Row],[Entradas]]-STOCK[[#This Row],[Salidas]]</f>
        <v>2</v>
      </c>
      <c r="M1434" s="94">
        <f>STOCK[[#This Row],[Precio Final]]*10%</f>
        <v>1.5</v>
      </c>
      <c r="N1434" s="94">
        <v>0</v>
      </c>
      <c r="O1434" s="94">
        <v>0</v>
      </c>
      <c r="P1434" s="94">
        <v>6.5</v>
      </c>
      <c r="Q1434" s="96">
        <v>0</v>
      </c>
      <c r="R1434" s="94">
        <v>0</v>
      </c>
      <c r="S1434" s="94">
        <v>1.65</v>
      </c>
      <c r="T1434" s="94">
        <f>STOCK[[#This Row],[Costo Unitario (USD)]]+STOCK[[#This Row],[Costo Envío (USD)]]+STOCK[[#This Row],[Comisión 10%]]</f>
        <v>9.65</v>
      </c>
      <c r="U1434" s="76">
        <f>STOCK[[#This Row],[Costo total]]*1.5</f>
        <v>14.475</v>
      </c>
      <c r="V1434" s="94">
        <v>15</v>
      </c>
      <c r="W1434" s="94">
        <f>STOCK[[#This Row],[Precio Final]]-STOCK[[#This Row],[Costo total]]</f>
        <v>5.35</v>
      </c>
      <c r="X1434" s="94">
        <f>STOCK[[#This Row],[Ganancia Unitaria]]*STOCK[[#This Row],[Salidas]]</f>
        <v>0</v>
      </c>
      <c r="Y1434" s="94"/>
      <c r="Z1434" s="94"/>
      <c r="AA1434" s="94">
        <f>STOCK[[#This Row],[Costo total]]*STOCK[[#This Row],[Entradas]]</f>
        <v>19.3</v>
      </c>
      <c r="AB1434" s="94">
        <f>STOCK[[#This Row],[Stock Actual]]*STOCK[[#This Row],[Costo total]]</f>
        <v>19.3</v>
      </c>
      <c r="AC1434" s="94"/>
    </row>
    <row r="1435" s="76" customFormat="1" ht="50" hidden="1" customHeight="1" spans="1:29">
      <c r="A1435" s="76" t="s">
        <v>2902</v>
      </c>
      <c r="B1435" s="95"/>
      <c r="C1435" s="94" t="s">
        <v>30</v>
      </c>
      <c r="D1435" s="94" t="s">
        <v>2894</v>
      </c>
      <c r="E1435" s="94" t="s">
        <v>2900</v>
      </c>
      <c r="F1435" s="94" t="s">
        <v>47</v>
      </c>
      <c r="G1435" s="94"/>
      <c r="H1435" s="94">
        <f>STOCK[[#This Row],[Precio Final]]</f>
        <v>15</v>
      </c>
      <c r="I1435" s="98">
        <f>STOCK[[#This Row],[Precio Venta Ideal (x1.5)]]</f>
        <v>14.46</v>
      </c>
      <c r="J1435" s="96">
        <v>2</v>
      </c>
      <c r="K1435" s="96">
        <f>SUMIFS(VENTAS[Cantidad],VENTAS[Código del producto Vendido],STOCK[[#This Row],[Code]])</f>
        <v>0</v>
      </c>
      <c r="L1435" s="96">
        <f>STOCK[[#This Row],[Entradas]]-STOCK[[#This Row],[Salidas]]</f>
        <v>2</v>
      </c>
      <c r="M1435" s="94">
        <f>STOCK[[#This Row],[Precio Final]]*10%</f>
        <v>1.5</v>
      </c>
      <c r="N1435" s="94">
        <v>0</v>
      </c>
      <c r="O1435" s="94">
        <v>0</v>
      </c>
      <c r="P1435" s="94">
        <v>6.49</v>
      </c>
      <c r="Q1435" s="96">
        <v>0</v>
      </c>
      <c r="R1435" s="94">
        <v>0</v>
      </c>
      <c r="S1435" s="94">
        <v>1.65</v>
      </c>
      <c r="T1435" s="94">
        <f>STOCK[[#This Row],[Costo Unitario (USD)]]+STOCK[[#This Row],[Costo Envío (USD)]]+STOCK[[#This Row],[Comisión 10%]]</f>
        <v>9.64</v>
      </c>
      <c r="U1435" s="76">
        <f>STOCK[[#This Row],[Costo total]]*1.5</f>
        <v>14.46</v>
      </c>
      <c r="V1435" s="94">
        <v>15</v>
      </c>
      <c r="W1435" s="94">
        <f>STOCK[[#This Row],[Precio Final]]-STOCK[[#This Row],[Costo total]]</f>
        <v>5.36</v>
      </c>
      <c r="X1435" s="94">
        <f>STOCK[[#This Row],[Ganancia Unitaria]]*STOCK[[#This Row],[Salidas]]</f>
        <v>0</v>
      </c>
      <c r="Y1435" s="94"/>
      <c r="Z1435" s="94"/>
      <c r="AA1435" s="94">
        <f>STOCK[[#This Row],[Costo total]]*STOCK[[#This Row],[Entradas]]</f>
        <v>19.28</v>
      </c>
      <c r="AB1435" s="94">
        <f>STOCK[[#This Row],[Stock Actual]]*STOCK[[#This Row],[Costo total]]</f>
        <v>19.28</v>
      </c>
      <c r="AC1435" s="94"/>
    </row>
    <row r="1436" s="76" customFormat="1" ht="50" hidden="1" customHeight="1" spans="1:29">
      <c r="A1436" s="76" t="s">
        <v>2903</v>
      </c>
      <c r="B1436" s="95"/>
      <c r="C1436" s="94" t="s">
        <v>30</v>
      </c>
      <c r="D1436" s="94" t="s">
        <v>2894</v>
      </c>
      <c r="E1436" s="94" t="s">
        <v>2900</v>
      </c>
      <c r="F1436" s="94" t="s">
        <v>44</v>
      </c>
      <c r="G1436" s="94"/>
      <c r="H1436" s="94">
        <f>STOCK[[#This Row],[Precio Final]]</f>
        <v>15</v>
      </c>
      <c r="I1436" s="98">
        <f>STOCK[[#This Row],[Precio Venta Ideal (x1.5)]]</f>
        <v>14.475</v>
      </c>
      <c r="J1436" s="96">
        <v>2</v>
      </c>
      <c r="K1436" s="96">
        <f>SUMIFS(VENTAS[Cantidad],VENTAS[Código del producto Vendido],STOCK[[#This Row],[Code]])</f>
        <v>1</v>
      </c>
      <c r="L1436" s="96">
        <f>STOCK[[#This Row],[Entradas]]-STOCK[[#This Row],[Salidas]]</f>
        <v>1</v>
      </c>
      <c r="M1436" s="94">
        <f>STOCK[[#This Row],[Precio Final]]*10%</f>
        <v>1.5</v>
      </c>
      <c r="N1436" s="94">
        <v>0</v>
      </c>
      <c r="O1436" s="94">
        <v>0</v>
      </c>
      <c r="P1436" s="94">
        <v>6.5</v>
      </c>
      <c r="Q1436" s="96">
        <v>0</v>
      </c>
      <c r="R1436" s="94">
        <v>0</v>
      </c>
      <c r="S1436" s="94">
        <v>1.65</v>
      </c>
      <c r="T1436" s="94">
        <f>STOCK[[#This Row],[Costo Unitario (USD)]]+STOCK[[#This Row],[Costo Envío (USD)]]+STOCK[[#This Row],[Comisión 10%]]</f>
        <v>9.65</v>
      </c>
      <c r="U1436" s="76">
        <f>STOCK[[#This Row],[Costo total]]*1.5</f>
        <v>14.475</v>
      </c>
      <c r="V1436" s="94">
        <v>15</v>
      </c>
      <c r="W1436" s="94">
        <f>STOCK[[#This Row],[Precio Final]]-STOCK[[#This Row],[Costo total]]</f>
        <v>5.35</v>
      </c>
      <c r="X1436" s="94">
        <f>STOCK[[#This Row],[Ganancia Unitaria]]*STOCK[[#This Row],[Salidas]]</f>
        <v>5.35</v>
      </c>
      <c r="Y1436" s="94"/>
      <c r="Z1436" s="94"/>
      <c r="AA1436" s="94">
        <f>STOCK[[#This Row],[Costo total]]*STOCK[[#This Row],[Entradas]]</f>
        <v>19.3</v>
      </c>
      <c r="AB1436" s="94">
        <f>STOCK[[#This Row],[Stock Actual]]*STOCK[[#This Row],[Costo total]]</f>
        <v>9.65</v>
      </c>
      <c r="AC1436" s="94"/>
    </row>
    <row r="1437" s="76" customFormat="1" ht="50" hidden="1" customHeight="1" spans="1:29">
      <c r="A1437" s="76" t="s">
        <v>2904</v>
      </c>
      <c r="B1437" s="95"/>
      <c r="C1437" s="94" t="s">
        <v>30</v>
      </c>
      <c r="D1437" s="94" t="s">
        <v>2894</v>
      </c>
      <c r="E1437" s="94" t="s">
        <v>2905</v>
      </c>
      <c r="F1437" s="94" t="s">
        <v>40</v>
      </c>
      <c r="G1437" s="94"/>
      <c r="H1437" s="94">
        <f>STOCK[[#This Row],[Precio Final]]</f>
        <v>15</v>
      </c>
      <c r="I1437" s="98">
        <f>STOCK[[#This Row],[Precio Venta Ideal (x1.5)]]</f>
        <v>11.31</v>
      </c>
      <c r="J1437" s="96">
        <v>2</v>
      </c>
      <c r="K1437" s="96">
        <f>SUMIFS(VENTAS[Cantidad],VENTAS[Código del producto Vendido],STOCK[[#This Row],[Code]])</f>
        <v>0</v>
      </c>
      <c r="L1437" s="96">
        <f>STOCK[[#This Row],[Entradas]]-STOCK[[#This Row],[Salidas]]</f>
        <v>2</v>
      </c>
      <c r="M1437" s="94">
        <f>STOCK[[#This Row],[Precio Final]]*10%</f>
        <v>1.5</v>
      </c>
      <c r="N1437" s="94">
        <v>0</v>
      </c>
      <c r="O1437" s="94">
        <v>0</v>
      </c>
      <c r="P1437" s="94">
        <v>4.39</v>
      </c>
      <c r="Q1437" s="96">
        <v>0</v>
      </c>
      <c r="R1437" s="94">
        <v>0</v>
      </c>
      <c r="S1437" s="94">
        <v>1.65</v>
      </c>
      <c r="T1437" s="94">
        <f>STOCK[[#This Row],[Costo Unitario (USD)]]+STOCK[[#This Row],[Costo Envío (USD)]]+STOCK[[#This Row],[Comisión 10%]]</f>
        <v>7.54</v>
      </c>
      <c r="U1437" s="76">
        <f>STOCK[[#This Row],[Costo total]]*1.5</f>
        <v>11.31</v>
      </c>
      <c r="V1437" s="94">
        <v>15</v>
      </c>
      <c r="W1437" s="94">
        <f>STOCK[[#This Row],[Precio Final]]-STOCK[[#This Row],[Costo total]]</f>
        <v>7.46</v>
      </c>
      <c r="X1437" s="94">
        <f>STOCK[[#This Row],[Ganancia Unitaria]]*STOCK[[#This Row],[Salidas]]</f>
        <v>0</v>
      </c>
      <c r="Y1437" s="94"/>
      <c r="Z1437" s="94"/>
      <c r="AA1437" s="94">
        <f>STOCK[[#This Row],[Costo total]]*STOCK[[#This Row],[Entradas]]</f>
        <v>15.08</v>
      </c>
      <c r="AB1437" s="94">
        <f>STOCK[[#This Row],[Stock Actual]]*STOCK[[#This Row],[Costo total]]</f>
        <v>15.08</v>
      </c>
      <c r="AC1437" s="94"/>
    </row>
    <row r="1438" s="76" customFormat="1" ht="50" hidden="1" customHeight="1" spans="1:29">
      <c r="A1438" s="76" t="s">
        <v>2906</v>
      </c>
      <c r="B1438" s="95"/>
      <c r="C1438" s="94" t="s">
        <v>30</v>
      </c>
      <c r="D1438" s="94" t="s">
        <v>2894</v>
      </c>
      <c r="E1438" s="94" t="s">
        <v>2907</v>
      </c>
      <c r="F1438" s="94" t="s">
        <v>40</v>
      </c>
      <c r="G1438" s="94"/>
      <c r="H1438" s="94">
        <f>STOCK[[#This Row],[Precio Final]]</f>
        <v>15</v>
      </c>
      <c r="I1438" s="98">
        <f>STOCK[[#This Row],[Precio Venta Ideal (x1.5)]]</f>
        <v>12.135</v>
      </c>
      <c r="J1438" s="96">
        <v>2</v>
      </c>
      <c r="K1438" s="96">
        <f>SUMIFS(VENTAS[Cantidad],VENTAS[Código del producto Vendido],STOCK[[#This Row],[Code]])</f>
        <v>0</v>
      </c>
      <c r="L1438" s="96">
        <f>STOCK[[#This Row],[Entradas]]-STOCK[[#This Row],[Salidas]]</f>
        <v>2</v>
      </c>
      <c r="M1438" s="94">
        <f>STOCK[[#This Row],[Precio Final]]*10%</f>
        <v>1.5</v>
      </c>
      <c r="N1438" s="94">
        <v>0</v>
      </c>
      <c r="O1438" s="94">
        <v>0</v>
      </c>
      <c r="P1438" s="94">
        <v>4.94</v>
      </c>
      <c r="Q1438" s="96">
        <v>0</v>
      </c>
      <c r="R1438" s="94">
        <v>0</v>
      </c>
      <c r="S1438" s="94">
        <v>1.65</v>
      </c>
      <c r="T1438" s="94">
        <f>STOCK[[#This Row],[Costo Unitario (USD)]]+STOCK[[#This Row],[Costo Envío (USD)]]+STOCK[[#This Row],[Comisión 10%]]</f>
        <v>8.09</v>
      </c>
      <c r="U1438" s="76">
        <f>STOCK[[#This Row],[Costo total]]*1.5</f>
        <v>12.135</v>
      </c>
      <c r="V1438" s="94">
        <v>15</v>
      </c>
      <c r="W1438" s="94">
        <f>STOCK[[#This Row],[Precio Final]]-STOCK[[#This Row],[Costo total]]</f>
        <v>6.91</v>
      </c>
      <c r="X1438" s="94">
        <f>STOCK[[#This Row],[Ganancia Unitaria]]*STOCK[[#This Row],[Salidas]]</f>
        <v>0</v>
      </c>
      <c r="Y1438" s="94"/>
      <c r="Z1438" s="94"/>
      <c r="AA1438" s="94">
        <f>STOCK[[#This Row],[Costo total]]*STOCK[[#This Row],[Entradas]]</f>
        <v>16.18</v>
      </c>
      <c r="AB1438" s="94">
        <f>STOCK[[#This Row],[Stock Actual]]*STOCK[[#This Row],[Costo total]]</f>
        <v>16.18</v>
      </c>
      <c r="AC1438" s="94"/>
    </row>
    <row r="1439" s="76" customFormat="1" ht="50" hidden="1" customHeight="1" spans="1:29">
      <c r="A1439" s="76" t="s">
        <v>2908</v>
      </c>
      <c r="B1439" s="95"/>
      <c r="C1439" s="94" t="s">
        <v>30</v>
      </c>
      <c r="D1439" s="94" t="s">
        <v>2894</v>
      </c>
      <c r="E1439" s="94" t="s">
        <v>2909</v>
      </c>
      <c r="F1439" s="94" t="s">
        <v>40</v>
      </c>
      <c r="G1439" s="94"/>
      <c r="H1439" s="94">
        <f>STOCK[[#This Row],[Precio Final]]</f>
        <v>15</v>
      </c>
      <c r="I1439" s="98">
        <f>STOCK[[#This Row],[Precio Venta Ideal (x1.5)]]</f>
        <v>11.16</v>
      </c>
      <c r="J1439" s="96">
        <v>2</v>
      </c>
      <c r="K1439" s="96">
        <f>SUMIFS(VENTAS[Cantidad],VENTAS[Código del producto Vendido],STOCK[[#This Row],[Code]])</f>
        <v>0</v>
      </c>
      <c r="L1439" s="96">
        <f>STOCK[[#This Row],[Entradas]]-STOCK[[#This Row],[Salidas]]</f>
        <v>2</v>
      </c>
      <c r="M1439" s="94">
        <f>STOCK[[#This Row],[Precio Final]]*10%</f>
        <v>1.5</v>
      </c>
      <c r="N1439" s="94">
        <v>0</v>
      </c>
      <c r="O1439" s="94">
        <v>0</v>
      </c>
      <c r="P1439" s="94">
        <v>4.29</v>
      </c>
      <c r="Q1439" s="96">
        <v>0</v>
      </c>
      <c r="R1439" s="94">
        <v>0</v>
      </c>
      <c r="S1439" s="94">
        <v>1.65</v>
      </c>
      <c r="T1439" s="94">
        <f>STOCK[[#This Row],[Costo Unitario (USD)]]+STOCK[[#This Row],[Costo Envío (USD)]]+STOCK[[#This Row],[Comisión 10%]]</f>
        <v>7.44</v>
      </c>
      <c r="U1439" s="76">
        <f>STOCK[[#This Row],[Costo total]]*1.5</f>
        <v>11.16</v>
      </c>
      <c r="V1439" s="94">
        <v>15</v>
      </c>
      <c r="W1439" s="94">
        <f>STOCK[[#This Row],[Precio Final]]-STOCK[[#This Row],[Costo total]]</f>
        <v>7.56</v>
      </c>
      <c r="X1439" s="94">
        <f>STOCK[[#This Row],[Ganancia Unitaria]]*STOCK[[#This Row],[Salidas]]</f>
        <v>0</v>
      </c>
      <c r="Y1439" s="94"/>
      <c r="Z1439" s="94"/>
      <c r="AA1439" s="94">
        <f>STOCK[[#This Row],[Costo total]]*STOCK[[#This Row],[Entradas]]</f>
        <v>14.88</v>
      </c>
      <c r="AB1439" s="94">
        <f>STOCK[[#This Row],[Stock Actual]]*STOCK[[#This Row],[Costo total]]</f>
        <v>14.88</v>
      </c>
      <c r="AC1439" s="94"/>
    </row>
    <row r="1440" s="76" customFormat="1" ht="50" hidden="1" customHeight="1" spans="1:29">
      <c r="A1440" s="76" t="s">
        <v>2910</v>
      </c>
      <c r="B1440" s="95"/>
      <c r="C1440" s="94" t="s">
        <v>30</v>
      </c>
      <c r="D1440" s="94" t="s">
        <v>1188</v>
      </c>
      <c r="E1440" s="94" t="s">
        <v>2911</v>
      </c>
      <c r="F1440" s="94" t="s">
        <v>38</v>
      </c>
      <c r="G1440" s="94"/>
      <c r="H1440" s="94">
        <f>STOCK[[#This Row],[Precio Final]]</f>
        <v>25</v>
      </c>
      <c r="I1440" s="98">
        <f>STOCK[[#This Row],[Precio Venta Ideal (x1.5)]]</f>
        <v>21.675</v>
      </c>
      <c r="J1440" s="96">
        <v>2</v>
      </c>
      <c r="K1440" s="96">
        <f>SUMIFS(VENTAS[Cantidad],VENTAS[Código del producto Vendido],STOCK[[#This Row],[Code]])</f>
        <v>0</v>
      </c>
      <c r="L1440" s="96">
        <f>STOCK[[#This Row],[Entradas]]-STOCK[[#This Row],[Salidas]]</f>
        <v>2</v>
      </c>
      <c r="M1440" s="94">
        <f>STOCK[[#This Row],[Precio Final]]*10%</f>
        <v>2.5</v>
      </c>
      <c r="N1440" s="94">
        <v>0</v>
      </c>
      <c r="O1440" s="94">
        <v>0</v>
      </c>
      <c r="P1440" s="94">
        <v>10.3</v>
      </c>
      <c r="Q1440" s="96">
        <v>0</v>
      </c>
      <c r="R1440" s="94">
        <v>0</v>
      </c>
      <c r="S1440" s="94">
        <v>1.65</v>
      </c>
      <c r="T1440" s="94">
        <f>STOCK[[#This Row],[Costo Unitario (USD)]]+STOCK[[#This Row],[Costo Envío (USD)]]+STOCK[[#This Row],[Comisión 10%]]</f>
        <v>14.45</v>
      </c>
      <c r="U1440" s="76">
        <f>STOCK[[#This Row],[Costo total]]*1.5</f>
        <v>21.675</v>
      </c>
      <c r="V1440" s="94">
        <v>25</v>
      </c>
      <c r="W1440" s="94">
        <f>STOCK[[#This Row],[Precio Final]]-STOCK[[#This Row],[Costo total]]</f>
        <v>10.55</v>
      </c>
      <c r="X1440" s="94">
        <f>STOCK[[#This Row],[Ganancia Unitaria]]*STOCK[[#This Row],[Salidas]]</f>
        <v>0</v>
      </c>
      <c r="Y1440" s="94"/>
      <c r="Z1440" s="94"/>
      <c r="AA1440" s="94">
        <f>STOCK[[#This Row],[Costo total]]*STOCK[[#This Row],[Entradas]]</f>
        <v>28.9</v>
      </c>
      <c r="AB1440" s="94">
        <f>STOCK[[#This Row],[Stock Actual]]*STOCK[[#This Row],[Costo total]]</f>
        <v>28.9</v>
      </c>
      <c r="AC1440" s="94"/>
    </row>
    <row r="1441" s="76" customFormat="1" ht="50" hidden="1" customHeight="1" spans="1:29">
      <c r="A1441" s="76" t="s">
        <v>2912</v>
      </c>
      <c r="B1441" s="95"/>
      <c r="C1441" s="94" t="s">
        <v>30</v>
      </c>
      <c r="D1441" s="94" t="s">
        <v>1188</v>
      </c>
      <c r="E1441" s="94" t="s">
        <v>2911</v>
      </c>
      <c r="F1441" s="94" t="s">
        <v>60</v>
      </c>
      <c r="G1441" s="94"/>
      <c r="H1441" s="94">
        <f>STOCK[[#This Row],[Precio Final]]</f>
        <v>25</v>
      </c>
      <c r="I1441" s="98">
        <f>STOCK[[#This Row],[Precio Venta Ideal (x1.5)]]</f>
        <v>21.675</v>
      </c>
      <c r="J1441" s="96">
        <v>2</v>
      </c>
      <c r="K1441" s="96">
        <f>SUMIFS(VENTAS[Cantidad],VENTAS[Código del producto Vendido],STOCK[[#This Row],[Code]])</f>
        <v>0</v>
      </c>
      <c r="L1441" s="96">
        <f>STOCK[[#This Row],[Entradas]]-STOCK[[#This Row],[Salidas]]</f>
        <v>2</v>
      </c>
      <c r="M1441" s="94">
        <f>STOCK[[#This Row],[Precio Final]]*10%</f>
        <v>2.5</v>
      </c>
      <c r="N1441" s="94">
        <v>0</v>
      </c>
      <c r="O1441" s="94">
        <v>0</v>
      </c>
      <c r="P1441" s="94">
        <v>10.3</v>
      </c>
      <c r="Q1441" s="96">
        <v>0</v>
      </c>
      <c r="R1441" s="94">
        <v>0</v>
      </c>
      <c r="S1441" s="94">
        <v>1.65</v>
      </c>
      <c r="T1441" s="94">
        <f>STOCK[[#This Row],[Costo Unitario (USD)]]+STOCK[[#This Row],[Costo Envío (USD)]]+STOCK[[#This Row],[Comisión 10%]]</f>
        <v>14.45</v>
      </c>
      <c r="U1441" s="76">
        <f>STOCK[[#This Row],[Costo total]]*1.5</f>
        <v>21.675</v>
      </c>
      <c r="V1441" s="94">
        <v>25</v>
      </c>
      <c r="W1441" s="94">
        <f>STOCK[[#This Row],[Precio Final]]-STOCK[[#This Row],[Costo total]]</f>
        <v>10.55</v>
      </c>
      <c r="X1441" s="94">
        <f>STOCK[[#This Row],[Ganancia Unitaria]]*STOCK[[#This Row],[Salidas]]</f>
        <v>0</v>
      </c>
      <c r="Y1441" s="94"/>
      <c r="Z1441" s="94"/>
      <c r="AA1441" s="94">
        <f>STOCK[[#This Row],[Costo total]]*STOCK[[#This Row],[Entradas]]</f>
        <v>28.9</v>
      </c>
      <c r="AB1441" s="94">
        <f>STOCK[[#This Row],[Stock Actual]]*STOCK[[#This Row],[Costo total]]</f>
        <v>28.9</v>
      </c>
      <c r="AC1441" s="94"/>
    </row>
    <row r="1442" s="76" customFormat="1" ht="50" hidden="1" customHeight="1" spans="1:29">
      <c r="A1442" s="76" t="s">
        <v>2913</v>
      </c>
      <c r="B1442" s="95"/>
      <c r="C1442" s="94" t="s">
        <v>30</v>
      </c>
      <c r="D1442" s="94" t="s">
        <v>1188</v>
      </c>
      <c r="E1442" s="94" t="s">
        <v>2911</v>
      </c>
      <c r="F1442" s="94" t="s">
        <v>47</v>
      </c>
      <c r="G1442" s="94"/>
      <c r="H1442" s="94">
        <f>STOCK[[#This Row],[Precio Final]]</f>
        <v>25</v>
      </c>
      <c r="I1442" s="98">
        <f>STOCK[[#This Row],[Precio Venta Ideal (x1.5)]]</f>
        <v>21.69</v>
      </c>
      <c r="J1442" s="96">
        <v>2</v>
      </c>
      <c r="K1442" s="96">
        <f>SUMIFS(VENTAS[Cantidad],VENTAS[Código del producto Vendido],STOCK[[#This Row],[Code]])</f>
        <v>0</v>
      </c>
      <c r="L1442" s="96">
        <f>STOCK[[#This Row],[Entradas]]-STOCK[[#This Row],[Salidas]]</f>
        <v>2</v>
      </c>
      <c r="M1442" s="94">
        <f>STOCK[[#This Row],[Precio Final]]*10%</f>
        <v>2.5</v>
      </c>
      <c r="N1442" s="94">
        <v>0</v>
      </c>
      <c r="O1442" s="94">
        <v>0</v>
      </c>
      <c r="P1442" s="94">
        <v>10.31</v>
      </c>
      <c r="Q1442" s="96">
        <v>0</v>
      </c>
      <c r="R1442" s="94">
        <v>0</v>
      </c>
      <c r="S1442" s="94">
        <v>1.65</v>
      </c>
      <c r="T1442" s="94">
        <f>STOCK[[#This Row],[Costo Unitario (USD)]]+STOCK[[#This Row],[Costo Envío (USD)]]+STOCK[[#This Row],[Comisión 10%]]</f>
        <v>14.46</v>
      </c>
      <c r="U1442" s="76">
        <f>STOCK[[#This Row],[Costo total]]*1.5</f>
        <v>21.69</v>
      </c>
      <c r="V1442" s="94">
        <v>25</v>
      </c>
      <c r="W1442" s="94">
        <f>STOCK[[#This Row],[Precio Final]]-STOCK[[#This Row],[Costo total]]</f>
        <v>10.54</v>
      </c>
      <c r="X1442" s="94">
        <f>STOCK[[#This Row],[Ganancia Unitaria]]*STOCK[[#This Row],[Salidas]]</f>
        <v>0</v>
      </c>
      <c r="Y1442" s="94"/>
      <c r="Z1442" s="94"/>
      <c r="AA1442" s="94">
        <f>STOCK[[#This Row],[Costo total]]*STOCK[[#This Row],[Entradas]]</f>
        <v>28.92</v>
      </c>
      <c r="AB1442" s="94">
        <f>STOCK[[#This Row],[Stock Actual]]*STOCK[[#This Row],[Costo total]]</f>
        <v>28.92</v>
      </c>
      <c r="AC1442" s="94"/>
    </row>
    <row r="1443" s="76" customFormat="1" ht="50" hidden="1" customHeight="1" spans="1:29">
      <c r="A1443" s="76" t="s">
        <v>2914</v>
      </c>
      <c r="B1443" s="95"/>
      <c r="C1443" s="94" t="s">
        <v>30</v>
      </c>
      <c r="D1443" s="94" t="s">
        <v>1188</v>
      </c>
      <c r="E1443" s="94" t="s">
        <v>2911</v>
      </c>
      <c r="F1443" s="94" t="s">
        <v>44</v>
      </c>
      <c r="G1443" s="94"/>
      <c r="H1443" s="94">
        <f>STOCK[[#This Row],[Precio Final]]</f>
        <v>25</v>
      </c>
      <c r="I1443" s="98">
        <f>STOCK[[#This Row],[Precio Venta Ideal (x1.5)]]</f>
        <v>21.69</v>
      </c>
      <c r="J1443" s="96">
        <v>2</v>
      </c>
      <c r="K1443" s="96">
        <f>SUMIFS(VENTAS[Cantidad],VENTAS[Código del producto Vendido],STOCK[[#This Row],[Code]])</f>
        <v>0</v>
      </c>
      <c r="L1443" s="96">
        <f>STOCK[[#This Row],[Entradas]]-STOCK[[#This Row],[Salidas]]</f>
        <v>2</v>
      </c>
      <c r="M1443" s="94">
        <f>STOCK[[#This Row],[Precio Final]]*10%</f>
        <v>2.5</v>
      </c>
      <c r="N1443" s="94">
        <v>0</v>
      </c>
      <c r="O1443" s="94">
        <v>0</v>
      </c>
      <c r="P1443" s="94">
        <v>10.31</v>
      </c>
      <c r="Q1443" s="96">
        <v>0</v>
      </c>
      <c r="R1443" s="94">
        <v>0</v>
      </c>
      <c r="S1443" s="94">
        <v>1.65</v>
      </c>
      <c r="T1443" s="94">
        <f>STOCK[[#This Row],[Costo Unitario (USD)]]+STOCK[[#This Row],[Costo Envío (USD)]]+STOCK[[#This Row],[Comisión 10%]]</f>
        <v>14.46</v>
      </c>
      <c r="U1443" s="76">
        <f>STOCK[[#This Row],[Costo total]]*1.5</f>
        <v>21.69</v>
      </c>
      <c r="V1443" s="94">
        <v>25</v>
      </c>
      <c r="W1443" s="94">
        <f>STOCK[[#This Row],[Precio Final]]-STOCK[[#This Row],[Costo total]]</f>
        <v>10.54</v>
      </c>
      <c r="X1443" s="94">
        <f>STOCK[[#This Row],[Ganancia Unitaria]]*STOCK[[#This Row],[Salidas]]</f>
        <v>0</v>
      </c>
      <c r="Y1443" s="94"/>
      <c r="Z1443" s="94"/>
      <c r="AA1443" s="94">
        <f>STOCK[[#This Row],[Costo total]]*STOCK[[#This Row],[Entradas]]</f>
        <v>28.92</v>
      </c>
      <c r="AB1443" s="94">
        <f>STOCK[[#This Row],[Stock Actual]]*STOCK[[#This Row],[Costo total]]</f>
        <v>28.92</v>
      </c>
      <c r="AC1443" s="94"/>
    </row>
    <row r="1444" s="76" customFormat="1" ht="50" hidden="1" customHeight="1" spans="1:29">
      <c r="A1444" s="76" t="s">
        <v>2915</v>
      </c>
      <c r="B1444" s="95"/>
      <c r="C1444" s="94" t="s">
        <v>30</v>
      </c>
      <c r="D1444" s="94" t="s">
        <v>1188</v>
      </c>
      <c r="E1444" s="94" t="s">
        <v>2916</v>
      </c>
      <c r="F1444" s="94" t="s">
        <v>38</v>
      </c>
      <c r="G1444" s="94"/>
      <c r="H1444" s="94">
        <f>STOCK[[#This Row],[Precio Final]]</f>
        <v>25</v>
      </c>
      <c r="I1444" s="98">
        <f>STOCK[[#This Row],[Precio Venta Ideal (x1.5)]]</f>
        <v>21.81</v>
      </c>
      <c r="J1444" s="96">
        <v>1</v>
      </c>
      <c r="K1444" s="96">
        <f>SUMIFS(VENTAS[Cantidad],VENTAS[Código del producto Vendido],STOCK[[#This Row],[Code]])</f>
        <v>0</v>
      </c>
      <c r="L1444" s="96">
        <f>STOCK[[#This Row],[Entradas]]-STOCK[[#This Row],[Salidas]]</f>
        <v>1</v>
      </c>
      <c r="M1444" s="94">
        <f>STOCK[[#This Row],[Precio Final]]*10%</f>
        <v>2.5</v>
      </c>
      <c r="N1444" s="94">
        <v>0</v>
      </c>
      <c r="O1444" s="94">
        <v>0</v>
      </c>
      <c r="P1444" s="94">
        <v>10.39</v>
      </c>
      <c r="Q1444" s="96">
        <v>0</v>
      </c>
      <c r="R1444" s="94">
        <v>0</v>
      </c>
      <c r="S1444" s="94">
        <v>1.65</v>
      </c>
      <c r="T1444" s="94">
        <f>STOCK[[#This Row],[Costo Unitario (USD)]]+STOCK[[#This Row],[Costo Envío (USD)]]+STOCK[[#This Row],[Comisión 10%]]</f>
        <v>14.54</v>
      </c>
      <c r="U1444" s="76">
        <f>STOCK[[#This Row],[Costo total]]*1.5</f>
        <v>21.81</v>
      </c>
      <c r="V1444" s="94">
        <v>25</v>
      </c>
      <c r="W1444" s="94">
        <f>STOCK[[#This Row],[Precio Final]]-STOCK[[#This Row],[Costo total]]</f>
        <v>10.46</v>
      </c>
      <c r="X1444" s="94">
        <f>STOCK[[#This Row],[Ganancia Unitaria]]*STOCK[[#This Row],[Salidas]]</f>
        <v>0</v>
      </c>
      <c r="Y1444" s="94"/>
      <c r="Z1444" s="94"/>
      <c r="AA1444" s="94">
        <f>STOCK[[#This Row],[Costo total]]*STOCK[[#This Row],[Entradas]]</f>
        <v>14.54</v>
      </c>
      <c r="AB1444" s="94">
        <f>STOCK[[#This Row],[Stock Actual]]*STOCK[[#This Row],[Costo total]]</f>
        <v>14.54</v>
      </c>
      <c r="AC1444" s="94"/>
    </row>
    <row r="1445" s="76" customFormat="1" ht="50" hidden="1" customHeight="1" spans="1:29">
      <c r="A1445" s="76" t="s">
        <v>2917</v>
      </c>
      <c r="B1445" s="95"/>
      <c r="C1445" s="94" t="s">
        <v>30</v>
      </c>
      <c r="D1445" s="94" t="s">
        <v>1188</v>
      </c>
      <c r="E1445" s="94" t="s">
        <v>2916</v>
      </c>
      <c r="F1445" s="94" t="s">
        <v>60</v>
      </c>
      <c r="G1445" s="94"/>
      <c r="H1445" s="94">
        <f>STOCK[[#This Row],[Precio Final]]</f>
        <v>25</v>
      </c>
      <c r="I1445" s="98">
        <f>STOCK[[#This Row],[Precio Venta Ideal (x1.5)]]</f>
        <v>21.81</v>
      </c>
      <c r="J1445" s="96">
        <v>2</v>
      </c>
      <c r="K1445" s="96">
        <f>SUMIFS(VENTAS[Cantidad],VENTAS[Código del producto Vendido],STOCK[[#This Row],[Code]])</f>
        <v>0</v>
      </c>
      <c r="L1445" s="96">
        <f>STOCK[[#This Row],[Entradas]]-STOCK[[#This Row],[Salidas]]</f>
        <v>2</v>
      </c>
      <c r="M1445" s="94">
        <f>STOCK[[#This Row],[Precio Final]]*10%</f>
        <v>2.5</v>
      </c>
      <c r="N1445" s="94">
        <v>0</v>
      </c>
      <c r="O1445" s="94">
        <v>0</v>
      </c>
      <c r="P1445" s="94">
        <v>10.39</v>
      </c>
      <c r="Q1445" s="96">
        <v>0</v>
      </c>
      <c r="R1445" s="94">
        <v>0</v>
      </c>
      <c r="S1445" s="94">
        <v>1.65</v>
      </c>
      <c r="T1445" s="94">
        <f>STOCK[[#This Row],[Costo Unitario (USD)]]+STOCK[[#This Row],[Costo Envío (USD)]]+STOCK[[#This Row],[Comisión 10%]]</f>
        <v>14.54</v>
      </c>
      <c r="U1445" s="76">
        <f>STOCK[[#This Row],[Costo total]]*1.5</f>
        <v>21.81</v>
      </c>
      <c r="V1445" s="94">
        <v>25</v>
      </c>
      <c r="W1445" s="94">
        <f>STOCK[[#This Row],[Precio Final]]-STOCK[[#This Row],[Costo total]]</f>
        <v>10.46</v>
      </c>
      <c r="X1445" s="94">
        <f>STOCK[[#This Row],[Ganancia Unitaria]]*STOCK[[#This Row],[Salidas]]</f>
        <v>0</v>
      </c>
      <c r="Y1445" s="94"/>
      <c r="Z1445" s="94"/>
      <c r="AA1445" s="94">
        <f>STOCK[[#This Row],[Costo total]]*STOCK[[#This Row],[Entradas]]</f>
        <v>29.08</v>
      </c>
      <c r="AB1445" s="94">
        <f>STOCK[[#This Row],[Stock Actual]]*STOCK[[#This Row],[Costo total]]</f>
        <v>29.08</v>
      </c>
      <c r="AC1445" s="94"/>
    </row>
    <row r="1446" s="76" customFormat="1" ht="50" hidden="1" customHeight="1" spans="1:29">
      <c r="A1446" s="76" t="s">
        <v>2918</v>
      </c>
      <c r="B1446" s="95"/>
      <c r="C1446" s="94" t="s">
        <v>30</v>
      </c>
      <c r="D1446" s="94" t="s">
        <v>1188</v>
      </c>
      <c r="E1446" s="94" t="s">
        <v>2916</v>
      </c>
      <c r="F1446" s="94" t="s">
        <v>47</v>
      </c>
      <c r="G1446" s="94"/>
      <c r="H1446" s="94">
        <f>STOCK[[#This Row],[Precio Final]]</f>
        <v>25</v>
      </c>
      <c r="I1446" s="98">
        <f>STOCK[[#This Row],[Precio Venta Ideal (x1.5)]]</f>
        <v>21.81</v>
      </c>
      <c r="J1446" s="96">
        <v>1</v>
      </c>
      <c r="K1446" s="96">
        <f>SUMIFS(VENTAS[Cantidad],VENTAS[Código del producto Vendido],STOCK[[#This Row],[Code]])</f>
        <v>0</v>
      </c>
      <c r="L1446" s="96">
        <f>STOCK[[#This Row],[Entradas]]-STOCK[[#This Row],[Salidas]]</f>
        <v>1</v>
      </c>
      <c r="M1446" s="94">
        <f>STOCK[[#This Row],[Precio Final]]*10%</f>
        <v>2.5</v>
      </c>
      <c r="N1446" s="94">
        <v>0</v>
      </c>
      <c r="O1446" s="94">
        <v>0</v>
      </c>
      <c r="P1446" s="94">
        <v>10.39</v>
      </c>
      <c r="Q1446" s="96">
        <v>0</v>
      </c>
      <c r="R1446" s="94">
        <v>0</v>
      </c>
      <c r="S1446" s="94">
        <v>1.65</v>
      </c>
      <c r="T1446" s="94">
        <f>STOCK[[#This Row],[Costo Unitario (USD)]]+STOCK[[#This Row],[Costo Envío (USD)]]+STOCK[[#This Row],[Comisión 10%]]</f>
        <v>14.54</v>
      </c>
      <c r="U1446" s="76">
        <f>STOCK[[#This Row],[Costo total]]*1.5</f>
        <v>21.81</v>
      </c>
      <c r="V1446" s="94">
        <v>25</v>
      </c>
      <c r="W1446" s="94">
        <f>STOCK[[#This Row],[Precio Final]]-STOCK[[#This Row],[Costo total]]</f>
        <v>10.46</v>
      </c>
      <c r="X1446" s="94">
        <f>STOCK[[#This Row],[Ganancia Unitaria]]*STOCK[[#This Row],[Salidas]]</f>
        <v>0</v>
      </c>
      <c r="Y1446" s="94"/>
      <c r="Z1446" s="94"/>
      <c r="AA1446" s="94">
        <f>STOCK[[#This Row],[Costo total]]*STOCK[[#This Row],[Entradas]]</f>
        <v>14.54</v>
      </c>
      <c r="AB1446" s="94">
        <f>STOCK[[#This Row],[Stock Actual]]*STOCK[[#This Row],[Costo total]]</f>
        <v>14.54</v>
      </c>
      <c r="AC1446" s="94"/>
    </row>
    <row r="1447" s="76" customFormat="1" ht="50" hidden="1" customHeight="1" spans="1:29">
      <c r="A1447" s="76" t="s">
        <v>2919</v>
      </c>
      <c r="B1447" s="95"/>
      <c r="C1447" s="94" t="s">
        <v>30</v>
      </c>
      <c r="D1447" s="94" t="s">
        <v>1188</v>
      </c>
      <c r="E1447" s="94" t="s">
        <v>2916</v>
      </c>
      <c r="F1447" s="94" t="s">
        <v>44</v>
      </c>
      <c r="G1447" s="94"/>
      <c r="H1447" s="94">
        <f>STOCK[[#This Row],[Precio Final]]</f>
        <v>25</v>
      </c>
      <c r="I1447" s="98">
        <f>STOCK[[#This Row],[Precio Venta Ideal (x1.5)]]</f>
        <v>21.81</v>
      </c>
      <c r="J1447" s="96">
        <v>1</v>
      </c>
      <c r="K1447" s="96">
        <f>SUMIFS(VENTAS[Cantidad],VENTAS[Código del producto Vendido],STOCK[[#This Row],[Code]])</f>
        <v>0</v>
      </c>
      <c r="L1447" s="96">
        <f>STOCK[[#This Row],[Entradas]]-STOCK[[#This Row],[Salidas]]</f>
        <v>1</v>
      </c>
      <c r="M1447" s="94">
        <f>STOCK[[#This Row],[Precio Final]]*10%</f>
        <v>2.5</v>
      </c>
      <c r="N1447" s="94">
        <v>0</v>
      </c>
      <c r="O1447" s="94">
        <v>0</v>
      </c>
      <c r="P1447" s="94">
        <v>10.39</v>
      </c>
      <c r="Q1447" s="96">
        <v>0</v>
      </c>
      <c r="R1447" s="94">
        <v>0</v>
      </c>
      <c r="S1447" s="94">
        <v>1.65</v>
      </c>
      <c r="T1447" s="94">
        <f>STOCK[[#This Row],[Costo Unitario (USD)]]+STOCK[[#This Row],[Costo Envío (USD)]]+STOCK[[#This Row],[Comisión 10%]]</f>
        <v>14.54</v>
      </c>
      <c r="U1447" s="76">
        <f>STOCK[[#This Row],[Costo total]]*1.5</f>
        <v>21.81</v>
      </c>
      <c r="V1447" s="94">
        <v>25</v>
      </c>
      <c r="W1447" s="94">
        <f>STOCK[[#This Row],[Precio Final]]-STOCK[[#This Row],[Costo total]]</f>
        <v>10.46</v>
      </c>
      <c r="X1447" s="94">
        <f>STOCK[[#This Row],[Ganancia Unitaria]]*STOCK[[#This Row],[Salidas]]</f>
        <v>0</v>
      </c>
      <c r="Y1447" s="94"/>
      <c r="Z1447" s="94"/>
      <c r="AA1447" s="94">
        <f>STOCK[[#This Row],[Costo total]]*STOCK[[#This Row],[Entradas]]</f>
        <v>14.54</v>
      </c>
      <c r="AB1447" s="94">
        <f>STOCK[[#This Row],[Stock Actual]]*STOCK[[#This Row],[Costo total]]</f>
        <v>14.54</v>
      </c>
      <c r="AC1447" s="94"/>
    </row>
    <row r="1448" s="76" customFormat="1" ht="50" hidden="1" customHeight="1" spans="1:29">
      <c r="A1448" s="76" t="s">
        <v>2920</v>
      </c>
      <c r="B1448" s="95"/>
      <c r="C1448" s="94" t="s">
        <v>30</v>
      </c>
      <c r="D1448" s="94" t="s">
        <v>173</v>
      </c>
      <c r="E1448" s="94" t="s">
        <v>2921</v>
      </c>
      <c r="F1448" s="94" t="s">
        <v>38</v>
      </c>
      <c r="G1448" s="94"/>
      <c r="H1448" s="94">
        <f>STOCK[[#This Row],[Precio Final]]</f>
        <v>0</v>
      </c>
      <c r="I1448" s="98" t="e">
        <f>STOCK[[#This Row],[Precio Venta Ideal (x1.5)]]</f>
        <v>#DIV/0!</v>
      </c>
      <c r="J1448" s="96">
        <v>0</v>
      </c>
      <c r="K1448" s="96">
        <f>SUMIFS(VENTAS[Cantidad],VENTAS[Código del producto Vendido],STOCK[[#This Row],[Code]])</f>
        <v>0</v>
      </c>
      <c r="L1448" s="96">
        <f>STOCK[[#This Row],[Entradas]]-STOCK[[#This Row],[Salidas]]</f>
        <v>0</v>
      </c>
      <c r="M1448" s="94">
        <f>STOCK[[#This Row],[Precio Final]]*10%</f>
        <v>0</v>
      </c>
      <c r="N1448" s="94">
        <v>0</v>
      </c>
      <c r="O1448" s="94">
        <v>0</v>
      </c>
      <c r="P1448" s="94" t="e">
        <f>N1448/O1448</f>
        <v>#DIV/0!</v>
      </c>
      <c r="Q1448" s="96">
        <v>0</v>
      </c>
      <c r="R1448" s="94">
        <v>0</v>
      </c>
      <c r="S1448" s="94">
        <v>1.65</v>
      </c>
      <c r="T1448" s="94" t="e">
        <f>STOCK[[#This Row],[Costo Unitario (USD)]]+STOCK[[#This Row],[Costo Envío (USD)]]+STOCK[[#This Row],[Comisión 10%]]</f>
        <v>#DIV/0!</v>
      </c>
      <c r="U1448" s="76" t="e">
        <f>STOCK[[#This Row],[Costo total]]*1.5</f>
        <v>#DIV/0!</v>
      </c>
      <c r="V1448" s="94"/>
      <c r="W1448" s="94" t="e">
        <f>STOCK[[#This Row],[Precio Final]]-STOCK[[#This Row],[Costo total]]</f>
        <v>#DIV/0!</v>
      </c>
      <c r="X1448" s="94" t="e">
        <f>STOCK[[#This Row],[Ganancia Unitaria]]*STOCK[[#This Row],[Salidas]]</f>
        <v>#DIV/0!</v>
      </c>
      <c r="Y1448" s="94"/>
      <c r="Z1448" s="94"/>
      <c r="AA1448" s="94" t="e">
        <f>STOCK[[#This Row],[Costo total]]*STOCK[[#This Row],[Entradas]]</f>
        <v>#DIV/0!</v>
      </c>
      <c r="AB1448" s="94" t="e">
        <f>STOCK[[#This Row],[Stock Actual]]*STOCK[[#This Row],[Costo total]]</f>
        <v>#DIV/0!</v>
      </c>
      <c r="AC1448" s="94"/>
    </row>
    <row r="1449" s="76" customFormat="1" ht="50" hidden="1" customHeight="1" spans="1:29">
      <c r="A1449" s="76" t="s">
        <v>2922</v>
      </c>
      <c r="B1449" s="95"/>
      <c r="C1449" s="94" t="s">
        <v>30</v>
      </c>
      <c r="D1449" s="94" t="s">
        <v>1188</v>
      </c>
      <c r="E1449" s="94" t="s">
        <v>2921</v>
      </c>
      <c r="F1449" s="94" t="s">
        <v>44</v>
      </c>
      <c r="G1449" s="94"/>
      <c r="H1449" s="94">
        <f>STOCK[[#This Row],[Precio Final]]</f>
        <v>0</v>
      </c>
      <c r="I1449" s="98" t="e">
        <f>STOCK[[#This Row],[Precio Venta Ideal (x1.5)]]</f>
        <v>#DIV/0!</v>
      </c>
      <c r="J1449" s="96">
        <v>0</v>
      </c>
      <c r="K1449" s="96">
        <f>SUMIFS(VENTAS[Cantidad],VENTAS[Código del producto Vendido],STOCK[[#This Row],[Code]])</f>
        <v>0</v>
      </c>
      <c r="L1449" s="96">
        <f>STOCK[[#This Row],[Entradas]]-STOCK[[#This Row],[Salidas]]</f>
        <v>0</v>
      </c>
      <c r="M1449" s="94">
        <f>STOCK[[#This Row],[Precio Final]]*10%</f>
        <v>0</v>
      </c>
      <c r="N1449" s="94">
        <v>0</v>
      </c>
      <c r="O1449" s="94">
        <v>0</v>
      </c>
      <c r="P1449" s="94" t="e">
        <f>N1449/O1449</f>
        <v>#DIV/0!</v>
      </c>
      <c r="Q1449" s="96">
        <v>0</v>
      </c>
      <c r="R1449" s="94">
        <v>0</v>
      </c>
      <c r="S1449" s="94">
        <v>1.65</v>
      </c>
      <c r="T1449" s="94" t="e">
        <f>STOCK[[#This Row],[Costo Unitario (USD)]]+STOCK[[#This Row],[Costo Envío (USD)]]+STOCK[[#This Row],[Comisión 10%]]</f>
        <v>#DIV/0!</v>
      </c>
      <c r="U1449" s="76" t="e">
        <f>STOCK[[#This Row],[Costo total]]*1.5</f>
        <v>#DIV/0!</v>
      </c>
      <c r="V1449" s="94"/>
      <c r="W1449" s="94" t="e">
        <f>STOCK[[#This Row],[Precio Final]]-STOCK[[#This Row],[Costo total]]</f>
        <v>#DIV/0!</v>
      </c>
      <c r="X1449" s="94" t="e">
        <f>STOCK[[#This Row],[Ganancia Unitaria]]*STOCK[[#This Row],[Salidas]]</f>
        <v>#DIV/0!</v>
      </c>
      <c r="Y1449" s="94"/>
      <c r="Z1449" s="94"/>
      <c r="AA1449" s="94" t="e">
        <f>STOCK[[#This Row],[Costo total]]*STOCK[[#This Row],[Entradas]]</f>
        <v>#DIV/0!</v>
      </c>
      <c r="AB1449" s="94" t="e">
        <f>STOCK[[#This Row],[Stock Actual]]*STOCK[[#This Row],[Costo total]]</f>
        <v>#DIV/0!</v>
      </c>
      <c r="AC1449" s="94"/>
    </row>
    <row r="1450" s="76" customFormat="1" ht="50" hidden="1" customHeight="1" spans="1:29">
      <c r="A1450" s="76" t="s">
        <v>2923</v>
      </c>
      <c r="B1450" s="95"/>
      <c r="C1450" s="94" t="s">
        <v>30</v>
      </c>
      <c r="D1450" s="94" t="s">
        <v>1188</v>
      </c>
      <c r="E1450" s="94" t="s">
        <v>2924</v>
      </c>
      <c r="F1450" s="94" t="s">
        <v>38</v>
      </c>
      <c r="G1450" s="94"/>
      <c r="H1450" s="94">
        <f>STOCK[[#This Row],[Precio Final]]</f>
        <v>8</v>
      </c>
      <c r="I1450" s="98">
        <f>STOCK[[#This Row],[Precio Venta Ideal (x1.5)]]</f>
        <v>7.11</v>
      </c>
      <c r="J1450" s="96">
        <v>2</v>
      </c>
      <c r="K1450" s="96">
        <f>SUMIFS(VENTAS[Cantidad],VENTAS[Código del producto Vendido],STOCK[[#This Row],[Code]])</f>
        <v>0</v>
      </c>
      <c r="L1450" s="96">
        <f>STOCK[[#This Row],[Entradas]]-STOCK[[#This Row],[Salidas]]</f>
        <v>2</v>
      </c>
      <c r="M1450" s="94">
        <f>STOCK[[#This Row],[Precio Final]]*10%</f>
        <v>0.8</v>
      </c>
      <c r="N1450" s="94">
        <v>0</v>
      </c>
      <c r="O1450" s="94">
        <v>0</v>
      </c>
      <c r="P1450" s="94">
        <v>2.29</v>
      </c>
      <c r="Q1450" s="96">
        <v>0</v>
      </c>
      <c r="R1450" s="94">
        <v>0</v>
      </c>
      <c r="S1450" s="94">
        <v>1.65</v>
      </c>
      <c r="T1450" s="94">
        <f>STOCK[[#This Row],[Costo Unitario (USD)]]+STOCK[[#This Row],[Costo Envío (USD)]]+STOCK[[#This Row],[Comisión 10%]]</f>
        <v>4.74</v>
      </c>
      <c r="U1450" s="76">
        <f>STOCK[[#This Row],[Costo total]]*1.5</f>
        <v>7.11</v>
      </c>
      <c r="V1450" s="94">
        <v>8</v>
      </c>
      <c r="W1450" s="94">
        <f>STOCK[[#This Row],[Precio Final]]-STOCK[[#This Row],[Costo total]]</f>
        <v>3.26</v>
      </c>
      <c r="X1450" s="94">
        <f>STOCK[[#This Row],[Ganancia Unitaria]]*STOCK[[#This Row],[Salidas]]</f>
        <v>0</v>
      </c>
      <c r="Y1450" s="94"/>
      <c r="Z1450" s="94"/>
      <c r="AA1450" s="94">
        <f>STOCK[[#This Row],[Costo total]]*STOCK[[#This Row],[Entradas]]</f>
        <v>9.48</v>
      </c>
      <c r="AB1450" s="94">
        <f>STOCK[[#This Row],[Stock Actual]]*STOCK[[#This Row],[Costo total]]</f>
        <v>9.48</v>
      </c>
      <c r="AC1450" s="94"/>
    </row>
    <row r="1451" s="76" customFormat="1" ht="50" hidden="1" customHeight="1" spans="1:29">
      <c r="A1451" s="76" t="s">
        <v>2925</v>
      </c>
      <c r="B1451" s="95"/>
      <c r="C1451" s="94" t="s">
        <v>30</v>
      </c>
      <c r="D1451" s="94" t="s">
        <v>1188</v>
      </c>
      <c r="E1451" s="94" t="s">
        <v>2924</v>
      </c>
      <c r="F1451" s="94" t="s">
        <v>44</v>
      </c>
      <c r="G1451" s="94"/>
      <c r="H1451" s="94">
        <f>STOCK[[#This Row],[Precio Final]]</f>
        <v>8</v>
      </c>
      <c r="I1451" s="98">
        <f>STOCK[[#This Row],[Precio Venta Ideal (x1.5)]]</f>
        <v>7.11</v>
      </c>
      <c r="J1451" s="96">
        <v>2</v>
      </c>
      <c r="K1451" s="96">
        <f>SUMIFS(VENTAS[Cantidad],VENTAS[Código del producto Vendido],STOCK[[#This Row],[Code]])</f>
        <v>0</v>
      </c>
      <c r="L1451" s="96">
        <f>STOCK[[#This Row],[Entradas]]-STOCK[[#This Row],[Salidas]]</f>
        <v>2</v>
      </c>
      <c r="M1451" s="94">
        <f>STOCK[[#This Row],[Precio Final]]*10%</f>
        <v>0.8</v>
      </c>
      <c r="N1451" s="94">
        <v>0</v>
      </c>
      <c r="O1451" s="94">
        <v>0</v>
      </c>
      <c r="P1451" s="94">
        <v>2.29</v>
      </c>
      <c r="Q1451" s="96">
        <v>0</v>
      </c>
      <c r="R1451" s="94">
        <v>0</v>
      </c>
      <c r="S1451" s="94">
        <v>1.65</v>
      </c>
      <c r="T1451" s="94">
        <f>STOCK[[#This Row],[Costo Unitario (USD)]]+STOCK[[#This Row],[Costo Envío (USD)]]+STOCK[[#This Row],[Comisión 10%]]</f>
        <v>4.74</v>
      </c>
      <c r="U1451" s="76">
        <f>STOCK[[#This Row],[Costo total]]*1.5</f>
        <v>7.11</v>
      </c>
      <c r="V1451" s="94">
        <v>8</v>
      </c>
      <c r="W1451" s="94">
        <f>STOCK[[#This Row],[Precio Final]]-STOCK[[#This Row],[Costo total]]</f>
        <v>3.26</v>
      </c>
      <c r="X1451" s="94">
        <f>STOCK[[#This Row],[Ganancia Unitaria]]*STOCK[[#This Row],[Salidas]]</f>
        <v>0</v>
      </c>
      <c r="Y1451" s="94"/>
      <c r="Z1451" s="94"/>
      <c r="AA1451" s="94">
        <f>STOCK[[#This Row],[Costo total]]*STOCK[[#This Row],[Entradas]]</f>
        <v>9.48</v>
      </c>
      <c r="AB1451" s="94">
        <f>STOCK[[#This Row],[Stock Actual]]*STOCK[[#This Row],[Costo total]]</f>
        <v>9.48</v>
      </c>
      <c r="AC1451" s="94"/>
    </row>
    <row r="1452" s="76" customFormat="1" ht="50" hidden="1" customHeight="1" spans="1:29">
      <c r="A1452" s="76" t="s">
        <v>2926</v>
      </c>
      <c r="B1452" s="95"/>
      <c r="C1452" s="94" t="s">
        <v>30</v>
      </c>
      <c r="D1452" s="94" t="s">
        <v>2842</v>
      </c>
      <c r="E1452" s="94" t="s">
        <v>2927</v>
      </c>
      <c r="F1452" s="94" t="s">
        <v>38</v>
      </c>
      <c r="G1452" s="94"/>
      <c r="H1452" s="94">
        <f>STOCK[[#This Row],[Precio Final]]</f>
        <v>30</v>
      </c>
      <c r="I1452" s="98">
        <f>STOCK[[#This Row],[Precio Venta Ideal (x1.5)]]</f>
        <v>23.19</v>
      </c>
      <c r="J1452" s="96">
        <v>2</v>
      </c>
      <c r="K1452" s="96">
        <f>SUMIFS(VENTAS[Cantidad],VENTAS[Código del producto Vendido],STOCK[[#This Row],[Code]])</f>
        <v>0</v>
      </c>
      <c r="L1452" s="96">
        <f>STOCK[[#This Row],[Entradas]]-STOCK[[#This Row],[Salidas]]</f>
        <v>2</v>
      </c>
      <c r="M1452" s="94">
        <f>STOCK[[#This Row],[Precio Final]]*10%</f>
        <v>3</v>
      </c>
      <c r="N1452" s="94">
        <v>0</v>
      </c>
      <c r="O1452" s="94">
        <v>0</v>
      </c>
      <c r="P1452" s="94">
        <v>10.81</v>
      </c>
      <c r="Q1452" s="96">
        <v>0</v>
      </c>
      <c r="R1452" s="94">
        <v>0</v>
      </c>
      <c r="S1452" s="94">
        <v>1.65</v>
      </c>
      <c r="T1452" s="94">
        <f>STOCK[[#This Row],[Costo Unitario (USD)]]+STOCK[[#This Row],[Costo Envío (USD)]]+STOCK[[#This Row],[Comisión 10%]]</f>
        <v>15.46</v>
      </c>
      <c r="U1452" s="76">
        <f>STOCK[[#This Row],[Costo total]]*1.5</f>
        <v>23.19</v>
      </c>
      <c r="V1452" s="94">
        <v>30</v>
      </c>
      <c r="W1452" s="94">
        <f>STOCK[[#This Row],[Precio Final]]-STOCK[[#This Row],[Costo total]]</f>
        <v>14.54</v>
      </c>
      <c r="X1452" s="94">
        <f>STOCK[[#This Row],[Ganancia Unitaria]]*STOCK[[#This Row],[Salidas]]</f>
        <v>0</v>
      </c>
      <c r="Y1452" s="94"/>
      <c r="Z1452" s="94"/>
      <c r="AA1452" s="94">
        <f>STOCK[[#This Row],[Costo total]]*STOCK[[#This Row],[Entradas]]</f>
        <v>30.92</v>
      </c>
      <c r="AB1452" s="94">
        <f>STOCK[[#This Row],[Stock Actual]]*STOCK[[#This Row],[Costo total]]</f>
        <v>30.92</v>
      </c>
      <c r="AC1452" s="94"/>
    </row>
    <row r="1453" s="76" customFormat="1" ht="50" hidden="1" customHeight="1" spans="1:29">
      <c r="A1453" s="76" t="s">
        <v>2928</v>
      </c>
      <c r="B1453" s="95"/>
      <c r="C1453" s="94" t="s">
        <v>30</v>
      </c>
      <c r="D1453" s="94" t="s">
        <v>2842</v>
      </c>
      <c r="E1453" s="94" t="s">
        <v>2927</v>
      </c>
      <c r="F1453" s="94" t="s">
        <v>60</v>
      </c>
      <c r="G1453" s="94"/>
      <c r="H1453" s="94">
        <f>STOCK[[#This Row],[Precio Final]]</f>
        <v>30</v>
      </c>
      <c r="I1453" s="98">
        <f>STOCK[[#This Row],[Precio Venta Ideal (x1.5)]]</f>
        <v>23.205</v>
      </c>
      <c r="J1453" s="96">
        <v>2</v>
      </c>
      <c r="K1453" s="96">
        <f>SUMIFS(VENTAS[Cantidad],VENTAS[Código del producto Vendido],STOCK[[#This Row],[Code]])</f>
        <v>0</v>
      </c>
      <c r="L1453" s="96">
        <f>STOCK[[#This Row],[Entradas]]-STOCK[[#This Row],[Salidas]]</f>
        <v>2</v>
      </c>
      <c r="M1453" s="94">
        <f>STOCK[[#This Row],[Precio Final]]*10%</f>
        <v>3</v>
      </c>
      <c r="N1453" s="94">
        <v>0</v>
      </c>
      <c r="O1453" s="94">
        <v>0</v>
      </c>
      <c r="P1453" s="94">
        <v>10.82</v>
      </c>
      <c r="Q1453" s="96">
        <v>0</v>
      </c>
      <c r="R1453" s="94">
        <v>0</v>
      </c>
      <c r="S1453" s="94">
        <v>1.65</v>
      </c>
      <c r="T1453" s="94">
        <f>STOCK[[#This Row],[Costo Unitario (USD)]]+STOCK[[#This Row],[Costo Envío (USD)]]+STOCK[[#This Row],[Comisión 10%]]</f>
        <v>15.47</v>
      </c>
      <c r="U1453" s="76">
        <f>STOCK[[#This Row],[Costo total]]*1.5</f>
        <v>23.205</v>
      </c>
      <c r="V1453" s="94">
        <v>30</v>
      </c>
      <c r="W1453" s="94">
        <f>STOCK[[#This Row],[Precio Final]]-STOCK[[#This Row],[Costo total]]</f>
        <v>14.53</v>
      </c>
      <c r="X1453" s="94">
        <f>STOCK[[#This Row],[Ganancia Unitaria]]*STOCK[[#This Row],[Salidas]]</f>
        <v>0</v>
      </c>
      <c r="Y1453" s="94"/>
      <c r="Z1453" s="94"/>
      <c r="AA1453" s="94">
        <f>STOCK[[#This Row],[Costo total]]*STOCK[[#This Row],[Entradas]]</f>
        <v>30.94</v>
      </c>
      <c r="AB1453" s="94">
        <f>STOCK[[#This Row],[Stock Actual]]*STOCK[[#This Row],[Costo total]]</f>
        <v>30.94</v>
      </c>
      <c r="AC1453" s="94"/>
    </row>
    <row r="1454" s="76" customFormat="1" ht="50" hidden="1" customHeight="1" spans="1:29">
      <c r="A1454" s="76" t="s">
        <v>2929</v>
      </c>
      <c r="B1454" s="95"/>
      <c r="C1454" s="94" t="s">
        <v>30</v>
      </c>
      <c r="D1454" s="94" t="s">
        <v>2842</v>
      </c>
      <c r="E1454" s="94" t="s">
        <v>2927</v>
      </c>
      <c r="F1454" s="94" t="s">
        <v>47</v>
      </c>
      <c r="G1454" s="94"/>
      <c r="H1454" s="94">
        <f>STOCK[[#This Row],[Precio Final]]</f>
        <v>30</v>
      </c>
      <c r="I1454" s="98">
        <f>STOCK[[#This Row],[Precio Venta Ideal (x1.5)]]</f>
        <v>23.205</v>
      </c>
      <c r="J1454" s="96">
        <v>3</v>
      </c>
      <c r="K1454" s="96">
        <f>SUMIFS(VENTAS[Cantidad],VENTAS[Código del producto Vendido],STOCK[[#This Row],[Code]])</f>
        <v>0</v>
      </c>
      <c r="L1454" s="96">
        <f>STOCK[[#This Row],[Entradas]]-STOCK[[#This Row],[Salidas]]</f>
        <v>3</v>
      </c>
      <c r="M1454" s="94">
        <f>STOCK[[#This Row],[Precio Final]]*10%</f>
        <v>3</v>
      </c>
      <c r="N1454" s="94">
        <v>0</v>
      </c>
      <c r="O1454" s="94">
        <v>0</v>
      </c>
      <c r="P1454" s="94">
        <v>10.82</v>
      </c>
      <c r="Q1454" s="96">
        <v>0</v>
      </c>
      <c r="R1454" s="94">
        <v>0</v>
      </c>
      <c r="S1454" s="94">
        <v>1.65</v>
      </c>
      <c r="T1454" s="94">
        <f>STOCK[[#This Row],[Costo Unitario (USD)]]+STOCK[[#This Row],[Costo Envío (USD)]]+STOCK[[#This Row],[Comisión 10%]]</f>
        <v>15.47</v>
      </c>
      <c r="U1454" s="76">
        <f>STOCK[[#This Row],[Costo total]]*1.5</f>
        <v>23.205</v>
      </c>
      <c r="V1454" s="94">
        <v>30</v>
      </c>
      <c r="W1454" s="94">
        <f>STOCK[[#This Row],[Precio Final]]-STOCK[[#This Row],[Costo total]]</f>
        <v>14.53</v>
      </c>
      <c r="X1454" s="94">
        <f>STOCK[[#This Row],[Ganancia Unitaria]]*STOCK[[#This Row],[Salidas]]</f>
        <v>0</v>
      </c>
      <c r="Y1454" s="94"/>
      <c r="Z1454" s="94"/>
      <c r="AA1454" s="94">
        <f>STOCK[[#This Row],[Costo total]]*STOCK[[#This Row],[Entradas]]</f>
        <v>46.41</v>
      </c>
      <c r="AB1454" s="94">
        <f>STOCK[[#This Row],[Stock Actual]]*STOCK[[#This Row],[Costo total]]</f>
        <v>46.41</v>
      </c>
      <c r="AC1454" s="94"/>
    </row>
    <row r="1455" s="76" customFormat="1" ht="50" hidden="1" customHeight="1" spans="1:29">
      <c r="A1455" s="76" t="s">
        <v>2930</v>
      </c>
      <c r="B1455" s="95"/>
      <c r="C1455" s="94" t="s">
        <v>30</v>
      </c>
      <c r="D1455" s="94" t="s">
        <v>2842</v>
      </c>
      <c r="E1455" s="94" t="s">
        <v>2927</v>
      </c>
      <c r="F1455" s="94" t="s">
        <v>44</v>
      </c>
      <c r="G1455" s="94"/>
      <c r="H1455" s="94">
        <f>STOCK[[#This Row],[Precio Final]]</f>
        <v>30</v>
      </c>
      <c r="I1455" s="98">
        <f>STOCK[[#This Row],[Precio Venta Ideal (x1.5)]]</f>
        <v>23.19</v>
      </c>
      <c r="J1455" s="96">
        <v>2</v>
      </c>
      <c r="K1455" s="96">
        <f>SUMIFS(VENTAS[Cantidad],VENTAS[Código del producto Vendido],STOCK[[#This Row],[Code]])</f>
        <v>0</v>
      </c>
      <c r="L1455" s="96">
        <f>STOCK[[#This Row],[Entradas]]-STOCK[[#This Row],[Salidas]]</f>
        <v>2</v>
      </c>
      <c r="M1455" s="94">
        <f>STOCK[[#This Row],[Precio Final]]*10%</f>
        <v>3</v>
      </c>
      <c r="N1455" s="94">
        <v>0</v>
      </c>
      <c r="O1455" s="94">
        <v>0</v>
      </c>
      <c r="P1455" s="94">
        <v>10.81</v>
      </c>
      <c r="Q1455" s="96">
        <v>0</v>
      </c>
      <c r="R1455" s="94">
        <v>0</v>
      </c>
      <c r="S1455" s="94">
        <v>1.65</v>
      </c>
      <c r="T1455" s="94">
        <f>STOCK[[#This Row],[Costo Unitario (USD)]]+STOCK[[#This Row],[Costo Envío (USD)]]+STOCK[[#This Row],[Comisión 10%]]</f>
        <v>15.46</v>
      </c>
      <c r="U1455" s="76">
        <f>STOCK[[#This Row],[Costo total]]*1.5</f>
        <v>23.19</v>
      </c>
      <c r="V1455" s="94">
        <v>30</v>
      </c>
      <c r="W1455" s="94">
        <f>STOCK[[#This Row],[Precio Final]]-STOCK[[#This Row],[Costo total]]</f>
        <v>14.54</v>
      </c>
      <c r="X1455" s="94">
        <f>STOCK[[#This Row],[Ganancia Unitaria]]*STOCK[[#This Row],[Salidas]]</f>
        <v>0</v>
      </c>
      <c r="Y1455" s="94"/>
      <c r="Z1455" s="94"/>
      <c r="AA1455" s="94">
        <f>STOCK[[#This Row],[Costo total]]*STOCK[[#This Row],[Entradas]]</f>
        <v>30.92</v>
      </c>
      <c r="AB1455" s="94">
        <f>STOCK[[#This Row],[Stock Actual]]*STOCK[[#This Row],[Costo total]]</f>
        <v>30.92</v>
      </c>
      <c r="AC1455" s="94"/>
    </row>
    <row r="1456" s="76" customFormat="1" ht="50" hidden="1" customHeight="1" spans="1:29">
      <c r="A1456" s="76" t="s">
        <v>2931</v>
      </c>
      <c r="B1456" s="95"/>
      <c r="C1456" s="94" t="s">
        <v>30</v>
      </c>
      <c r="D1456" s="94" t="s">
        <v>2842</v>
      </c>
      <c r="E1456" s="94" t="s">
        <v>2927</v>
      </c>
      <c r="F1456" s="94" t="s">
        <v>40</v>
      </c>
      <c r="G1456" s="94"/>
      <c r="H1456" s="94">
        <f>STOCK[[#This Row],[Precio Final]]</f>
        <v>30</v>
      </c>
      <c r="I1456" s="98">
        <f>STOCK[[#This Row],[Precio Venta Ideal (x1.5)]]</f>
        <v>23.19</v>
      </c>
      <c r="J1456" s="96">
        <v>2</v>
      </c>
      <c r="K1456" s="96">
        <f>SUMIFS(VENTAS[Cantidad],VENTAS[Código del producto Vendido],STOCK[[#This Row],[Code]])</f>
        <v>0</v>
      </c>
      <c r="L1456" s="96">
        <f>STOCK[[#This Row],[Entradas]]-STOCK[[#This Row],[Salidas]]</f>
        <v>2</v>
      </c>
      <c r="M1456" s="94">
        <f>STOCK[[#This Row],[Precio Final]]*10%</f>
        <v>3</v>
      </c>
      <c r="N1456" s="94">
        <v>0</v>
      </c>
      <c r="O1456" s="94">
        <v>0</v>
      </c>
      <c r="P1456" s="94">
        <v>10.81</v>
      </c>
      <c r="Q1456" s="96">
        <v>0</v>
      </c>
      <c r="R1456" s="94">
        <v>0</v>
      </c>
      <c r="S1456" s="94">
        <v>1.65</v>
      </c>
      <c r="T1456" s="94">
        <f>STOCK[[#This Row],[Costo Unitario (USD)]]+STOCK[[#This Row],[Costo Envío (USD)]]+STOCK[[#This Row],[Comisión 10%]]</f>
        <v>15.46</v>
      </c>
      <c r="U1456" s="76">
        <f>STOCK[[#This Row],[Costo total]]*1.5</f>
        <v>23.19</v>
      </c>
      <c r="V1456" s="94">
        <v>30</v>
      </c>
      <c r="W1456" s="94">
        <f>STOCK[[#This Row],[Precio Final]]-STOCK[[#This Row],[Costo total]]</f>
        <v>14.54</v>
      </c>
      <c r="X1456" s="94">
        <f>STOCK[[#This Row],[Ganancia Unitaria]]*STOCK[[#This Row],[Salidas]]</f>
        <v>0</v>
      </c>
      <c r="Y1456" s="94"/>
      <c r="Z1456" s="94"/>
      <c r="AA1456" s="94">
        <f>STOCK[[#This Row],[Costo total]]*STOCK[[#This Row],[Entradas]]</f>
        <v>30.92</v>
      </c>
      <c r="AB1456" s="94">
        <f>STOCK[[#This Row],[Stock Actual]]*STOCK[[#This Row],[Costo total]]</f>
        <v>30.92</v>
      </c>
      <c r="AC1456" s="94"/>
    </row>
    <row r="1457" s="76" customFormat="1" ht="50" hidden="1" customHeight="1" spans="1:29">
      <c r="A1457" s="76" t="s">
        <v>2932</v>
      </c>
      <c r="B1457" s="95"/>
      <c r="C1457" s="94" t="s">
        <v>30</v>
      </c>
      <c r="D1457" s="94" t="s">
        <v>1224</v>
      </c>
      <c r="E1457" s="94" t="s">
        <v>2933</v>
      </c>
      <c r="F1457" s="94" t="s">
        <v>539</v>
      </c>
      <c r="G1457" s="94"/>
      <c r="H1457" s="94">
        <f>STOCK[[#This Row],[Precio Final]]</f>
        <v>18</v>
      </c>
      <c r="I1457" s="98">
        <f>STOCK[[#This Row],[Precio Venta Ideal (x1.5)]]</f>
        <v>16.89</v>
      </c>
      <c r="J1457" s="96">
        <v>1</v>
      </c>
      <c r="K1457" s="96">
        <f>SUMIFS(VENTAS[Cantidad],VENTAS[Código del producto Vendido],STOCK[[#This Row],[Code]])</f>
        <v>1</v>
      </c>
      <c r="L1457" s="96">
        <f>STOCK[[#This Row],[Entradas]]-STOCK[[#This Row],[Salidas]]</f>
        <v>0</v>
      </c>
      <c r="M1457" s="94">
        <f>STOCK[[#This Row],[Precio Final]]*10%</f>
        <v>1.8</v>
      </c>
      <c r="N1457" s="94">
        <v>0</v>
      </c>
      <c r="O1457" s="94">
        <v>0</v>
      </c>
      <c r="P1457" s="94">
        <v>7.81</v>
      </c>
      <c r="Q1457" s="96">
        <v>0</v>
      </c>
      <c r="R1457" s="94">
        <v>0</v>
      </c>
      <c r="S1457" s="94">
        <v>1.65</v>
      </c>
      <c r="T1457" s="94">
        <f>STOCK[[#This Row],[Costo Unitario (USD)]]+STOCK[[#This Row],[Costo Envío (USD)]]+STOCK[[#This Row],[Comisión 10%]]</f>
        <v>11.26</v>
      </c>
      <c r="U1457" s="76">
        <f>STOCK[[#This Row],[Costo total]]*1.5</f>
        <v>16.89</v>
      </c>
      <c r="V1457" s="94">
        <v>18</v>
      </c>
      <c r="W1457" s="94">
        <f>STOCK[[#This Row],[Precio Final]]-STOCK[[#This Row],[Costo total]]</f>
        <v>6.74</v>
      </c>
      <c r="X1457" s="94">
        <f>STOCK[[#This Row],[Ganancia Unitaria]]*STOCK[[#This Row],[Salidas]]</f>
        <v>6.74</v>
      </c>
      <c r="Y1457" s="94"/>
      <c r="Z1457" s="94"/>
      <c r="AA1457" s="94">
        <f>STOCK[[#This Row],[Costo total]]*STOCK[[#This Row],[Entradas]]</f>
        <v>11.26</v>
      </c>
      <c r="AB1457" s="94">
        <f>STOCK[[#This Row],[Stock Actual]]*STOCK[[#This Row],[Costo total]]</f>
        <v>0</v>
      </c>
      <c r="AC1457" s="94"/>
    </row>
    <row r="1458" s="76" customFormat="1" ht="50" hidden="1" customHeight="1" spans="1:29">
      <c r="A1458" s="76" t="s">
        <v>2934</v>
      </c>
      <c r="B1458" s="95"/>
      <c r="C1458" s="94" t="s">
        <v>30</v>
      </c>
      <c r="D1458" s="94" t="s">
        <v>1224</v>
      </c>
      <c r="E1458" s="94" t="s">
        <v>2933</v>
      </c>
      <c r="F1458" s="94" t="s">
        <v>757</v>
      </c>
      <c r="G1458" s="94"/>
      <c r="H1458" s="94">
        <f>STOCK[[#This Row],[Precio Final]]</f>
        <v>18</v>
      </c>
      <c r="I1458" s="98">
        <f>STOCK[[#This Row],[Precio Venta Ideal (x1.5)]]</f>
        <v>16.89</v>
      </c>
      <c r="J1458" s="96">
        <v>1</v>
      </c>
      <c r="K1458" s="96">
        <f>SUMIFS(VENTAS[Cantidad],VENTAS[Código del producto Vendido],STOCK[[#This Row],[Code]])</f>
        <v>1</v>
      </c>
      <c r="L1458" s="96">
        <f>STOCK[[#This Row],[Entradas]]-STOCK[[#This Row],[Salidas]]</f>
        <v>0</v>
      </c>
      <c r="M1458" s="94">
        <f>STOCK[[#This Row],[Precio Final]]*10%</f>
        <v>1.8</v>
      </c>
      <c r="N1458" s="94">
        <v>0</v>
      </c>
      <c r="O1458" s="94">
        <v>0</v>
      </c>
      <c r="P1458" s="94">
        <v>7.81</v>
      </c>
      <c r="Q1458" s="96">
        <v>0</v>
      </c>
      <c r="R1458" s="94">
        <v>0</v>
      </c>
      <c r="S1458" s="94">
        <v>1.65</v>
      </c>
      <c r="T1458" s="94">
        <f>STOCK[[#This Row],[Costo Unitario (USD)]]+STOCK[[#This Row],[Costo Envío (USD)]]+STOCK[[#This Row],[Comisión 10%]]</f>
        <v>11.26</v>
      </c>
      <c r="U1458" s="76">
        <f>STOCK[[#This Row],[Costo total]]*1.5</f>
        <v>16.89</v>
      </c>
      <c r="V1458" s="94">
        <v>18</v>
      </c>
      <c r="W1458" s="94">
        <f>STOCK[[#This Row],[Precio Final]]-STOCK[[#This Row],[Costo total]]</f>
        <v>6.74</v>
      </c>
      <c r="X1458" s="94">
        <f>STOCK[[#This Row],[Ganancia Unitaria]]*STOCK[[#This Row],[Salidas]]</f>
        <v>6.74</v>
      </c>
      <c r="Y1458" s="94"/>
      <c r="Z1458" s="94"/>
      <c r="AA1458" s="94">
        <f>STOCK[[#This Row],[Costo total]]*STOCK[[#This Row],[Entradas]]</f>
        <v>11.26</v>
      </c>
      <c r="AB1458" s="94">
        <f>STOCK[[#This Row],[Stock Actual]]*STOCK[[#This Row],[Costo total]]</f>
        <v>0</v>
      </c>
      <c r="AC1458" s="94"/>
    </row>
    <row r="1459" s="76" customFormat="1" ht="50" hidden="1" customHeight="1" spans="1:29">
      <c r="A1459" s="76" t="s">
        <v>2935</v>
      </c>
      <c r="B1459" s="95"/>
      <c r="C1459" s="94" t="s">
        <v>30</v>
      </c>
      <c r="D1459" s="94" t="s">
        <v>2626</v>
      </c>
      <c r="E1459" s="94" t="s">
        <v>2936</v>
      </c>
      <c r="F1459" s="94" t="s">
        <v>60</v>
      </c>
      <c r="G1459" s="94"/>
      <c r="H1459" s="94">
        <f>STOCK[[#This Row],[Precio Final]]</f>
        <v>25</v>
      </c>
      <c r="I1459" s="98">
        <f>STOCK[[#This Row],[Precio Venta Ideal (x1.5)]]</f>
        <v>19.935</v>
      </c>
      <c r="J1459" s="96">
        <v>1</v>
      </c>
      <c r="K1459" s="96">
        <f>SUMIFS(VENTAS[Cantidad],VENTAS[Código del producto Vendido],STOCK[[#This Row],[Code]])</f>
        <v>1</v>
      </c>
      <c r="L1459" s="96">
        <f>STOCK[[#This Row],[Entradas]]-STOCK[[#This Row],[Salidas]]</f>
        <v>0</v>
      </c>
      <c r="M1459" s="94">
        <f>STOCK[[#This Row],[Precio Final]]*10%</f>
        <v>2.5</v>
      </c>
      <c r="N1459" s="94">
        <v>0</v>
      </c>
      <c r="O1459" s="94">
        <v>0</v>
      </c>
      <c r="P1459" s="94">
        <v>9.14</v>
      </c>
      <c r="Q1459" s="96">
        <v>0</v>
      </c>
      <c r="R1459" s="94">
        <v>0</v>
      </c>
      <c r="S1459" s="94">
        <v>1.65</v>
      </c>
      <c r="T1459" s="94">
        <f>STOCK[[#This Row],[Costo Unitario (USD)]]+STOCK[[#This Row],[Costo Envío (USD)]]+STOCK[[#This Row],[Comisión 10%]]</f>
        <v>13.29</v>
      </c>
      <c r="U1459" s="76">
        <f>STOCK[[#This Row],[Costo total]]*1.5</f>
        <v>19.935</v>
      </c>
      <c r="V1459" s="94">
        <v>25</v>
      </c>
      <c r="W1459" s="94">
        <f>STOCK[[#This Row],[Precio Final]]-STOCK[[#This Row],[Costo total]]</f>
        <v>11.71</v>
      </c>
      <c r="X1459" s="94">
        <f>STOCK[[#This Row],[Ganancia Unitaria]]*STOCK[[#This Row],[Salidas]]</f>
        <v>11.71</v>
      </c>
      <c r="Y1459" s="94"/>
      <c r="Z1459" s="94"/>
      <c r="AA1459" s="94">
        <f>STOCK[[#This Row],[Costo total]]*STOCK[[#This Row],[Entradas]]</f>
        <v>13.29</v>
      </c>
      <c r="AB1459" s="94">
        <f>STOCK[[#This Row],[Stock Actual]]*STOCK[[#This Row],[Costo total]]</f>
        <v>0</v>
      </c>
      <c r="AC1459" s="94"/>
    </row>
    <row r="1460" s="76" customFormat="1" ht="50" hidden="1" customHeight="1" spans="1:29">
      <c r="A1460" s="76" t="s">
        <v>2937</v>
      </c>
      <c r="B1460" s="95"/>
      <c r="C1460" s="94" t="s">
        <v>30</v>
      </c>
      <c r="D1460" s="94" t="s">
        <v>2626</v>
      </c>
      <c r="E1460" s="94" t="s">
        <v>2936</v>
      </c>
      <c r="F1460" s="94" t="s">
        <v>47</v>
      </c>
      <c r="G1460" s="94"/>
      <c r="H1460" s="94">
        <f>STOCK[[#This Row],[Precio Final]]</f>
        <v>25</v>
      </c>
      <c r="I1460" s="98">
        <f>STOCK[[#This Row],[Precio Venta Ideal (x1.5)]]</f>
        <v>19.935</v>
      </c>
      <c r="J1460" s="96">
        <v>1</v>
      </c>
      <c r="K1460" s="96">
        <f>SUMIFS(VENTAS[Cantidad],VENTAS[Código del producto Vendido],STOCK[[#This Row],[Code]])</f>
        <v>1</v>
      </c>
      <c r="L1460" s="96">
        <f>STOCK[[#This Row],[Entradas]]-STOCK[[#This Row],[Salidas]]</f>
        <v>0</v>
      </c>
      <c r="M1460" s="94">
        <f>STOCK[[#This Row],[Precio Final]]*10%</f>
        <v>2.5</v>
      </c>
      <c r="N1460" s="94">
        <v>0</v>
      </c>
      <c r="O1460" s="94">
        <v>0</v>
      </c>
      <c r="P1460" s="94">
        <v>9.14</v>
      </c>
      <c r="Q1460" s="96">
        <v>0</v>
      </c>
      <c r="R1460" s="94">
        <v>0</v>
      </c>
      <c r="S1460" s="94">
        <v>1.65</v>
      </c>
      <c r="T1460" s="94">
        <f>STOCK[[#This Row],[Costo Unitario (USD)]]+STOCK[[#This Row],[Costo Envío (USD)]]+STOCK[[#This Row],[Comisión 10%]]</f>
        <v>13.29</v>
      </c>
      <c r="U1460" s="76">
        <f>STOCK[[#This Row],[Costo total]]*1.5</f>
        <v>19.935</v>
      </c>
      <c r="V1460" s="94">
        <v>25</v>
      </c>
      <c r="W1460" s="94">
        <f>STOCK[[#This Row],[Precio Final]]-STOCK[[#This Row],[Costo total]]</f>
        <v>11.71</v>
      </c>
      <c r="X1460" s="94">
        <f>STOCK[[#This Row],[Ganancia Unitaria]]*STOCK[[#This Row],[Salidas]]</f>
        <v>11.71</v>
      </c>
      <c r="Y1460" s="94"/>
      <c r="Z1460" s="94"/>
      <c r="AA1460" s="94">
        <f>STOCK[[#This Row],[Costo total]]*STOCK[[#This Row],[Entradas]]</f>
        <v>13.29</v>
      </c>
      <c r="AB1460" s="94">
        <f>STOCK[[#This Row],[Stock Actual]]*STOCK[[#This Row],[Costo total]]</f>
        <v>0</v>
      </c>
      <c r="AC1460" s="94"/>
    </row>
    <row r="1461" s="76" customFormat="1" ht="50" hidden="1" customHeight="1" spans="1:29">
      <c r="A1461" s="76" t="s">
        <v>2938</v>
      </c>
      <c r="B1461" s="95"/>
      <c r="C1461" s="94" t="s">
        <v>30</v>
      </c>
      <c r="D1461" s="94" t="s">
        <v>2626</v>
      </c>
      <c r="E1461" s="94" t="s">
        <v>2936</v>
      </c>
      <c r="F1461" s="94" t="s">
        <v>44</v>
      </c>
      <c r="G1461" s="94"/>
      <c r="H1461" s="94">
        <f>STOCK[[#This Row],[Precio Final]]</f>
        <v>25</v>
      </c>
      <c r="I1461" s="98">
        <f>STOCK[[#This Row],[Precio Venta Ideal (x1.5)]]</f>
        <v>19.935</v>
      </c>
      <c r="J1461" s="96">
        <v>1</v>
      </c>
      <c r="K1461" s="96">
        <f>SUMIFS(VENTAS[Cantidad],VENTAS[Código del producto Vendido],STOCK[[#This Row],[Code]])</f>
        <v>0</v>
      </c>
      <c r="L1461" s="96">
        <f>STOCK[[#This Row],[Entradas]]-STOCK[[#This Row],[Salidas]]</f>
        <v>1</v>
      </c>
      <c r="M1461" s="94">
        <f>STOCK[[#This Row],[Precio Final]]*10%</f>
        <v>2.5</v>
      </c>
      <c r="N1461" s="94">
        <v>0</v>
      </c>
      <c r="O1461" s="94">
        <v>0</v>
      </c>
      <c r="P1461" s="94">
        <v>9.14</v>
      </c>
      <c r="Q1461" s="96">
        <v>0</v>
      </c>
      <c r="R1461" s="94">
        <v>0</v>
      </c>
      <c r="S1461" s="94">
        <v>1.65</v>
      </c>
      <c r="T1461" s="94">
        <f>STOCK[[#This Row],[Costo Unitario (USD)]]+STOCK[[#This Row],[Costo Envío (USD)]]+STOCK[[#This Row],[Comisión 10%]]</f>
        <v>13.29</v>
      </c>
      <c r="U1461" s="76">
        <f>STOCK[[#This Row],[Costo total]]*1.5</f>
        <v>19.935</v>
      </c>
      <c r="V1461" s="94">
        <v>25</v>
      </c>
      <c r="W1461" s="94">
        <f>STOCK[[#This Row],[Precio Final]]-STOCK[[#This Row],[Costo total]]</f>
        <v>11.71</v>
      </c>
      <c r="X1461" s="94">
        <f>STOCK[[#This Row],[Ganancia Unitaria]]*STOCK[[#This Row],[Salidas]]</f>
        <v>0</v>
      </c>
      <c r="Y1461" s="94"/>
      <c r="Z1461" s="94"/>
      <c r="AA1461" s="94">
        <f>STOCK[[#This Row],[Costo total]]*STOCK[[#This Row],[Entradas]]</f>
        <v>13.29</v>
      </c>
      <c r="AB1461" s="94">
        <f>STOCK[[#This Row],[Stock Actual]]*STOCK[[#This Row],[Costo total]]</f>
        <v>13.29</v>
      </c>
      <c r="AC1461" s="94"/>
    </row>
    <row r="1462" s="76" customFormat="1" ht="50" hidden="1" customHeight="1" spans="1:29">
      <c r="A1462" s="76" t="s">
        <v>2939</v>
      </c>
      <c r="B1462" s="95"/>
      <c r="C1462" s="94" t="s">
        <v>30</v>
      </c>
      <c r="D1462" s="94" t="s">
        <v>2626</v>
      </c>
      <c r="E1462" s="94" t="s">
        <v>2940</v>
      </c>
      <c r="F1462" s="94" t="s">
        <v>2819</v>
      </c>
      <c r="G1462" s="94"/>
      <c r="H1462" s="94">
        <f>STOCK[[#This Row],[Precio Final]]</f>
        <v>25</v>
      </c>
      <c r="I1462" s="98">
        <f>STOCK[[#This Row],[Precio Venta Ideal (x1.5)]]</f>
        <v>16.56</v>
      </c>
      <c r="J1462" s="96">
        <v>5</v>
      </c>
      <c r="K1462" s="96">
        <f>SUMIFS(VENTAS[Cantidad],VENTAS[Código del producto Vendido],STOCK[[#This Row],[Code]])</f>
        <v>0</v>
      </c>
      <c r="L1462" s="96">
        <f>STOCK[[#This Row],[Entradas]]-STOCK[[#This Row],[Salidas]]</f>
        <v>5</v>
      </c>
      <c r="M1462" s="94">
        <f>STOCK[[#This Row],[Precio Final]]*10%</f>
        <v>2.5</v>
      </c>
      <c r="N1462" s="94">
        <v>0</v>
      </c>
      <c r="O1462" s="94">
        <v>0</v>
      </c>
      <c r="P1462" s="94">
        <v>6.89</v>
      </c>
      <c r="Q1462" s="96">
        <v>0</v>
      </c>
      <c r="R1462" s="94">
        <v>0</v>
      </c>
      <c r="S1462" s="94">
        <v>1.65</v>
      </c>
      <c r="T1462" s="94">
        <f>STOCK[[#This Row],[Costo Unitario (USD)]]+STOCK[[#This Row],[Costo Envío (USD)]]+STOCK[[#This Row],[Comisión 10%]]</f>
        <v>11.04</v>
      </c>
      <c r="U1462" s="76">
        <f>STOCK[[#This Row],[Costo total]]*1.5</f>
        <v>16.56</v>
      </c>
      <c r="V1462" s="94">
        <v>25</v>
      </c>
      <c r="W1462" s="94">
        <f>STOCK[[#This Row],[Precio Final]]-STOCK[[#This Row],[Costo total]]</f>
        <v>13.96</v>
      </c>
      <c r="X1462" s="94">
        <f>STOCK[[#This Row],[Ganancia Unitaria]]*STOCK[[#This Row],[Salidas]]</f>
        <v>0</v>
      </c>
      <c r="Y1462" s="94"/>
      <c r="Z1462" s="94"/>
      <c r="AA1462" s="94">
        <f>STOCK[[#This Row],[Costo total]]*STOCK[[#This Row],[Entradas]]</f>
        <v>55.2</v>
      </c>
      <c r="AB1462" s="94">
        <f>STOCK[[#This Row],[Stock Actual]]*STOCK[[#This Row],[Costo total]]</f>
        <v>55.2</v>
      </c>
      <c r="AC1462" s="94"/>
    </row>
    <row r="1463" s="76" customFormat="1" ht="50" hidden="1" customHeight="1" spans="1:29">
      <c r="A1463" s="76" t="s">
        <v>2941</v>
      </c>
      <c r="B1463" s="95"/>
      <c r="C1463" s="94" t="s">
        <v>30</v>
      </c>
      <c r="D1463" s="94" t="s">
        <v>2626</v>
      </c>
      <c r="E1463" s="94" t="s">
        <v>2942</v>
      </c>
      <c r="F1463" s="94" t="s">
        <v>60</v>
      </c>
      <c r="G1463" s="94"/>
      <c r="H1463" s="94">
        <f>STOCK[[#This Row],[Precio Final]]</f>
        <v>30</v>
      </c>
      <c r="I1463" s="98">
        <f>STOCK[[#This Row],[Precio Venta Ideal (x1.5)]]</f>
        <v>19.8</v>
      </c>
      <c r="J1463" s="96">
        <v>1</v>
      </c>
      <c r="K1463" s="96">
        <f>SUMIFS(VENTAS[Cantidad],VENTAS[Código del producto Vendido],STOCK[[#This Row],[Code]])</f>
        <v>0</v>
      </c>
      <c r="L1463" s="96">
        <f>STOCK[[#This Row],[Entradas]]-STOCK[[#This Row],[Salidas]]</f>
        <v>1</v>
      </c>
      <c r="M1463" s="94">
        <f>STOCK[[#This Row],[Precio Final]]*10%</f>
        <v>3</v>
      </c>
      <c r="N1463" s="94">
        <v>0</v>
      </c>
      <c r="O1463" s="94">
        <v>0</v>
      </c>
      <c r="P1463" s="94">
        <v>8.55</v>
      </c>
      <c r="Q1463" s="96">
        <v>0</v>
      </c>
      <c r="R1463" s="94">
        <v>0</v>
      </c>
      <c r="S1463" s="94">
        <v>1.65</v>
      </c>
      <c r="T1463" s="94">
        <f>STOCK[[#This Row],[Costo Unitario (USD)]]+STOCK[[#This Row],[Costo Envío (USD)]]+STOCK[[#This Row],[Comisión 10%]]</f>
        <v>13.2</v>
      </c>
      <c r="U1463" s="76">
        <f>STOCK[[#This Row],[Costo total]]*1.5</f>
        <v>19.8</v>
      </c>
      <c r="V1463" s="94">
        <v>30</v>
      </c>
      <c r="W1463" s="94">
        <f>STOCK[[#This Row],[Precio Final]]-STOCK[[#This Row],[Costo total]]</f>
        <v>16.8</v>
      </c>
      <c r="X1463" s="94">
        <f>STOCK[[#This Row],[Ganancia Unitaria]]*STOCK[[#This Row],[Salidas]]</f>
        <v>0</v>
      </c>
      <c r="Y1463" s="94"/>
      <c r="Z1463" s="94"/>
      <c r="AA1463" s="94">
        <f>STOCK[[#This Row],[Costo total]]*STOCK[[#This Row],[Entradas]]</f>
        <v>13.2</v>
      </c>
      <c r="AB1463" s="94">
        <f>STOCK[[#This Row],[Stock Actual]]*STOCK[[#This Row],[Costo total]]</f>
        <v>13.2</v>
      </c>
      <c r="AC1463" s="94"/>
    </row>
    <row r="1464" s="76" customFormat="1" ht="50" hidden="1" customHeight="1" spans="1:29">
      <c r="A1464" s="76" t="s">
        <v>2943</v>
      </c>
      <c r="B1464" s="95"/>
      <c r="C1464" s="94" t="s">
        <v>30</v>
      </c>
      <c r="D1464" s="94" t="s">
        <v>2626</v>
      </c>
      <c r="E1464" s="94" t="s">
        <v>2944</v>
      </c>
      <c r="F1464" s="94" t="s">
        <v>60</v>
      </c>
      <c r="G1464" s="94"/>
      <c r="H1464" s="94">
        <f>STOCK[[#This Row],[Precio Final]]</f>
        <v>35</v>
      </c>
      <c r="I1464" s="98">
        <f>STOCK[[#This Row],[Precio Venta Ideal (x1.5)]]</f>
        <v>21.165</v>
      </c>
      <c r="J1464" s="96">
        <v>1</v>
      </c>
      <c r="K1464" s="96">
        <f>SUMIFS(VENTAS[Cantidad],VENTAS[Código del producto Vendido],STOCK[[#This Row],[Code]])</f>
        <v>0</v>
      </c>
      <c r="L1464" s="96">
        <f>STOCK[[#This Row],[Entradas]]-STOCK[[#This Row],[Salidas]]</f>
        <v>1</v>
      </c>
      <c r="M1464" s="94">
        <f>STOCK[[#This Row],[Precio Final]]*10%</f>
        <v>3.5</v>
      </c>
      <c r="N1464" s="94">
        <v>0</v>
      </c>
      <c r="O1464" s="94">
        <v>0</v>
      </c>
      <c r="P1464" s="94">
        <v>8.96</v>
      </c>
      <c r="Q1464" s="96">
        <v>0</v>
      </c>
      <c r="R1464" s="94">
        <v>0</v>
      </c>
      <c r="S1464" s="94">
        <v>1.65</v>
      </c>
      <c r="T1464" s="94">
        <f>STOCK[[#This Row],[Costo Unitario (USD)]]+STOCK[[#This Row],[Costo Envío (USD)]]+STOCK[[#This Row],[Comisión 10%]]</f>
        <v>14.11</v>
      </c>
      <c r="U1464" s="76">
        <f>STOCK[[#This Row],[Costo total]]*1.5</f>
        <v>21.165</v>
      </c>
      <c r="V1464" s="94">
        <v>35</v>
      </c>
      <c r="W1464" s="94">
        <f>STOCK[[#This Row],[Precio Final]]-STOCK[[#This Row],[Costo total]]</f>
        <v>20.89</v>
      </c>
      <c r="X1464" s="94">
        <f>STOCK[[#This Row],[Ganancia Unitaria]]*STOCK[[#This Row],[Salidas]]</f>
        <v>0</v>
      </c>
      <c r="Y1464" s="94"/>
      <c r="Z1464" s="94"/>
      <c r="AA1464" s="94">
        <f>STOCK[[#This Row],[Costo total]]*STOCK[[#This Row],[Entradas]]</f>
        <v>14.11</v>
      </c>
      <c r="AB1464" s="94">
        <f>STOCK[[#This Row],[Stock Actual]]*STOCK[[#This Row],[Costo total]]</f>
        <v>14.11</v>
      </c>
      <c r="AC1464" s="94"/>
    </row>
    <row r="1465" s="76" customFormat="1" ht="50" hidden="1" customHeight="1" spans="1:29">
      <c r="A1465" s="76" t="s">
        <v>2945</v>
      </c>
      <c r="B1465" s="95"/>
      <c r="C1465" s="94" t="s">
        <v>30</v>
      </c>
      <c r="D1465" s="94" t="s">
        <v>1210</v>
      </c>
      <c r="E1465" s="94" t="s">
        <v>2946</v>
      </c>
      <c r="F1465" s="94" t="s">
        <v>60</v>
      </c>
      <c r="G1465" s="94"/>
      <c r="H1465" s="94">
        <f>STOCK[[#This Row],[Precio Final]]</f>
        <v>30</v>
      </c>
      <c r="I1465" s="98">
        <f>STOCK[[#This Row],[Precio Venta Ideal (x1.5)]]</f>
        <v>17.4</v>
      </c>
      <c r="J1465" s="96">
        <v>3</v>
      </c>
      <c r="K1465" s="96">
        <f>SUMIFS(VENTAS[Cantidad],VENTAS[Código del producto Vendido],STOCK[[#This Row],[Code]])</f>
        <v>0</v>
      </c>
      <c r="L1465" s="96">
        <f>STOCK[[#This Row],[Entradas]]-STOCK[[#This Row],[Salidas]]</f>
        <v>3</v>
      </c>
      <c r="M1465" s="94">
        <f>STOCK[[#This Row],[Precio Final]]*10%</f>
        <v>3</v>
      </c>
      <c r="N1465" s="94">
        <v>0</v>
      </c>
      <c r="O1465" s="94">
        <v>0</v>
      </c>
      <c r="P1465" s="94">
        <v>6.95</v>
      </c>
      <c r="Q1465" s="96">
        <v>0</v>
      </c>
      <c r="R1465" s="94">
        <v>0</v>
      </c>
      <c r="S1465" s="94">
        <v>1.65</v>
      </c>
      <c r="T1465" s="94">
        <f>STOCK[[#This Row],[Costo Unitario (USD)]]+STOCK[[#This Row],[Costo Envío (USD)]]+STOCK[[#This Row],[Comisión 10%]]</f>
        <v>11.6</v>
      </c>
      <c r="U1465" s="76">
        <f>STOCK[[#This Row],[Costo total]]*1.5</f>
        <v>17.4</v>
      </c>
      <c r="V1465" s="94">
        <v>30</v>
      </c>
      <c r="W1465" s="94">
        <f>STOCK[[#This Row],[Precio Final]]-STOCK[[#This Row],[Costo total]]</f>
        <v>18.4</v>
      </c>
      <c r="X1465" s="94">
        <f>STOCK[[#This Row],[Ganancia Unitaria]]*STOCK[[#This Row],[Salidas]]</f>
        <v>0</v>
      </c>
      <c r="Y1465" s="94"/>
      <c r="Z1465" s="94"/>
      <c r="AA1465" s="94">
        <f>STOCK[[#This Row],[Costo total]]*STOCK[[#This Row],[Entradas]]</f>
        <v>34.8</v>
      </c>
      <c r="AB1465" s="94">
        <f>STOCK[[#This Row],[Stock Actual]]*STOCK[[#This Row],[Costo total]]</f>
        <v>34.8</v>
      </c>
      <c r="AC1465" s="94"/>
    </row>
    <row r="1466" s="76" customFormat="1" ht="50" hidden="1" customHeight="1" spans="1:29">
      <c r="A1466" s="76" t="s">
        <v>2947</v>
      </c>
      <c r="B1466" s="95"/>
      <c r="C1466" s="94" t="s">
        <v>30</v>
      </c>
      <c r="D1466" s="94" t="s">
        <v>1210</v>
      </c>
      <c r="E1466" s="94" t="s">
        <v>2946</v>
      </c>
      <c r="F1466" s="94" t="s">
        <v>47</v>
      </c>
      <c r="G1466" s="94"/>
      <c r="H1466" s="94">
        <f>STOCK[[#This Row],[Precio Final]]</f>
        <v>30</v>
      </c>
      <c r="I1466" s="98">
        <f>STOCK[[#This Row],[Precio Venta Ideal (x1.5)]]</f>
        <v>17.4</v>
      </c>
      <c r="J1466" s="96">
        <v>3</v>
      </c>
      <c r="K1466" s="96">
        <f>SUMIFS(VENTAS[Cantidad],VENTAS[Código del producto Vendido],STOCK[[#This Row],[Code]])</f>
        <v>0</v>
      </c>
      <c r="L1466" s="96">
        <f>STOCK[[#This Row],[Entradas]]-STOCK[[#This Row],[Salidas]]</f>
        <v>3</v>
      </c>
      <c r="M1466" s="94">
        <f>STOCK[[#This Row],[Precio Final]]*10%</f>
        <v>3</v>
      </c>
      <c r="N1466" s="94">
        <v>0</v>
      </c>
      <c r="O1466" s="94">
        <v>0</v>
      </c>
      <c r="P1466" s="94">
        <v>6.95</v>
      </c>
      <c r="Q1466" s="96">
        <v>0</v>
      </c>
      <c r="R1466" s="94">
        <v>0</v>
      </c>
      <c r="S1466" s="94">
        <v>1.65</v>
      </c>
      <c r="T1466" s="94">
        <f>STOCK[[#This Row],[Costo Unitario (USD)]]+STOCK[[#This Row],[Costo Envío (USD)]]+STOCK[[#This Row],[Comisión 10%]]</f>
        <v>11.6</v>
      </c>
      <c r="U1466" s="76">
        <f>STOCK[[#This Row],[Costo total]]*1.5</f>
        <v>17.4</v>
      </c>
      <c r="V1466" s="94">
        <v>30</v>
      </c>
      <c r="W1466" s="94">
        <f>STOCK[[#This Row],[Precio Final]]-STOCK[[#This Row],[Costo total]]</f>
        <v>18.4</v>
      </c>
      <c r="X1466" s="94">
        <f>STOCK[[#This Row],[Ganancia Unitaria]]*STOCK[[#This Row],[Salidas]]</f>
        <v>0</v>
      </c>
      <c r="Y1466" s="94"/>
      <c r="Z1466" s="94"/>
      <c r="AA1466" s="94">
        <f>STOCK[[#This Row],[Costo total]]*STOCK[[#This Row],[Entradas]]</f>
        <v>34.8</v>
      </c>
      <c r="AB1466" s="94">
        <f>STOCK[[#This Row],[Stock Actual]]*STOCK[[#This Row],[Costo total]]</f>
        <v>34.8</v>
      </c>
      <c r="AC1466" s="94"/>
    </row>
    <row r="1467" s="76" customFormat="1" ht="50" hidden="1" customHeight="1" spans="1:29">
      <c r="A1467" s="76" t="s">
        <v>2948</v>
      </c>
      <c r="B1467" s="95"/>
      <c r="C1467" s="94" t="s">
        <v>30</v>
      </c>
      <c r="D1467" s="94" t="s">
        <v>1210</v>
      </c>
      <c r="E1467" s="94" t="s">
        <v>2946</v>
      </c>
      <c r="F1467" s="94" t="s">
        <v>44</v>
      </c>
      <c r="G1467" s="94"/>
      <c r="H1467" s="94">
        <f>STOCK[[#This Row],[Precio Final]]</f>
        <v>30</v>
      </c>
      <c r="I1467" s="98">
        <f>STOCK[[#This Row],[Precio Venta Ideal (x1.5)]]</f>
        <v>17.4</v>
      </c>
      <c r="J1467" s="96">
        <v>3</v>
      </c>
      <c r="K1467" s="96">
        <f>SUMIFS(VENTAS[Cantidad],VENTAS[Código del producto Vendido],STOCK[[#This Row],[Code]])</f>
        <v>0</v>
      </c>
      <c r="L1467" s="96">
        <f>STOCK[[#This Row],[Entradas]]-STOCK[[#This Row],[Salidas]]</f>
        <v>3</v>
      </c>
      <c r="M1467" s="94">
        <f>STOCK[[#This Row],[Precio Final]]*10%</f>
        <v>3</v>
      </c>
      <c r="N1467" s="94">
        <v>0</v>
      </c>
      <c r="O1467" s="94">
        <v>0</v>
      </c>
      <c r="P1467" s="94">
        <v>6.95</v>
      </c>
      <c r="Q1467" s="96">
        <v>0</v>
      </c>
      <c r="R1467" s="94">
        <v>0</v>
      </c>
      <c r="S1467" s="94">
        <v>1.65</v>
      </c>
      <c r="T1467" s="94">
        <f>STOCK[[#This Row],[Costo Unitario (USD)]]+STOCK[[#This Row],[Costo Envío (USD)]]+STOCK[[#This Row],[Comisión 10%]]</f>
        <v>11.6</v>
      </c>
      <c r="U1467" s="76">
        <f>STOCK[[#This Row],[Costo total]]*1.5</f>
        <v>17.4</v>
      </c>
      <c r="V1467" s="94">
        <v>30</v>
      </c>
      <c r="W1467" s="94">
        <f>STOCK[[#This Row],[Precio Final]]-STOCK[[#This Row],[Costo total]]</f>
        <v>18.4</v>
      </c>
      <c r="X1467" s="94">
        <f>STOCK[[#This Row],[Ganancia Unitaria]]*STOCK[[#This Row],[Salidas]]</f>
        <v>0</v>
      </c>
      <c r="Y1467" s="94"/>
      <c r="Z1467" s="94"/>
      <c r="AA1467" s="94">
        <f>STOCK[[#This Row],[Costo total]]*STOCK[[#This Row],[Entradas]]</f>
        <v>34.8</v>
      </c>
      <c r="AB1467" s="94">
        <f>STOCK[[#This Row],[Stock Actual]]*STOCK[[#This Row],[Costo total]]</f>
        <v>34.8</v>
      </c>
      <c r="AC1467" s="94"/>
    </row>
    <row r="1468" s="76" customFormat="1" ht="50" hidden="1" customHeight="1" spans="1:29">
      <c r="A1468" s="76" t="s">
        <v>2949</v>
      </c>
      <c r="B1468" s="95"/>
      <c r="C1468" s="94" t="s">
        <v>30</v>
      </c>
      <c r="D1468" s="94" t="s">
        <v>1210</v>
      </c>
      <c r="E1468" s="94" t="s">
        <v>2946</v>
      </c>
      <c r="F1468" s="94" t="s">
        <v>40</v>
      </c>
      <c r="G1468" s="94"/>
      <c r="H1468" s="94">
        <f>STOCK[[#This Row],[Precio Final]]</f>
        <v>30</v>
      </c>
      <c r="I1468" s="98">
        <f>STOCK[[#This Row],[Precio Venta Ideal (x1.5)]]</f>
        <v>17.4</v>
      </c>
      <c r="J1468" s="96">
        <v>3</v>
      </c>
      <c r="K1468" s="96">
        <f>SUMIFS(VENTAS[Cantidad],VENTAS[Código del producto Vendido],STOCK[[#This Row],[Code]])</f>
        <v>0</v>
      </c>
      <c r="L1468" s="96">
        <f>STOCK[[#This Row],[Entradas]]-STOCK[[#This Row],[Salidas]]</f>
        <v>3</v>
      </c>
      <c r="M1468" s="94">
        <f>STOCK[[#This Row],[Precio Final]]*10%</f>
        <v>3</v>
      </c>
      <c r="N1468" s="94">
        <v>0</v>
      </c>
      <c r="O1468" s="94">
        <v>0</v>
      </c>
      <c r="P1468" s="94">
        <v>6.95</v>
      </c>
      <c r="Q1468" s="96">
        <v>0</v>
      </c>
      <c r="R1468" s="94">
        <v>0</v>
      </c>
      <c r="S1468" s="94">
        <v>1.65</v>
      </c>
      <c r="T1468" s="94">
        <f>STOCK[[#This Row],[Costo Unitario (USD)]]+STOCK[[#This Row],[Costo Envío (USD)]]+STOCK[[#This Row],[Comisión 10%]]</f>
        <v>11.6</v>
      </c>
      <c r="U1468" s="76">
        <f>STOCK[[#This Row],[Costo total]]*1.5</f>
        <v>17.4</v>
      </c>
      <c r="V1468" s="94">
        <v>30</v>
      </c>
      <c r="W1468" s="94">
        <f>STOCK[[#This Row],[Precio Final]]-STOCK[[#This Row],[Costo total]]</f>
        <v>18.4</v>
      </c>
      <c r="X1468" s="94">
        <f>STOCK[[#This Row],[Ganancia Unitaria]]*STOCK[[#This Row],[Salidas]]</f>
        <v>0</v>
      </c>
      <c r="Y1468" s="94"/>
      <c r="Z1468" s="94"/>
      <c r="AA1468" s="94">
        <f>STOCK[[#This Row],[Costo total]]*STOCK[[#This Row],[Entradas]]</f>
        <v>34.8</v>
      </c>
      <c r="AB1468" s="94">
        <f>STOCK[[#This Row],[Stock Actual]]*STOCK[[#This Row],[Costo total]]</f>
        <v>34.8</v>
      </c>
      <c r="AC1468" s="94"/>
    </row>
    <row r="1469" s="76" customFormat="1" ht="50" hidden="1" customHeight="1" spans="1:29">
      <c r="A1469" s="76" t="s">
        <v>2950</v>
      </c>
      <c r="B1469" s="95"/>
      <c r="C1469" s="94" t="s">
        <v>30</v>
      </c>
      <c r="D1469" s="94" t="s">
        <v>2626</v>
      </c>
      <c r="E1469" s="94" t="s">
        <v>2951</v>
      </c>
      <c r="F1469" s="94" t="s">
        <v>60</v>
      </c>
      <c r="G1469" s="94"/>
      <c r="H1469" s="94">
        <f>STOCK[[#This Row],[Precio Final]]</f>
        <v>30</v>
      </c>
      <c r="I1469" s="98">
        <f>STOCK[[#This Row],[Precio Venta Ideal (x1.5)]]</f>
        <v>24.45</v>
      </c>
      <c r="J1469" s="96">
        <v>1</v>
      </c>
      <c r="K1469" s="96">
        <f>SUMIFS(VENTAS[Cantidad],VENTAS[Código del producto Vendido],STOCK[[#This Row],[Code]])</f>
        <v>1</v>
      </c>
      <c r="L1469" s="96">
        <f>STOCK[[#This Row],[Entradas]]-STOCK[[#This Row],[Salidas]]</f>
        <v>0</v>
      </c>
      <c r="M1469" s="94">
        <f>STOCK[[#This Row],[Precio Final]]*10%</f>
        <v>3</v>
      </c>
      <c r="N1469" s="94">
        <v>0</v>
      </c>
      <c r="O1469" s="94">
        <v>0</v>
      </c>
      <c r="P1469" s="94">
        <v>11.65</v>
      </c>
      <c r="Q1469" s="96">
        <v>0</v>
      </c>
      <c r="R1469" s="94">
        <v>0</v>
      </c>
      <c r="S1469" s="94">
        <v>1.65</v>
      </c>
      <c r="T1469" s="94">
        <f>STOCK[[#This Row],[Costo Unitario (USD)]]+STOCK[[#This Row],[Costo Envío (USD)]]+STOCK[[#This Row],[Comisión 10%]]</f>
        <v>16.3</v>
      </c>
      <c r="U1469" s="76">
        <f>STOCK[[#This Row],[Costo total]]*1.5</f>
        <v>24.45</v>
      </c>
      <c r="V1469" s="94">
        <v>30</v>
      </c>
      <c r="W1469" s="94">
        <f>STOCK[[#This Row],[Precio Final]]-STOCK[[#This Row],[Costo total]]</f>
        <v>13.7</v>
      </c>
      <c r="X1469" s="94">
        <f>STOCK[[#This Row],[Ganancia Unitaria]]*STOCK[[#This Row],[Salidas]]</f>
        <v>13.7</v>
      </c>
      <c r="Y1469" s="94"/>
      <c r="Z1469" s="94"/>
      <c r="AA1469" s="94">
        <f>STOCK[[#This Row],[Costo total]]*STOCK[[#This Row],[Entradas]]</f>
        <v>16.3</v>
      </c>
      <c r="AB1469" s="94">
        <f>STOCK[[#This Row],[Stock Actual]]*STOCK[[#This Row],[Costo total]]</f>
        <v>0</v>
      </c>
      <c r="AC1469" s="94"/>
    </row>
    <row r="1470" s="76" customFormat="1" ht="50" hidden="1" customHeight="1" spans="1:29">
      <c r="A1470" s="76" t="s">
        <v>2952</v>
      </c>
      <c r="B1470" s="95"/>
      <c r="C1470" s="94" t="s">
        <v>30</v>
      </c>
      <c r="D1470" s="94" t="s">
        <v>2626</v>
      </c>
      <c r="E1470" s="94" t="s">
        <v>2953</v>
      </c>
      <c r="F1470" s="94" t="s">
        <v>44</v>
      </c>
      <c r="G1470" s="94"/>
      <c r="H1470" s="94">
        <f>STOCK[[#This Row],[Precio Final]]</f>
        <v>30</v>
      </c>
      <c r="I1470" s="98">
        <f>STOCK[[#This Row],[Precio Venta Ideal (x1.5)]]</f>
        <v>21.945</v>
      </c>
      <c r="J1470" s="96">
        <v>4</v>
      </c>
      <c r="K1470" s="96">
        <f>SUMIFS(VENTAS[Cantidad],VENTAS[Código del producto Vendido],STOCK[[#This Row],[Code]])</f>
        <v>0</v>
      </c>
      <c r="L1470" s="96">
        <f>STOCK[[#This Row],[Entradas]]-STOCK[[#This Row],[Salidas]]</f>
        <v>4</v>
      </c>
      <c r="M1470" s="94">
        <f>STOCK[[#This Row],[Precio Final]]*10%</f>
        <v>3</v>
      </c>
      <c r="N1470" s="94">
        <v>0</v>
      </c>
      <c r="O1470" s="94">
        <v>0</v>
      </c>
      <c r="P1470" s="94">
        <v>9.98</v>
      </c>
      <c r="Q1470" s="96">
        <v>0</v>
      </c>
      <c r="R1470" s="94">
        <v>0</v>
      </c>
      <c r="S1470" s="94">
        <v>1.65</v>
      </c>
      <c r="T1470" s="94">
        <f>STOCK[[#This Row],[Costo Unitario (USD)]]+STOCK[[#This Row],[Costo Envío (USD)]]+STOCK[[#This Row],[Comisión 10%]]</f>
        <v>14.63</v>
      </c>
      <c r="U1470" s="76">
        <f>STOCK[[#This Row],[Costo total]]*1.5</f>
        <v>21.945</v>
      </c>
      <c r="V1470" s="94">
        <v>30</v>
      </c>
      <c r="W1470" s="94">
        <f>STOCK[[#This Row],[Precio Final]]-STOCK[[#This Row],[Costo total]]</f>
        <v>15.37</v>
      </c>
      <c r="X1470" s="94">
        <f>STOCK[[#This Row],[Ganancia Unitaria]]*STOCK[[#This Row],[Salidas]]</f>
        <v>0</v>
      </c>
      <c r="Y1470" s="94"/>
      <c r="Z1470" s="94"/>
      <c r="AA1470" s="94">
        <f>STOCK[[#This Row],[Costo total]]*STOCK[[#This Row],[Entradas]]</f>
        <v>58.52</v>
      </c>
      <c r="AB1470" s="94">
        <f>STOCK[[#This Row],[Stock Actual]]*STOCK[[#This Row],[Costo total]]</f>
        <v>58.52</v>
      </c>
      <c r="AC1470" s="94"/>
    </row>
    <row r="1471" s="76" customFormat="1" ht="50" hidden="1" customHeight="1" spans="1:29">
      <c r="A1471" s="76" t="s">
        <v>2954</v>
      </c>
      <c r="B1471" s="95"/>
      <c r="C1471" s="94" t="s">
        <v>30</v>
      </c>
      <c r="D1471" s="94" t="s">
        <v>2626</v>
      </c>
      <c r="E1471" s="94" t="s">
        <v>2955</v>
      </c>
      <c r="F1471" s="94" t="s">
        <v>60</v>
      </c>
      <c r="G1471" s="94"/>
      <c r="H1471" s="94">
        <f>STOCK[[#This Row],[Precio Final]]</f>
        <v>30</v>
      </c>
      <c r="I1471" s="98">
        <f>STOCK[[#This Row],[Precio Venta Ideal (x1.5)]]</f>
        <v>27.195</v>
      </c>
      <c r="J1471" s="96">
        <v>2</v>
      </c>
      <c r="K1471" s="96">
        <f>SUMIFS(VENTAS[Cantidad],VENTAS[Código del producto Vendido],STOCK[[#This Row],[Code]])</f>
        <v>2</v>
      </c>
      <c r="L1471" s="96">
        <f>STOCK[[#This Row],[Entradas]]-STOCK[[#This Row],[Salidas]]</f>
        <v>0</v>
      </c>
      <c r="M1471" s="94">
        <f>STOCK[[#This Row],[Precio Final]]*10%</f>
        <v>3</v>
      </c>
      <c r="N1471" s="94">
        <v>0</v>
      </c>
      <c r="O1471" s="94">
        <v>0</v>
      </c>
      <c r="P1471" s="94">
        <v>13.48</v>
      </c>
      <c r="Q1471" s="96">
        <v>0</v>
      </c>
      <c r="R1471" s="94">
        <v>0</v>
      </c>
      <c r="S1471" s="94">
        <v>1.65</v>
      </c>
      <c r="T1471" s="94">
        <f>STOCK[[#This Row],[Costo Unitario (USD)]]+STOCK[[#This Row],[Costo Envío (USD)]]+STOCK[[#This Row],[Comisión 10%]]</f>
        <v>18.13</v>
      </c>
      <c r="U1471" s="76">
        <f>STOCK[[#This Row],[Costo total]]*1.5</f>
        <v>27.195</v>
      </c>
      <c r="V1471" s="94">
        <v>30</v>
      </c>
      <c r="W1471" s="94">
        <f>STOCK[[#This Row],[Precio Final]]-STOCK[[#This Row],[Costo total]]</f>
        <v>11.87</v>
      </c>
      <c r="X1471" s="94">
        <f>STOCK[[#This Row],[Ganancia Unitaria]]*STOCK[[#This Row],[Salidas]]</f>
        <v>23.74</v>
      </c>
      <c r="Y1471" s="94"/>
      <c r="Z1471" s="94"/>
      <c r="AA1471" s="94">
        <f>STOCK[[#This Row],[Costo total]]*STOCK[[#This Row],[Entradas]]</f>
        <v>36.26</v>
      </c>
      <c r="AB1471" s="94">
        <f>STOCK[[#This Row],[Stock Actual]]*STOCK[[#This Row],[Costo total]]</f>
        <v>0</v>
      </c>
      <c r="AC1471" s="94"/>
    </row>
    <row r="1472" s="76" customFormat="1" ht="50" hidden="1" customHeight="1" spans="1:29">
      <c r="A1472" s="76" t="s">
        <v>2956</v>
      </c>
      <c r="B1472" s="95"/>
      <c r="C1472" s="94" t="s">
        <v>30</v>
      </c>
      <c r="D1472" s="94" t="s">
        <v>2626</v>
      </c>
      <c r="E1472" s="94" t="s">
        <v>2955</v>
      </c>
      <c r="F1472" s="94" t="s">
        <v>47</v>
      </c>
      <c r="G1472" s="94"/>
      <c r="H1472" s="94">
        <f>STOCK[[#This Row],[Precio Final]]</f>
        <v>30</v>
      </c>
      <c r="I1472" s="98">
        <f>STOCK[[#This Row],[Precio Venta Ideal (x1.5)]]</f>
        <v>27.195</v>
      </c>
      <c r="J1472" s="96">
        <v>2</v>
      </c>
      <c r="K1472" s="96">
        <f>SUMIFS(VENTAS[Cantidad],VENTAS[Código del producto Vendido],STOCK[[#This Row],[Code]])</f>
        <v>0</v>
      </c>
      <c r="L1472" s="96">
        <f>STOCK[[#This Row],[Entradas]]-STOCK[[#This Row],[Salidas]]</f>
        <v>2</v>
      </c>
      <c r="M1472" s="94">
        <f>STOCK[[#This Row],[Precio Final]]*10%</f>
        <v>3</v>
      </c>
      <c r="N1472" s="94">
        <v>0</v>
      </c>
      <c r="O1472" s="94">
        <v>0</v>
      </c>
      <c r="P1472" s="94">
        <v>13.48</v>
      </c>
      <c r="Q1472" s="96">
        <v>0</v>
      </c>
      <c r="R1472" s="94">
        <v>0</v>
      </c>
      <c r="S1472" s="94">
        <v>1.65</v>
      </c>
      <c r="T1472" s="94">
        <f>STOCK[[#This Row],[Costo Unitario (USD)]]+STOCK[[#This Row],[Costo Envío (USD)]]+STOCK[[#This Row],[Comisión 10%]]</f>
        <v>18.13</v>
      </c>
      <c r="U1472" s="76">
        <f>STOCK[[#This Row],[Costo total]]*1.5</f>
        <v>27.195</v>
      </c>
      <c r="V1472" s="94">
        <v>30</v>
      </c>
      <c r="W1472" s="94">
        <f>STOCK[[#This Row],[Precio Final]]-STOCK[[#This Row],[Costo total]]</f>
        <v>11.87</v>
      </c>
      <c r="X1472" s="94">
        <f>STOCK[[#This Row],[Ganancia Unitaria]]*STOCK[[#This Row],[Salidas]]</f>
        <v>0</v>
      </c>
      <c r="Y1472" s="94"/>
      <c r="Z1472" s="94"/>
      <c r="AA1472" s="94">
        <f>STOCK[[#This Row],[Costo total]]*STOCK[[#This Row],[Entradas]]</f>
        <v>36.26</v>
      </c>
      <c r="AB1472" s="94">
        <f>STOCK[[#This Row],[Stock Actual]]*STOCK[[#This Row],[Costo total]]</f>
        <v>36.26</v>
      </c>
      <c r="AC1472" s="94"/>
    </row>
    <row r="1473" s="76" customFormat="1" ht="50" hidden="1" customHeight="1" spans="1:29">
      <c r="A1473" s="76" t="s">
        <v>2957</v>
      </c>
      <c r="B1473" s="95"/>
      <c r="C1473" s="94" t="s">
        <v>30</v>
      </c>
      <c r="D1473" s="94" t="s">
        <v>2626</v>
      </c>
      <c r="E1473" s="94" t="s">
        <v>2955</v>
      </c>
      <c r="F1473" s="94" t="s">
        <v>44</v>
      </c>
      <c r="G1473" s="94"/>
      <c r="H1473" s="94">
        <f>STOCK[[#This Row],[Precio Final]]</f>
        <v>30</v>
      </c>
      <c r="I1473" s="98">
        <f>STOCK[[#This Row],[Precio Venta Ideal (x1.5)]]</f>
        <v>27.195</v>
      </c>
      <c r="J1473" s="96">
        <v>2</v>
      </c>
      <c r="K1473" s="96">
        <f>SUMIFS(VENTAS[Cantidad],VENTAS[Código del producto Vendido],STOCK[[#This Row],[Code]])</f>
        <v>0</v>
      </c>
      <c r="L1473" s="96">
        <f>STOCK[[#This Row],[Entradas]]-STOCK[[#This Row],[Salidas]]</f>
        <v>2</v>
      </c>
      <c r="M1473" s="94">
        <f>STOCK[[#This Row],[Precio Final]]*10%</f>
        <v>3</v>
      </c>
      <c r="N1473" s="94">
        <v>0</v>
      </c>
      <c r="O1473" s="94">
        <v>0</v>
      </c>
      <c r="P1473" s="94">
        <v>13.48</v>
      </c>
      <c r="Q1473" s="96">
        <v>0</v>
      </c>
      <c r="R1473" s="94">
        <v>0</v>
      </c>
      <c r="S1473" s="94">
        <v>1.65</v>
      </c>
      <c r="T1473" s="94">
        <f>STOCK[[#This Row],[Costo Unitario (USD)]]+STOCK[[#This Row],[Costo Envío (USD)]]+STOCK[[#This Row],[Comisión 10%]]</f>
        <v>18.13</v>
      </c>
      <c r="U1473" s="76">
        <f>STOCK[[#This Row],[Costo total]]*1.5</f>
        <v>27.195</v>
      </c>
      <c r="V1473" s="94">
        <v>30</v>
      </c>
      <c r="W1473" s="94">
        <f>STOCK[[#This Row],[Precio Final]]-STOCK[[#This Row],[Costo total]]</f>
        <v>11.87</v>
      </c>
      <c r="X1473" s="94">
        <f>STOCK[[#This Row],[Ganancia Unitaria]]*STOCK[[#This Row],[Salidas]]</f>
        <v>0</v>
      </c>
      <c r="Y1473" s="94"/>
      <c r="Z1473" s="94"/>
      <c r="AA1473" s="94">
        <f>STOCK[[#This Row],[Costo total]]*STOCK[[#This Row],[Entradas]]</f>
        <v>36.26</v>
      </c>
      <c r="AB1473" s="94">
        <f>STOCK[[#This Row],[Stock Actual]]*STOCK[[#This Row],[Costo total]]</f>
        <v>36.26</v>
      </c>
      <c r="AC1473" s="94"/>
    </row>
    <row r="1474" s="76" customFormat="1" ht="50" hidden="1" customHeight="1" spans="1:29">
      <c r="A1474" s="76" t="s">
        <v>2958</v>
      </c>
      <c r="B1474" s="95"/>
      <c r="C1474" s="94" t="s">
        <v>30</v>
      </c>
      <c r="D1474" s="94" t="s">
        <v>2626</v>
      </c>
      <c r="E1474" s="94" t="s">
        <v>2959</v>
      </c>
      <c r="F1474" s="94" t="s">
        <v>60</v>
      </c>
      <c r="G1474" s="94"/>
      <c r="H1474" s="94">
        <f>STOCK[[#This Row],[Precio Final]]</f>
        <v>25</v>
      </c>
      <c r="I1474" s="98">
        <f>STOCK[[#This Row],[Precio Venta Ideal (x1.5)]]</f>
        <v>24.195</v>
      </c>
      <c r="J1474" s="96">
        <v>1</v>
      </c>
      <c r="K1474" s="96">
        <f>SUMIFS(VENTAS[Cantidad],VENTAS[Código del producto Vendido],STOCK[[#This Row],[Code]])</f>
        <v>1</v>
      </c>
      <c r="L1474" s="96">
        <f>STOCK[[#This Row],[Entradas]]-STOCK[[#This Row],[Salidas]]</f>
        <v>0</v>
      </c>
      <c r="M1474" s="94">
        <f>STOCK[[#This Row],[Precio Final]]*10%</f>
        <v>2.5</v>
      </c>
      <c r="N1474" s="94">
        <v>0</v>
      </c>
      <c r="O1474" s="94">
        <v>0</v>
      </c>
      <c r="P1474" s="94">
        <v>11.98</v>
      </c>
      <c r="Q1474" s="96">
        <v>0</v>
      </c>
      <c r="R1474" s="94">
        <v>0</v>
      </c>
      <c r="S1474" s="94">
        <v>1.65</v>
      </c>
      <c r="T1474" s="94">
        <f>STOCK[[#This Row],[Costo Unitario (USD)]]+STOCK[[#This Row],[Costo Envío (USD)]]+STOCK[[#This Row],[Comisión 10%]]</f>
        <v>16.13</v>
      </c>
      <c r="U1474" s="76">
        <f>STOCK[[#This Row],[Costo total]]*1.5</f>
        <v>24.195</v>
      </c>
      <c r="V1474" s="94">
        <v>25</v>
      </c>
      <c r="W1474" s="94">
        <f>STOCK[[#This Row],[Precio Final]]-STOCK[[#This Row],[Costo total]]</f>
        <v>8.87</v>
      </c>
      <c r="X1474" s="94">
        <f>STOCK[[#This Row],[Ganancia Unitaria]]*STOCK[[#This Row],[Salidas]]</f>
        <v>8.87</v>
      </c>
      <c r="Y1474" s="94"/>
      <c r="Z1474" s="94"/>
      <c r="AA1474" s="94">
        <f>STOCK[[#This Row],[Costo total]]*STOCK[[#This Row],[Entradas]]</f>
        <v>16.13</v>
      </c>
      <c r="AB1474" s="94">
        <f>STOCK[[#This Row],[Stock Actual]]*STOCK[[#This Row],[Costo total]]</f>
        <v>0</v>
      </c>
      <c r="AC1474" s="94"/>
    </row>
    <row r="1475" s="76" customFormat="1" ht="50" hidden="1" customHeight="1" spans="1:29">
      <c r="A1475" s="76" t="s">
        <v>2960</v>
      </c>
      <c r="B1475" s="95"/>
      <c r="C1475" s="94" t="s">
        <v>30</v>
      </c>
      <c r="D1475" s="94" t="s">
        <v>2626</v>
      </c>
      <c r="E1475" s="94" t="s">
        <v>2959</v>
      </c>
      <c r="F1475" s="94" t="s">
        <v>47</v>
      </c>
      <c r="G1475" s="94"/>
      <c r="H1475" s="94">
        <f>STOCK[[#This Row],[Precio Final]]</f>
        <v>25</v>
      </c>
      <c r="I1475" s="98">
        <f>STOCK[[#This Row],[Precio Venta Ideal (x1.5)]]</f>
        <v>24.195</v>
      </c>
      <c r="J1475" s="96">
        <v>1</v>
      </c>
      <c r="K1475" s="96">
        <f>SUMIFS(VENTAS[Cantidad],VENTAS[Código del producto Vendido],STOCK[[#This Row],[Code]])</f>
        <v>0</v>
      </c>
      <c r="L1475" s="96">
        <f>STOCK[[#This Row],[Entradas]]-STOCK[[#This Row],[Salidas]]</f>
        <v>1</v>
      </c>
      <c r="M1475" s="94">
        <f>STOCK[[#This Row],[Precio Final]]*10%</f>
        <v>2.5</v>
      </c>
      <c r="N1475" s="94">
        <v>0</v>
      </c>
      <c r="O1475" s="94">
        <v>0</v>
      </c>
      <c r="P1475" s="94">
        <v>11.98</v>
      </c>
      <c r="Q1475" s="96">
        <v>0</v>
      </c>
      <c r="R1475" s="94">
        <v>0</v>
      </c>
      <c r="S1475" s="94">
        <v>1.65</v>
      </c>
      <c r="T1475" s="94">
        <f>STOCK[[#This Row],[Costo Unitario (USD)]]+STOCK[[#This Row],[Costo Envío (USD)]]+STOCK[[#This Row],[Comisión 10%]]</f>
        <v>16.13</v>
      </c>
      <c r="U1475" s="76">
        <f>STOCK[[#This Row],[Costo total]]*1.5</f>
        <v>24.195</v>
      </c>
      <c r="V1475" s="94">
        <v>25</v>
      </c>
      <c r="W1475" s="94">
        <f>STOCK[[#This Row],[Precio Final]]-STOCK[[#This Row],[Costo total]]</f>
        <v>8.87</v>
      </c>
      <c r="X1475" s="94">
        <f>STOCK[[#This Row],[Ganancia Unitaria]]*STOCK[[#This Row],[Salidas]]</f>
        <v>0</v>
      </c>
      <c r="Y1475" s="94"/>
      <c r="Z1475" s="94"/>
      <c r="AA1475" s="94">
        <f>STOCK[[#This Row],[Costo total]]*STOCK[[#This Row],[Entradas]]</f>
        <v>16.13</v>
      </c>
      <c r="AB1475" s="94">
        <f>STOCK[[#This Row],[Stock Actual]]*STOCK[[#This Row],[Costo total]]</f>
        <v>16.13</v>
      </c>
      <c r="AC1475" s="94"/>
    </row>
    <row r="1476" s="76" customFormat="1" ht="50" hidden="1" customHeight="1" spans="1:29">
      <c r="A1476" s="76" t="s">
        <v>2961</v>
      </c>
      <c r="B1476" s="95"/>
      <c r="C1476" s="94" t="s">
        <v>30</v>
      </c>
      <c r="D1476" s="94" t="s">
        <v>2626</v>
      </c>
      <c r="E1476" s="94" t="s">
        <v>2942</v>
      </c>
      <c r="F1476" s="94" t="s">
        <v>47</v>
      </c>
      <c r="G1476" s="94"/>
      <c r="H1476" s="94">
        <f>STOCK[[#This Row],[Precio Final]]</f>
        <v>30</v>
      </c>
      <c r="I1476" s="98">
        <f>STOCK[[#This Row],[Precio Venta Ideal (x1.5)]]</f>
        <v>19.8</v>
      </c>
      <c r="J1476" s="96">
        <v>1</v>
      </c>
      <c r="K1476" s="96">
        <f>SUMIFS(VENTAS[Cantidad],VENTAS[Código del producto Vendido],STOCK[[#This Row],[Code]])</f>
        <v>0</v>
      </c>
      <c r="L1476" s="96">
        <f>STOCK[[#This Row],[Entradas]]-STOCK[[#This Row],[Salidas]]</f>
        <v>1</v>
      </c>
      <c r="M1476" s="94">
        <f>STOCK[[#This Row],[Precio Final]]*10%</f>
        <v>3</v>
      </c>
      <c r="N1476" s="94">
        <v>0</v>
      </c>
      <c r="O1476" s="94">
        <v>0</v>
      </c>
      <c r="P1476" s="94">
        <v>8.55</v>
      </c>
      <c r="Q1476" s="96">
        <v>0</v>
      </c>
      <c r="R1476" s="94">
        <v>0</v>
      </c>
      <c r="S1476" s="94">
        <v>1.65</v>
      </c>
      <c r="T1476" s="94">
        <f>STOCK[[#This Row],[Costo Unitario (USD)]]+STOCK[[#This Row],[Costo Envío (USD)]]+STOCK[[#This Row],[Comisión 10%]]</f>
        <v>13.2</v>
      </c>
      <c r="U1476" s="76">
        <f>STOCK[[#This Row],[Costo total]]*1.5</f>
        <v>19.8</v>
      </c>
      <c r="V1476" s="94">
        <v>30</v>
      </c>
      <c r="W1476" s="94">
        <f>STOCK[[#This Row],[Precio Final]]-STOCK[[#This Row],[Costo total]]</f>
        <v>16.8</v>
      </c>
      <c r="X1476" s="94">
        <f>STOCK[[#This Row],[Ganancia Unitaria]]*STOCK[[#This Row],[Salidas]]</f>
        <v>0</v>
      </c>
      <c r="Y1476" s="94"/>
      <c r="Z1476" s="94"/>
      <c r="AA1476" s="94">
        <f>STOCK[[#This Row],[Costo total]]*STOCK[[#This Row],[Entradas]]</f>
        <v>13.2</v>
      </c>
      <c r="AB1476" s="94">
        <f>STOCK[[#This Row],[Stock Actual]]*STOCK[[#This Row],[Costo total]]</f>
        <v>13.2</v>
      </c>
      <c r="AC1476" s="94"/>
    </row>
    <row r="1477" s="76" customFormat="1" ht="50" hidden="1" customHeight="1" spans="1:29">
      <c r="A1477" s="76" t="s">
        <v>2962</v>
      </c>
      <c r="B1477" s="95"/>
      <c r="C1477" s="94" t="s">
        <v>30</v>
      </c>
      <c r="D1477" s="94" t="s">
        <v>2626</v>
      </c>
      <c r="E1477" s="94" t="s">
        <v>2963</v>
      </c>
      <c r="F1477" s="94" t="s">
        <v>1045</v>
      </c>
      <c r="G1477" s="94"/>
      <c r="H1477" s="94">
        <f>STOCK[[#This Row],[Precio Final]]</f>
        <v>20</v>
      </c>
      <c r="I1477" s="98">
        <f>STOCK[[#This Row],[Precio Venta Ideal (x1.5)]]</f>
        <v>14.445</v>
      </c>
      <c r="J1477" s="96">
        <v>2</v>
      </c>
      <c r="K1477" s="96">
        <f>SUMIFS(VENTAS[Cantidad],VENTAS[Código del producto Vendido],STOCK[[#This Row],[Code]])</f>
        <v>2</v>
      </c>
      <c r="L1477" s="96">
        <f>STOCK[[#This Row],[Entradas]]-STOCK[[#This Row],[Salidas]]</f>
        <v>0</v>
      </c>
      <c r="M1477" s="94">
        <f>STOCK[[#This Row],[Precio Final]]*10%</f>
        <v>2</v>
      </c>
      <c r="N1477" s="94">
        <v>0</v>
      </c>
      <c r="O1477" s="94">
        <v>0</v>
      </c>
      <c r="P1477" s="94">
        <v>5.98</v>
      </c>
      <c r="Q1477" s="96">
        <v>0</v>
      </c>
      <c r="R1477" s="94">
        <v>0</v>
      </c>
      <c r="S1477" s="94">
        <v>1.65</v>
      </c>
      <c r="T1477" s="94">
        <f>STOCK[[#This Row],[Costo Unitario (USD)]]+STOCK[[#This Row],[Costo Envío (USD)]]+STOCK[[#This Row],[Comisión 10%]]</f>
        <v>9.63</v>
      </c>
      <c r="U1477" s="76">
        <f>STOCK[[#This Row],[Costo total]]*1.5</f>
        <v>14.445</v>
      </c>
      <c r="V1477" s="94">
        <v>20</v>
      </c>
      <c r="W1477" s="94">
        <f>STOCK[[#This Row],[Precio Final]]-STOCK[[#This Row],[Costo total]]</f>
        <v>10.37</v>
      </c>
      <c r="X1477" s="94">
        <f>STOCK[[#This Row],[Ganancia Unitaria]]*STOCK[[#This Row],[Salidas]]</f>
        <v>20.74</v>
      </c>
      <c r="Y1477" s="94"/>
      <c r="Z1477" s="94"/>
      <c r="AA1477" s="94">
        <f>STOCK[[#This Row],[Costo total]]*STOCK[[#This Row],[Entradas]]</f>
        <v>19.26</v>
      </c>
      <c r="AB1477" s="94">
        <f>STOCK[[#This Row],[Stock Actual]]*STOCK[[#This Row],[Costo total]]</f>
        <v>0</v>
      </c>
      <c r="AC1477" s="94"/>
    </row>
    <row r="1478" s="76" customFormat="1" ht="50" hidden="1" customHeight="1" spans="1:29">
      <c r="A1478" s="76" t="s">
        <v>2964</v>
      </c>
      <c r="B1478" s="95"/>
      <c r="C1478" s="94" t="s">
        <v>30</v>
      </c>
      <c r="D1478" s="94" t="s">
        <v>2626</v>
      </c>
      <c r="E1478" s="94" t="s">
        <v>2963</v>
      </c>
      <c r="F1478" s="94" t="s">
        <v>47</v>
      </c>
      <c r="G1478" s="94"/>
      <c r="H1478" s="94">
        <f>STOCK[[#This Row],[Precio Final]]</f>
        <v>20</v>
      </c>
      <c r="I1478" s="98">
        <f>STOCK[[#This Row],[Precio Venta Ideal (x1.5)]]</f>
        <v>14.445</v>
      </c>
      <c r="J1478" s="96">
        <v>1</v>
      </c>
      <c r="K1478" s="96">
        <f>SUMIFS(VENTAS[Cantidad],VENTAS[Código del producto Vendido],STOCK[[#This Row],[Code]])</f>
        <v>1</v>
      </c>
      <c r="L1478" s="96">
        <f>STOCK[[#This Row],[Entradas]]-STOCK[[#This Row],[Salidas]]</f>
        <v>0</v>
      </c>
      <c r="M1478" s="94">
        <f>STOCK[[#This Row],[Precio Final]]*10%</f>
        <v>2</v>
      </c>
      <c r="N1478" s="94">
        <v>0</v>
      </c>
      <c r="O1478" s="94">
        <v>0</v>
      </c>
      <c r="P1478" s="94">
        <v>5.98</v>
      </c>
      <c r="Q1478" s="96">
        <v>0</v>
      </c>
      <c r="R1478" s="94">
        <v>0</v>
      </c>
      <c r="S1478" s="94">
        <v>1.65</v>
      </c>
      <c r="T1478" s="94">
        <f>STOCK[[#This Row],[Costo Unitario (USD)]]+STOCK[[#This Row],[Costo Envío (USD)]]+STOCK[[#This Row],[Comisión 10%]]</f>
        <v>9.63</v>
      </c>
      <c r="U1478" s="76">
        <f>STOCK[[#This Row],[Costo total]]*1.5</f>
        <v>14.445</v>
      </c>
      <c r="V1478" s="94">
        <v>20</v>
      </c>
      <c r="W1478" s="94">
        <f>STOCK[[#This Row],[Precio Final]]-STOCK[[#This Row],[Costo total]]</f>
        <v>10.37</v>
      </c>
      <c r="X1478" s="94">
        <f>STOCK[[#This Row],[Ganancia Unitaria]]*STOCK[[#This Row],[Salidas]]</f>
        <v>10.37</v>
      </c>
      <c r="Y1478" s="94"/>
      <c r="Z1478" s="94"/>
      <c r="AA1478" s="94">
        <f>STOCK[[#This Row],[Costo total]]*STOCK[[#This Row],[Entradas]]</f>
        <v>9.63</v>
      </c>
      <c r="AB1478" s="94">
        <f>STOCK[[#This Row],[Stock Actual]]*STOCK[[#This Row],[Costo total]]</f>
        <v>0</v>
      </c>
      <c r="AC1478" s="94"/>
    </row>
    <row r="1479" s="76" customFormat="1" ht="50" hidden="1" customHeight="1" spans="1:29">
      <c r="A1479" s="76" t="s">
        <v>2965</v>
      </c>
      <c r="B1479" s="95"/>
      <c r="C1479" s="94" t="s">
        <v>30</v>
      </c>
      <c r="D1479" s="94" t="s">
        <v>2626</v>
      </c>
      <c r="E1479" s="94" t="s">
        <v>2963</v>
      </c>
      <c r="F1479" s="94" t="s">
        <v>44</v>
      </c>
      <c r="G1479" s="94"/>
      <c r="H1479" s="94">
        <f>STOCK[[#This Row],[Precio Final]]</f>
        <v>20</v>
      </c>
      <c r="I1479" s="98">
        <f>STOCK[[#This Row],[Precio Venta Ideal (x1.5)]]</f>
        <v>14.445</v>
      </c>
      <c r="J1479" s="96">
        <v>1</v>
      </c>
      <c r="K1479" s="96">
        <f>SUMIFS(VENTAS[Cantidad],VENTAS[Código del producto Vendido],STOCK[[#This Row],[Code]])</f>
        <v>1</v>
      </c>
      <c r="L1479" s="96">
        <f>STOCK[[#This Row],[Entradas]]-STOCK[[#This Row],[Salidas]]</f>
        <v>0</v>
      </c>
      <c r="M1479" s="94">
        <f>STOCK[[#This Row],[Precio Final]]*10%</f>
        <v>2</v>
      </c>
      <c r="N1479" s="94">
        <v>0</v>
      </c>
      <c r="O1479" s="94">
        <v>0</v>
      </c>
      <c r="P1479" s="94">
        <v>5.98</v>
      </c>
      <c r="Q1479" s="96">
        <v>0</v>
      </c>
      <c r="R1479" s="94">
        <v>0</v>
      </c>
      <c r="S1479" s="94">
        <v>1.65</v>
      </c>
      <c r="T1479" s="94">
        <f>STOCK[[#This Row],[Costo Unitario (USD)]]+STOCK[[#This Row],[Costo Envío (USD)]]+STOCK[[#This Row],[Comisión 10%]]</f>
        <v>9.63</v>
      </c>
      <c r="U1479" s="76">
        <f>STOCK[[#This Row],[Costo total]]*1.5</f>
        <v>14.445</v>
      </c>
      <c r="V1479" s="94">
        <v>20</v>
      </c>
      <c r="W1479" s="94">
        <f>STOCK[[#This Row],[Precio Final]]-STOCK[[#This Row],[Costo total]]</f>
        <v>10.37</v>
      </c>
      <c r="X1479" s="94">
        <f>STOCK[[#This Row],[Ganancia Unitaria]]*STOCK[[#This Row],[Salidas]]</f>
        <v>10.37</v>
      </c>
      <c r="Y1479" s="94"/>
      <c r="Z1479" s="94"/>
      <c r="AA1479" s="94">
        <f>STOCK[[#This Row],[Costo total]]*STOCK[[#This Row],[Entradas]]</f>
        <v>9.63</v>
      </c>
      <c r="AB1479" s="94">
        <f>STOCK[[#This Row],[Stock Actual]]*STOCK[[#This Row],[Costo total]]</f>
        <v>0</v>
      </c>
      <c r="AC1479" s="94"/>
    </row>
    <row r="1480" s="76" customFormat="1" ht="50" hidden="1" customHeight="1" spans="1:29">
      <c r="A1480" s="76" t="s">
        <v>2966</v>
      </c>
      <c r="B1480" s="95"/>
      <c r="C1480" s="94" t="s">
        <v>30</v>
      </c>
      <c r="D1480" s="94" t="s">
        <v>2131</v>
      </c>
      <c r="E1480" s="94" t="s">
        <v>2967</v>
      </c>
      <c r="F1480" s="94" t="s">
        <v>47</v>
      </c>
      <c r="G1480" s="94"/>
      <c r="H1480" s="94">
        <f>STOCK[[#This Row],[Precio Final]]</f>
        <v>40</v>
      </c>
      <c r="I1480" s="98">
        <f>STOCK[[#This Row],[Precio Venta Ideal (x1.5)]]</f>
        <v>27.855</v>
      </c>
      <c r="J1480" s="96">
        <v>1</v>
      </c>
      <c r="K1480" s="96">
        <f>SUMIFS(VENTAS[Cantidad],VENTAS[Código del producto Vendido],STOCK[[#This Row],[Code]])</f>
        <v>1</v>
      </c>
      <c r="L1480" s="96">
        <f>STOCK[[#This Row],[Entradas]]-STOCK[[#This Row],[Salidas]]</f>
        <v>0</v>
      </c>
      <c r="M1480" s="94">
        <f>STOCK[[#This Row],[Precio Final]]*10%</f>
        <v>4</v>
      </c>
      <c r="N1480" s="94">
        <v>0</v>
      </c>
      <c r="O1480" s="94">
        <v>0</v>
      </c>
      <c r="P1480" s="94">
        <v>12.92</v>
      </c>
      <c r="Q1480" s="96">
        <v>0</v>
      </c>
      <c r="R1480" s="94">
        <v>0</v>
      </c>
      <c r="S1480" s="94">
        <v>1.65</v>
      </c>
      <c r="T1480" s="94">
        <f>STOCK[[#This Row],[Costo Unitario (USD)]]+STOCK[[#This Row],[Costo Envío (USD)]]+STOCK[[#This Row],[Comisión 10%]]</f>
        <v>18.57</v>
      </c>
      <c r="U1480" s="76">
        <f>STOCK[[#This Row],[Costo total]]*1.5</f>
        <v>27.855</v>
      </c>
      <c r="V1480" s="94">
        <v>40</v>
      </c>
      <c r="W1480" s="94">
        <f>STOCK[[#This Row],[Precio Final]]-STOCK[[#This Row],[Costo total]]</f>
        <v>21.43</v>
      </c>
      <c r="X1480" s="94">
        <f>STOCK[[#This Row],[Ganancia Unitaria]]*STOCK[[#This Row],[Salidas]]</f>
        <v>21.43</v>
      </c>
      <c r="Y1480" s="94"/>
      <c r="Z1480" s="94"/>
      <c r="AA1480" s="94">
        <f>STOCK[[#This Row],[Costo total]]*STOCK[[#This Row],[Entradas]]</f>
        <v>18.57</v>
      </c>
      <c r="AB1480" s="94">
        <f>STOCK[[#This Row],[Stock Actual]]*STOCK[[#This Row],[Costo total]]</f>
        <v>0</v>
      </c>
      <c r="AC1480" s="94"/>
    </row>
    <row r="1481" s="76" customFormat="1" ht="50" hidden="1" customHeight="1" spans="1:29">
      <c r="A1481" s="76" t="s">
        <v>2968</v>
      </c>
      <c r="B1481" s="95"/>
      <c r="C1481" s="94" t="s">
        <v>30</v>
      </c>
      <c r="D1481" s="94" t="s">
        <v>2626</v>
      </c>
      <c r="E1481" s="94" t="s">
        <v>2963</v>
      </c>
      <c r="F1481" s="94" t="s">
        <v>60</v>
      </c>
      <c r="G1481" s="94"/>
      <c r="H1481" s="94">
        <f>STOCK[[#This Row],[Precio Final]]</f>
        <v>20</v>
      </c>
      <c r="I1481" s="98">
        <f>STOCK[[#This Row],[Precio Venta Ideal (x1.5)]]</f>
        <v>14.445</v>
      </c>
      <c r="J1481" s="96">
        <v>2</v>
      </c>
      <c r="K1481" s="96">
        <f>SUMIFS(VENTAS[Cantidad],VENTAS[Código del producto Vendido],STOCK[[#This Row],[Code]])</f>
        <v>2</v>
      </c>
      <c r="L1481" s="96">
        <f>STOCK[[#This Row],[Entradas]]-STOCK[[#This Row],[Salidas]]</f>
        <v>0</v>
      </c>
      <c r="M1481" s="94">
        <f>STOCK[[#This Row],[Precio Final]]*10%</f>
        <v>2</v>
      </c>
      <c r="N1481" s="94">
        <v>0</v>
      </c>
      <c r="O1481" s="94">
        <v>0</v>
      </c>
      <c r="P1481" s="94">
        <v>5.98</v>
      </c>
      <c r="Q1481" s="96">
        <v>0</v>
      </c>
      <c r="R1481" s="94">
        <v>0</v>
      </c>
      <c r="S1481" s="94">
        <v>1.65</v>
      </c>
      <c r="T1481" s="94">
        <f>STOCK[[#This Row],[Costo Unitario (USD)]]+STOCK[[#This Row],[Costo Envío (USD)]]+STOCK[[#This Row],[Comisión 10%]]</f>
        <v>9.63</v>
      </c>
      <c r="U1481" s="76">
        <f>STOCK[[#This Row],[Costo total]]*1.5</f>
        <v>14.445</v>
      </c>
      <c r="V1481" s="94">
        <v>20</v>
      </c>
      <c r="W1481" s="94">
        <f>STOCK[[#This Row],[Precio Final]]-STOCK[[#This Row],[Costo total]]</f>
        <v>10.37</v>
      </c>
      <c r="X1481" s="94">
        <f>STOCK[[#This Row],[Ganancia Unitaria]]*STOCK[[#This Row],[Salidas]]</f>
        <v>20.74</v>
      </c>
      <c r="Y1481" s="94"/>
      <c r="Z1481" s="94"/>
      <c r="AA1481" s="94">
        <f>STOCK[[#This Row],[Costo total]]*STOCK[[#This Row],[Entradas]]</f>
        <v>19.26</v>
      </c>
      <c r="AB1481" s="94">
        <f>STOCK[[#This Row],[Stock Actual]]*STOCK[[#This Row],[Costo total]]</f>
        <v>0</v>
      </c>
      <c r="AC1481" s="94"/>
    </row>
    <row r="1482" s="76" customFormat="1" ht="50" hidden="1" customHeight="1" spans="1:29">
      <c r="A1482" s="76" t="s">
        <v>2969</v>
      </c>
      <c r="B1482" s="95"/>
      <c r="C1482" s="94" t="s">
        <v>30</v>
      </c>
      <c r="D1482" s="94" t="s">
        <v>2626</v>
      </c>
      <c r="E1482" s="94" t="s">
        <v>2970</v>
      </c>
      <c r="F1482" s="94" t="s">
        <v>60</v>
      </c>
      <c r="G1482" s="94"/>
      <c r="H1482" s="94">
        <f>STOCK[[#This Row],[Precio Final]]</f>
        <v>25</v>
      </c>
      <c r="I1482" s="98">
        <f>STOCK[[#This Row],[Precio Venta Ideal (x1.5)]]</f>
        <v>22.23</v>
      </c>
      <c r="J1482" s="96">
        <v>2</v>
      </c>
      <c r="K1482" s="96">
        <f>SUMIFS(VENTAS[Cantidad],VENTAS[Código del producto Vendido],STOCK[[#This Row],[Code]])</f>
        <v>1</v>
      </c>
      <c r="L1482" s="96">
        <f>STOCK[[#This Row],[Entradas]]-STOCK[[#This Row],[Salidas]]</f>
        <v>1</v>
      </c>
      <c r="M1482" s="94">
        <f>STOCK[[#This Row],[Precio Final]]*10%</f>
        <v>2.5</v>
      </c>
      <c r="N1482" s="94">
        <v>0</v>
      </c>
      <c r="O1482" s="94">
        <v>0</v>
      </c>
      <c r="P1482" s="94">
        <v>10.67</v>
      </c>
      <c r="Q1482" s="96">
        <v>0</v>
      </c>
      <c r="R1482" s="94">
        <v>0</v>
      </c>
      <c r="S1482" s="94">
        <v>1.65</v>
      </c>
      <c r="T1482" s="94">
        <f>STOCK[[#This Row],[Costo Unitario (USD)]]+STOCK[[#This Row],[Costo Envío (USD)]]+STOCK[[#This Row],[Comisión 10%]]</f>
        <v>14.82</v>
      </c>
      <c r="U1482" s="76">
        <f>STOCK[[#This Row],[Costo total]]*1.5</f>
        <v>22.23</v>
      </c>
      <c r="V1482" s="94">
        <v>25</v>
      </c>
      <c r="W1482" s="94">
        <f>STOCK[[#This Row],[Precio Final]]-STOCK[[#This Row],[Costo total]]</f>
        <v>10.18</v>
      </c>
      <c r="X1482" s="94">
        <f>STOCK[[#This Row],[Ganancia Unitaria]]*STOCK[[#This Row],[Salidas]]</f>
        <v>10.18</v>
      </c>
      <c r="Y1482" s="94"/>
      <c r="Z1482" s="94"/>
      <c r="AA1482" s="94">
        <f>STOCK[[#This Row],[Costo total]]*STOCK[[#This Row],[Entradas]]</f>
        <v>29.64</v>
      </c>
      <c r="AB1482" s="94">
        <f>STOCK[[#This Row],[Stock Actual]]*STOCK[[#This Row],[Costo total]]</f>
        <v>14.82</v>
      </c>
      <c r="AC1482" s="94"/>
    </row>
    <row r="1483" s="76" customFormat="1" ht="50" hidden="1" customHeight="1" spans="1:29">
      <c r="A1483" s="76" t="s">
        <v>2971</v>
      </c>
      <c r="B1483" s="95"/>
      <c r="C1483" s="94" t="s">
        <v>30</v>
      </c>
      <c r="D1483" s="94" t="s">
        <v>2626</v>
      </c>
      <c r="E1483" s="94" t="s">
        <v>2970</v>
      </c>
      <c r="F1483" s="94" t="s">
        <v>47</v>
      </c>
      <c r="G1483" s="94"/>
      <c r="H1483" s="94">
        <f>STOCK[[#This Row],[Precio Final]]</f>
        <v>25</v>
      </c>
      <c r="I1483" s="98">
        <f>STOCK[[#This Row],[Precio Venta Ideal (x1.5)]]</f>
        <v>22.23</v>
      </c>
      <c r="J1483" s="96">
        <v>2</v>
      </c>
      <c r="K1483" s="96">
        <f>SUMIFS(VENTAS[Cantidad],VENTAS[Código del producto Vendido],STOCK[[#This Row],[Code]])</f>
        <v>2</v>
      </c>
      <c r="L1483" s="96">
        <f>STOCK[[#This Row],[Entradas]]-STOCK[[#This Row],[Salidas]]</f>
        <v>0</v>
      </c>
      <c r="M1483" s="94">
        <f>STOCK[[#This Row],[Precio Final]]*10%</f>
        <v>2.5</v>
      </c>
      <c r="N1483" s="94">
        <v>0</v>
      </c>
      <c r="O1483" s="94">
        <v>0</v>
      </c>
      <c r="P1483" s="94">
        <v>10.67</v>
      </c>
      <c r="Q1483" s="96">
        <v>0</v>
      </c>
      <c r="R1483" s="94">
        <v>0</v>
      </c>
      <c r="S1483" s="94">
        <v>1.65</v>
      </c>
      <c r="T1483" s="94">
        <f>STOCK[[#This Row],[Costo Unitario (USD)]]+STOCK[[#This Row],[Costo Envío (USD)]]+STOCK[[#This Row],[Comisión 10%]]</f>
        <v>14.82</v>
      </c>
      <c r="U1483" s="76">
        <f>STOCK[[#This Row],[Costo total]]*1.5</f>
        <v>22.23</v>
      </c>
      <c r="V1483" s="94">
        <v>25</v>
      </c>
      <c r="W1483" s="94">
        <f>STOCK[[#This Row],[Precio Final]]-STOCK[[#This Row],[Costo total]]</f>
        <v>10.18</v>
      </c>
      <c r="X1483" s="94">
        <f>STOCK[[#This Row],[Ganancia Unitaria]]*STOCK[[#This Row],[Salidas]]</f>
        <v>20.36</v>
      </c>
      <c r="Y1483" s="94"/>
      <c r="Z1483" s="94"/>
      <c r="AA1483" s="94">
        <f>STOCK[[#This Row],[Costo total]]*STOCK[[#This Row],[Entradas]]</f>
        <v>29.64</v>
      </c>
      <c r="AB1483" s="94">
        <f>STOCK[[#This Row],[Stock Actual]]*STOCK[[#This Row],[Costo total]]</f>
        <v>0</v>
      </c>
      <c r="AC1483" s="94"/>
    </row>
    <row r="1484" s="76" customFormat="1" ht="50" hidden="1" customHeight="1" spans="1:29">
      <c r="A1484" s="76" t="s">
        <v>2972</v>
      </c>
      <c r="B1484" s="95"/>
      <c r="C1484" s="94" t="s">
        <v>30</v>
      </c>
      <c r="D1484" s="94" t="s">
        <v>2626</v>
      </c>
      <c r="E1484" s="94" t="s">
        <v>2970</v>
      </c>
      <c r="F1484" s="94" t="s">
        <v>44</v>
      </c>
      <c r="G1484" s="94"/>
      <c r="H1484" s="94">
        <f>STOCK[[#This Row],[Precio Final]]</f>
        <v>25</v>
      </c>
      <c r="I1484" s="98">
        <f>STOCK[[#This Row],[Precio Venta Ideal (x1.5)]]</f>
        <v>22.23</v>
      </c>
      <c r="J1484" s="96">
        <v>2</v>
      </c>
      <c r="K1484" s="96">
        <f>SUMIFS(VENTAS[Cantidad],VENTAS[Código del producto Vendido],STOCK[[#This Row],[Code]])</f>
        <v>1</v>
      </c>
      <c r="L1484" s="96">
        <f>STOCK[[#This Row],[Entradas]]-STOCK[[#This Row],[Salidas]]</f>
        <v>1</v>
      </c>
      <c r="M1484" s="94">
        <f>STOCK[[#This Row],[Precio Final]]*10%</f>
        <v>2.5</v>
      </c>
      <c r="N1484" s="94">
        <v>0</v>
      </c>
      <c r="O1484" s="94">
        <v>0</v>
      </c>
      <c r="P1484" s="94">
        <v>10.67</v>
      </c>
      <c r="Q1484" s="96">
        <v>0</v>
      </c>
      <c r="R1484" s="94">
        <v>0</v>
      </c>
      <c r="S1484" s="94">
        <v>1.65</v>
      </c>
      <c r="T1484" s="94">
        <f>STOCK[[#This Row],[Costo Unitario (USD)]]+STOCK[[#This Row],[Costo Envío (USD)]]+STOCK[[#This Row],[Comisión 10%]]</f>
        <v>14.82</v>
      </c>
      <c r="U1484" s="76">
        <f>STOCK[[#This Row],[Costo total]]*1.5</f>
        <v>22.23</v>
      </c>
      <c r="V1484" s="94">
        <v>25</v>
      </c>
      <c r="W1484" s="94">
        <f>STOCK[[#This Row],[Precio Final]]-STOCK[[#This Row],[Costo total]]</f>
        <v>10.18</v>
      </c>
      <c r="X1484" s="94">
        <f>STOCK[[#This Row],[Ganancia Unitaria]]*STOCK[[#This Row],[Salidas]]</f>
        <v>10.18</v>
      </c>
      <c r="Y1484" s="94"/>
      <c r="Z1484" s="94"/>
      <c r="AA1484" s="94">
        <f>STOCK[[#This Row],[Costo total]]*STOCK[[#This Row],[Entradas]]</f>
        <v>29.64</v>
      </c>
      <c r="AB1484" s="94">
        <f>STOCK[[#This Row],[Stock Actual]]*STOCK[[#This Row],[Costo total]]</f>
        <v>14.82</v>
      </c>
      <c r="AC1484" s="94"/>
    </row>
    <row r="1485" s="76" customFormat="1" ht="50" hidden="1" customHeight="1" spans="1:29">
      <c r="A1485" s="76" t="s">
        <v>2973</v>
      </c>
      <c r="B1485" s="95"/>
      <c r="C1485" s="94" t="s">
        <v>30</v>
      </c>
      <c r="D1485" s="94" t="s">
        <v>2109</v>
      </c>
      <c r="E1485" s="94" t="s">
        <v>2974</v>
      </c>
      <c r="F1485" s="94" t="s">
        <v>2814</v>
      </c>
      <c r="G1485" s="94"/>
      <c r="H1485" s="94">
        <f>STOCK[[#This Row],[Precio Final]]</f>
        <v>12</v>
      </c>
      <c r="I1485" s="98">
        <f>STOCK[[#This Row],[Precio Venta Ideal (x1.5)]]</f>
        <v>8.76</v>
      </c>
      <c r="J1485" s="96">
        <v>6</v>
      </c>
      <c r="K1485" s="96">
        <f>SUMIFS(VENTAS[Cantidad],VENTAS[Código del producto Vendido],STOCK[[#This Row],[Code]])</f>
        <v>1</v>
      </c>
      <c r="L1485" s="96">
        <f>STOCK[[#This Row],[Entradas]]-STOCK[[#This Row],[Salidas]]</f>
        <v>5</v>
      </c>
      <c r="M1485" s="94">
        <f>STOCK[[#This Row],[Precio Final]]*10%</f>
        <v>1.2</v>
      </c>
      <c r="N1485" s="94">
        <v>0</v>
      </c>
      <c r="O1485" s="94">
        <v>0</v>
      </c>
      <c r="P1485" s="94">
        <v>2.99</v>
      </c>
      <c r="Q1485" s="96">
        <v>0</v>
      </c>
      <c r="R1485" s="94">
        <v>0</v>
      </c>
      <c r="S1485" s="94">
        <v>1.65</v>
      </c>
      <c r="T1485" s="94">
        <f>STOCK[[#This Row],[Costo Unitario (USD)]]+STOCK[[#This Row],[Costo Envío (USD)]]+STOCK[[#This Row],[Comisión 10%]]</f>
        <v>5.84</v>
      </c>
      <c r="U1485" s="76">
        <f>STOCK[[#This Row],[Costo total]]*1.5</f>
        <v>8.76</v>
      </c>
      <c r="V1485" s="94">
        <v>12</v>
      </c>
      <c r="W1485" s="94">
        <f>STOCK[[#This Row],[Precio Final]]-STOCK[[#This Row],[Costo total]]</f>
        <v>6.16</v>
      </c>
      <c r="X1485" s="94">
        <f>STOCK[[#This Row],[Ganancia Unitaria]]*STOCK[[#This Row],[Salidas]]</f>
        <v>6.16</v>
      </c>
      <c r="Y1485" s="94"/>
      <c r="Z1485" s="94"/>
      <c r="AA1485" s="94">
        <f>STOCK[[#This Row],[Costo total]]*STOCK[[#This Row],[Entradas]]</f>
        <v>35.04</v>
      </c>
      <c r="AB1485" s="94">
        <f>STOCK[[#This Row],[Stock Actual]]*STOCK[[#This Row],[Costo total]]</f>
        <v>29.2</v>
      </c>
      <c r="AC1485" s="94"/>
    </row>
    <row r="1486" s="76" customFormat="1" ht="50" hidden="1" customHeight="1" spans="1:29">
      <c r="A1486" s="76" t="s">
        <v>2975</v>
      </c>
      <c r="B1486" s="95"/>
      <c r="C1486" s="94" t="s">
        <v>30</v>
      </c>
      <c r="D1486" s="94" t="s">
        <v>2109</v>
      </c>
      <c r="E1486" s="94" t="s">
        <v>2976</v>
      </c>
      <c r="F1486" s="94" t="s">
        <v>2814</v>
      </c>
      <c r="G1486" s="94"/>
      <c r="H1486" s="94">
        <f>STOCK[[#This Row],[Precio Final]]</f>
        <v>12</v>
      </c>
      <c r="I1486" s="98">
        <f>STOCK[[#This Row],[Precio Venta Ideal (x1.5)]]</f>
        <v>9.045</v>
      </c>
      <c r="J1486" s="96">
        <v>4</v>
      </c>
      <c r="K1486" s="96">
        <f>SUMIFS(VENTAS[Cantidad],VENTAS[Código del producto Vendido],STOCK[[#This Row],[Code]])</f>
        <v>0</v>
      </c>
      <c r="L1486" s="96">
        <f>STOCK[[#This Row],[Entradas]]-STOCK[[#This Row],[Salidas]]</f>
        <v>4</v>
      </c>
      <c r="M1486" s="94">
        <f>STOCK[[#This Row],[Precio Final]]*10%</f>
        <v>1.2</v>
      </c>
      <c r="N1486" s="94">
        <v>0</v>
      </c>
      <c r="O1486" s="94">
        <v>0</v>
      </c>
      <c r="P1486" s="94">
        <v>3.18</v>
      </c>
      <c r="Q1486" s="96">
        <v>0</v>
      </c>
      <c r="R1486" s="94">
        <v>0</v>
      </c>
      <c r="S1486" s="94">
        <v>1.65</v>
      </c>
      <c r="T1486" s="94">
        <f>STOCK[[#This Row],[Costo Unitario (USD)]]+STOCK[[#This Row],[Costo Envío (USD)]]+STOCK[[#This Row],[Comisión 10%]]</f>
        <v>6.03</v>
      </c>
      <c r="U1486" s="76">
        <f>STOCK[[#This Row],[Costo total]]*1.5</f>
        <v>9.045</v>
      </c>
      <c r="V1486" s="94">
        <v>12</v>
      </c>
      <c r="W1486" s="94">
        <f>STOCK[[#This Row],[Precio Final]]-STOCK[[#This Row],[Costo total]]</f>
        <v>5.97</v>
      </c>
      <c r="X1486" s="94">
        <f>STOCK[[#This Row],[Ganancia Unitaria]]*STOCK[[#This Row],[Salidas]]</f>
        <v>0</v>
      </c>
      <c r="Y1486" s="94"/>
      <c r="Z1486" s="94"/>
      <c r="AA1486" s="94">
        <f>STOCK[[#This Row],[Costo total]]*STOCK[[#This Row],[Entradas]]</f>
        <v>24.12</v>
      </c>
      <c r="AB1486" s="94">
        <f>STOCK[[#This Row],[Stock Actual]]*STOCK[[#This Row],[Costo total]]</f>
        <v>24.12</v>
      </c>
      <c r="AC1486" s="94"/>
    </row>
    <row r="1487" s="76" customFormat="1" ht="50" hidden="1" customHeight="1" spans="1:29">
      <c r="A1487" s="76" t="s">
        <v>2977</v>
      </c>
      <c r="B1487" s="95"/>
      <c r="C1487" s="94" t="s">
        <v>30</v>
      </c>
      <c r="D1487" s="94" t="s">
        <v>1806</v>
      </c>
      <c r="E1487" s="94" t="s">
        <v>2978</v>
      </c>
      <c r="F1487" s="94" t="s">
        <v>524</v>
      </c>
      <c r="G1487" s="94"/>
      <c r="H1487" s="94">
        <f>STOCK[[#This Row],[Precio Final]]</f>
        <v>35</v>
      </c>
      <c r="I1487" s="98">
        <f>STOCK[[#This Row],[Precio Venta Ideal (x1.5)]]</f>
        <v>14.25</v>
      </c>
      <c r="J1487" s="96">
        <v>2</v>
      </c>
      <c r="K1487" s="96">
        <f>SUMIFS(VENTAS[Cantidad],VENTAS[Código del producto Vendido],STOCK[[#This Row],[Code]])</f>
        <v>0</v>
      </c>
      <c r="L1487" s="96">
        <f>STOCK[[#This Row],[Entradas]]-STOCK[[#This Row],[Salidas]]</f>
        <v>2</v>
      </c>
      <c r="M1487" s="94">
        <f>STOCK[[#This Row],[Precio Final]]*10%</f>
        <v>3.5</v>
      </c>
      <c r="N1487" s="94">
        <v>0</v>
      </c>
      <c r="O1487" s="94">
        <v>0</v>
      </c>
      <c r="P1487" s="94">
        <v>4.35</v>
      </c>
      <c r="Q1487" s="96">
        <v>0</v>
      </c>
      <c r="R1487" s="94">
        <v>0</v>
      </c>
      <c r="S1487" s="94">
        <v>1.65</v>
      </c>
      <c r="T1487" s="94">
        <f>STOCK[[#This Row],[Costo Unitario (USD)]]+STOCK[[#This Row],[Costo Envío (USD)]]+STOCK[[#This Row],[Comisión 10%]]</f>
        <v>9.5</v>
      </c>
      <c r="U1487" s="76">
        <f>STOCK[[#This Row],[Costo total]]*1.5</f>
        <v>14.25</v>
      </c>
      <c r="V1487" s="94">
        <v>35</v>
      </c>
      <c r="W1487" s="94">
        <f>STOCK[[#This Row],[Precio Final]]-STOCK[[#This Row],[Costo total]]</f>
        <v>25.5</v>
      </c>
      <c r="X1487" s="94">
        <f>STOCK[[#This Row],[Ganancia Unitaria]]*STOCK[[#This Row],[Salidas]]</f>
        <v>0</v>
      </c>
      <c r="Y1487" s="94"/>
      <c r="Z1487" s="94"/>
      <c r="AA1487" s="94">
        <f>STOCK[[#This Row],[Costo total]]*STOCK[[#This Row],[Entradas]]</f>
        <v>19</v>
      </c>
      <c r="AB1487" s="94">
        <f>STOCK[[#This Row],[Stock Actual]]*STOCK[[#This Row],[Costo total]]</f>
        <v>19</v>
      </c>
      <c r="AC1487" s="94"/>
    </row>
    <row r="1488" s="76" customFormat="1" ht="50" hidden="1" customHeight="1" spans="1:29">
      <c r="A1488" s="76" t="s">
        <v>2979</v>
      </c>
      <c r="B1488" s="95"/>
      <c r="C1488" s="94" t="s">
        <v>30</v>
      </c>
      <c r="D1488" s="94" t="s">
        <v>2626</v>
      </c>
      <c r="E1488" s="94" t="s">
        <v>2980</v>
      </c>
      <c r="F1488" s="94" t="s">
        <v>44</v>
      </c>
      <c r="G1488" s="94"/>
      <c r="H1488" s="94">
        <f>STOCK[[#This Row],[Precio Final]]</f>
        <v>35</v>
      </c>
      <c r="I1488" s="98">
        <f>STOCK[[#This Row],[Precio Venta Ideal (x1.5)]]</f>
        <v>23.775</v>
      </c>
      <c r="J1488" s="96">
        <v>2</v>
      </c>
      <c r="K1488" s="96">
        <f>SUMIFS(VENTAS[Cantidad],VENTAS[Código del producto Vendido],STOCK[[#This Row],[Code]])</f>
        <v>0</v>
      </c>
      <c r="L1488" s="96">
        <f>STOCK[[#This Row],[Entradas]]-STOCK[[#This Row],[Salidas]]</f>
        <v>2</v>
      </c>
      <c r="M1488" s="94">
        <f>STOCK[[#This Row],[Precio Final]]*10%</f>
        <v>3.5</v>
      </c>
      <c r="N1488" s="94">
        <v>0</v>
      </c>
      <c r="O1488" s="94">
        <v>0</v>
      </c>
      <c r="P1488" s="94">
        <v>10.7</v>
      </c>
      <c r="Q1488" s="96">
        <v>0</v>
      </c>
      <c r="R1488" s="94">
        <v>0</v>
      </c>
      <c r="S1488" s="94">
        <v>1.65</v>
      </c>
      <c r="T1488" s="94">
        <f>STOCK[[#This Row],[Costo Unitario (USD)]]+STOCK[[#This Row],[Costo Envío (USD)]]+STOCK[[#This Row],[Comisión 10%]]</f>
        <v>15.85</v>
      </c>
      <c r="U1488" s="76">
        <f>STOCK[[#This Row],[Costo total]]*1.5</f>
        <v>23.775</v>
      </c>
      <c r="V1488" s="94">
        <v>35</v>
      </c>
      <c r="W1488" s="94">
        <f>STOCK[[#This Row],[Precio Final]]-STOCK[[#This Row],[Costo total]]</f>
        <v>19.15</v>
      </c>
      <c r="X1488" s="94">
        <f>STOCK[[#This Row],[Ganancia Unitaria]]*STOCK[[#This Row],[Salidas]]</f>
        <v>0</v>
      </c>
      <c r="Y1488" s="94"/>
      <c r="Z1488" s="94"/>
      <c r="AA1488" s="94">
        <f>STOCK[[#This Row],[Costo total]]*STOCK[[#This Row],[Entradas]]</f>
        <v>31.7</v>
      </c>
      <c r="AB1488" s="94">
        <f>STOCK[[#This Row],[Stock Actual]]*STOCK[[#This Row],[Costo total]]</f>
        <v>31.7</v>
      </c>
      <c r="AC1488" s="94"/>
    </row>
    <row r="1489" s="76" customFormat="1" ht="50" hidden="1" customHeight="1" spans="1:29">
      <c r="A1489" s="76" t="s">
        <v>2981</v>
      </c>
      <c r="B1489" s="95"/>
      <c r="C1489" s="94" t="s">
        <v>30</v>
      </c>
      <c r="D1489" s="94" t="s">
        <v>2626</v>
      </c>
      <c r="E1489" s="94" t="s">
        <v>2982</v>
      </c>
      <c r="F1489" s="94" t="s">
        <v>60</v>
      </c>
      <c r="G1489" s="94"/>
      <c r="H1489" s="94">
        <f>STOCK[[#This Row],[Precio Final]]</f>
        <v>30</v>
      </c>
      <c r="I1489" s="98">
        <f>STOCK[[#This Row],[Precio Venta Ideal (x1.5)]]</f>
        <v>21.03</v>
      </c>
      <c r="J1489" s="96">
        <v>1</v>
      </c>
      <c r="K1489" s="96">
        <f>SUMIFS(VENTAS[Cantidad],VENTAS[Código del producto Vendido],STOCK[[#This Row],[Code]])</f>
        <v>0</v>
      </c>
      <c r="L1489" s="96">
        <f>STOCK[[#This Row],[Entradas]]-STOCK[[#This Row],[Salidas]]</f>
        <v>1</v>
      </c>
      <c r="M1489" s="94">
        <f>STOCK[[#This Row],[Precio Final]]*10%</f>
        <v>3</v>
      </c>
      <c r="N1489" s="94">
        <v>0</v>
      </c>
      <c r="O1489" s="94">
        <v>0</v>
      </c>
      <c r="P1489" s="94">
        <v>9.37</v>
      </c>
      <c r="Q1489" s="96">
        <v>0</v>
      </c>
      <c r="R1489" s="94">
        <v>0</v>
      </c>
      <c r="S1489" s="94">
        <v>1.65</v>
      </c>
      <c r="T1489" s="94">
        <f>STOCK[[#This Row],[Costo Unitario (USD)]]+STOCK[[#This Row],[Costo Envío (USD)]]+STOCK[[#This Row],[Comisión 10%]]</f>
        <v>14.02</v>
      </c>
      <c r="U1489" s="76">
        <f>STOCK[[#This Row],[Costo total]]*1.5</f>
        <v>21.03</v>
      </c>
      <c r="V1489" s="94">
        <v>30</v>
      </c>
      <c r="W1489" s="94">
        <f>STOCK[[#This Row],[Precio Final]]-STOCK[[#This Row],[Costo total]]</f>
        <v>15.98</v>
      </c>
      <c r="X1489" s="94">
        <f>STOCK[[#This Row],[Ganancia Unitaria]]*STOCK[[#This Row],[Salidas]]</f>
        <v>0</v>
      </c>
      <c r="Y1489" s="94"/>
      <c r="Z1489" s="94"/>
      <c r="AA1489" s="94">
        <f>STOCK[[#This Row],[Costo total]]*STOCK[[#This Row],[Entradas]]</f>
        <v>14.02</v>
      </c>
      <c r="AB1489" s="94">
        <f>STOCK[[#This Row],[Stock Actual]]*STOCK[[#This Row],[Costo total]]</f>
        <v>14.02</v>
      </c>
      <c r="AC1489" s="94"/>
    </row>
    <row r="1490" s="76" customFormat="1" ht="50" hidden="1" customHeight="1" spans="1:29">
      <c r="A1490" s="76" t="s">
        <v>2983</v>
      </c>
      <c r="B1490" s="95"/>
      <c r="C1490" s="94" t="s">
        <v>30</v>
      </c>
      <c r="D1490" s="94" t="s">
        <v>2626</v>
      </c>
      <c r="E1490" s="94" t="s">
        <v>2982</v>
      </c>
      <c r="F1490" s="94" t="s">
        <v>44</v>
      </c>
      <c r="G1490" s="94"/>
      <c r="H1490" s="94">
        <f>STOCK[[#This Row],[Precio Final]]</f>
        <v>30</v>
      </c>
      <c r="I1490" s="98">
        <f>STOCK[[#This Row],[Precio Venta Ideal (x1.5)]]</f>
        <v>21.03</v>
      </c>
      <c r="J1490" s="96">
        <v>1</v>
      </c>
      <c r="K1490" s="96">
        <f>SUMIFS(VENTAS[Cantidad],VENTAS[Código del producto Vendido],STOCK[[#This Row],[Code]])</f>
        <v>0</v>
      </c>
      <c r="L1490" s="96">
        <f>STOCK[[#This Row],[Entradas]]-STOCK[[#This Row],[Salidas]]</f>
        <v>1</v>
      </c>
      <c r="M1490" s="94">
        <f>STOCK[[#This Row],[Precio Final]]*10%</f>
        <v>3</v>
      </c>
      <c r="N1490" s="94">
        <v>0</v>
      </c>
      <c r="O1490" s="94">
        <v>0</v>
      </c>
      <c r="P1490" s="94">
        <v>9.37</v>
      </c>
      <c r="Q1490" s="96">
        <v>0</v>
      </c>
      <c r="R1490" s="94">
        <v>0</v>
      </c>
      <c r="S1490" s="94">
        <v>1.65</v>
      </c>
      <c r="T1490" s="94">
        <f>STOCK[[#This Row],[Costo Unitario (USD)]]+STOCK[[#This Row],[Costo Envío (USD)]]+STOCK[[#This Row],[Comisión 10%]]</f>
        <v>14.02</v>
      </c>
      <c r="U1490" s="76">
        <f>STOCK[[#This Row],[Costo total]]*1.5</f>
        <v>21.03</v>
      </c>
      <c r="V1490" s="94">
        <v>30</v>
      </c>
      <c r="W1490" s="94">
        <f>STOCK[[#This Row],[Precio Final]]-STOCK[[#This Row],[Costo total]]</f>
        <v>15.98</v>
      </c>
      <c r="X1490" s="94">
        <f>STOCK[[#This Row],[Ganancia Unitaria]]*STOCK[[#This Row],[Salidas]]</f>
        <v>0</v>
      </c>
      <c r="Y1490" s="94"/>
      <c r="Z1490" s="94"/>
      <c r="AA1490" s="94">
        <f>STOCK[[#This Row],[Costo total]]*STOCK[[#This Row],[Entradas]]</f>
        <v>14.02</v>
      </c>
      <c r="AB1490" s="94">
        <f>STOCK[[#This Row],[Stock Actual]]*STOCK[[#This Row],[Costo total]]</f>
        <v>14.02</v>
      </c>
      <c r="AC1490" s="94"/>
    </row>
    <row r="1491" s="76" customFormat="1" ht="50" hidden="1" customHeight="1" spans="1:29">
      <c r="A1491" s="76" t="s">
        <v>2984</v>
      </c>
      <c r="B1491" s="95"/>
      <c r="C1491" s="94" t="s">
        <v>30</v>
      </c>
      <c r="D1491" s="94" t="s">
        <v>1806</v>
      </c>
      <c r="E1491" s="94" t="s">
        <v>2985</v>
      </c>
      <c r="F1491" s="94" t="s">
        <v>524</v>
      </c>
      <c r="G1491" s="94"/>
      <c r="H1491" s="94">
        <f>STOCK[[#This Row],[Precio Final]]</f>
        <v>10</v>
      </c>
      <c r="I1491" s="98">
        <f>STOCK[[#This Row],[Precio Venta Ideal (x1.5)]]</f>
        <v>6.915</v>
      </c>
      <c r="J1491" s="96">
        <v>5</v>
      </c>
      <c r="K1491" s="96">
        <f>SUMIFS(VENTAS[Cantidad],VENTAS[Código del producto Vendido],STOCK[[#This Row],[Code]])</f>
        <v>0</v>
      </c>
      <c r="L1491" s="96">
        <f>STOCK[[#This Row],[Entradas]]-STOCK[[#This Row],[Salidas]]</f>
        <v>5</v>
      </c>
      <c r="M1491" s="94">
        <f>STOCK[[#This Row],[Precio Final]]*10%</f>
        <v>1</v>
      </c>
      <c r="N1491" s="94">
        <v>0</v>
      </c>
      <c r="O1491" s="94">
        <v>0</v>
      </c>
      <c r="P1491" s="94">
        <v>1.96</v>
      </c>
      <c r="Q1491" s="96">
        <v>0</v>
      </c>
      <c r="R1491" s="94">
        <v>0</v>
      </c>
      <c r="S1491" s="94">
        <v>1.65</v>
      </c>
      <c r="T1491" s="94">
        <f>STOCK[[#This Row],[Costo Unitario (USD)]]+STOCK[[#This Row],[Costo Envío (USD)]]+STOCK[[#This Row],[Comisión 10%]]</f>
        <v>4.61</v>
      </c>
      <c r="U1491" s="76">
        <f>STOCK[[#This Row],[Costo total]]*1.5</f>
        <v>6.915</v>
      </c>
      <c r="V1491" s="94">
        <v>10</v>
      </c>
      <c r="W1491" s="94">
        <f>STOCK[[#This Row],[Precio Final]]-STOCK[[#This Row],[Costo total]]</f>
        <v>5.39</v>
      </c>
      <c r="X1491" s="94">
        <f>STOCK[[#This Row],[Ganancia Unitaria]]*STOCK[[#This Row],[Salidas]]</f>
        <v>0</v>
      </c>
      <c r="Y1491" s="94"/>
      <c r="Z1491" s="94"/>
      <c r="AA1491" s="94">
        <f>STOCK[[#This Row],[Costo total]]*STOCK[[#This Row],[Entradas]]</f>
        <v>23.05</v>
      </c>
      <c r="AB1491" s="94">
        <f>STOCK[[#This Row],[Stock Actual]]*STOCK[[#This Row],[Costo total]]</f>
        <v>23.05</v>
      </c>
      <c r="AC1491" s="94"/>
    </row>
    <row r="1492" s="76" customFormat="1" ht="50" hidden="1" customHeight="1" spans="1:29">
      <c r="A1492" s="76" t="s">
        <v>2986</v>
      </c>
      <c r="B1492" s="95"/>
      <c r="C1492" s="94" t="s">
        <v>30</v>
      </c>
      <c r="D1492" s="94" t="s">
        <v>2125</v>
      </c>
      <c r="E1492" s="94" t="s">
        <v>2987</v>
      </c>
      <c r="F1492" s="94" t="s">
        <v>60</v>
      </c>
      <c r="G1492" s="94"/>
      <c r="H1492" s="94">
        <f>STOCK[[#This Row],[Precio Final]]</f>
        <v>20</v>
      </c>
      <c r="I1492" s="98">
        <f>STOCK[[#This Row],[Precio Venta Ideal (x1.5)]]</f>
        <v>18.93</v>
      </c>
      <c r="J1492" s="96">
        <v>2</v>
      </c>
      <c r="K1492" s="96">
        <f>SUMIFS(VENTAS[Cantidad],VENTAS[Código del producto Vendido],STOCK[[#This Row],[Code]])</f>
        <v>1</v>
      </c>
      <c r="L1492" s="96">
        <f>STOCK[[#This Row],[Entradas]]-STOCK[[#This Row],[Salidas]]</f>
        <v>1</v>
      </c>
      <c r="M1492" s="94">
        <f>STOCK[[#This Row],[Precio Final]]*10%</f>
        <v>2</v>
      </c>
      <c r="N1492" s="94">
        <v>0</v>
      </c>
      <c r="O1492" s="94">
        <v>0</v>
      </c>
      <c r="P1492" s="94">
        <v>8.97</v>
      </c>
      <c r="Q1492" s="96">
        <v>0</v>
      </c>
      <c r="R1492" s="94">
        <v>0</v>
      </c>
      <c r="S1492" s="94">
        <v>1.65</v>
      </c>
      <c r="T1492" s="94">
        <f>STOCK[[#This Row],[Costo Unitario (USD)]]+STOCK[[#This Row],[Costo Envío (USD)]]+STOCK[[#This Row],[Comisión 10%]]</f>
        <v>12.62</v>
      </c>
      <c r="U1492" s="76">
        <f>STOCK[[#This Row],[Costo total]]*1.5</f>
        <v>18.93</v>
      </c>
      <c r="V1492" s="94">
        <v>20</v>
      </c>
      <c r="W1492" s="94">
        <f>STOCK[[#This Row],[Precio Final]]-STOCK[[#This Row],[Costo total]]</f>
        <v>7.38</v>
      </c>
      <c r="X1492" s="94">
        <f>STOCK[[#This Row],[Ganancia Unitaria]]*STOCK[[#This Row],[Salidas]]</f>
        <v>7.38</v>
      </c>
      <c r="Y1492" s="94"/>
      <c r="Z1492" s="94"/>
      <c r="AA1492" s="94">
        <f>STOCK[[#This Row],[Costo total]]*STOCK[[#This Row],[Entradas]]</f>
        <v>25.24</v>
      </c>
      <c r="AB1492" s="94">
        <f>STOCK[[#This Row],[Stock Actual]]*STOCK[[#This Row],[Costo total]]</f>
        <v>12.62</v>
      </c>
      <c r="AC1492" s="94"/>
    </row>
    <row r="1493" s="76" customFormat="1" ht="50" hidden="1" customHeight="1" spans="1:29">
      <c r="A1493" s="76" t="s">
        <v>2988</v>
      </c>
      <c r="B1493" s="95"/>
      <c r="C1493" s="94" t="s">
        <v>30</v>
      </c>
      <c r="D1493" s="94" t="s">
        <v>2125</v>
      </c>
      <c r="E1493" s="94" t="s">
        <v>2987</v>
      </c>
      <c r="F1493" s="94" t="s">
        <v>47</v>
      </c>
      <c r="G1493" s="94"/>
      <c r="H1493" s="94">
        <f>STOCK[[#This Row],[Precio Final]]</f>
        <v>20</v>
      </c>
      <c r="I1493" s="98">
        <f>STOCK[[#This Row],[Precio Venta Ideal (x1.5)]]</f>
        <v>18.93</v>
      </c>
      <c r="J1493" s="96">
        <v>2</v>
      </c>
      <c r="K1493" s="96">
        <f>SUMIFS(VENTAS[Cantidad],VENTAS[Código del producto Vendido],STOCK[[#This Row],[Code]])</f>
        <v>0</v>
      </c>
      <c r="L1493" s="96">
        <f>STOCK[[#This Row],[Entradas]]-STOCK[[#This Row],[Salidas]]</f>
        <v>2</v>
      </c>
      <c r="M1493" s="94">
        <f>STOCK[[#This Row],[Precio Final]]*10%</f>
        <v>2</v>
      </c>
      <c r="N1493" s="94">
        <v>0</v>
      </c>
      <c r="O1493" s="94">
        <v>0</v>
      </c>
      <c r="P1493" s="94">
        <v>8.97</v>
      </c>
      <c r="Q1493" s="96">
        <v>0</v>
      </c>
      <c r="R1493" s="94">
        <v>0</v>
      </c>
      <c r="S1493" s="94">
        <v>1.65</v>
      </c>
      <c r="T1493" s="94">
        <f>STOCK[[#This Row],[Costo Unitario (USD)]]+STOCK[[#This Row],[Costo Envío (USD)]]+STOCK[[#This Row],[Comisión 10%]]</f>
        <v>12.62</v>
      </c>
      <c r="U1493" s="76">
        <f>STOCK[[#This Row],[Costo total]]*1.5</f>
        <v>18.93</v>
      </c>
      <c r="V1493" s="94">
        <v>20</v>
      </c>
      <c r="W1493" s="94">
        <f>STOCK[[#This Row],[Precio Final]]-STOCK[[#This Row],[Costo total]]</f>
        <v>7.38</v>
      </c>
      <c r="X1493" s="94">
        <f>STOCK[[#This Row],[Ganancia Unitaria]]*STOCK[[#This Row],[Salidas]]</f>
        <v>0</v>
      </c>
      <c r="Y1493" s="94"/>
      <c r="Z1493" s="94"/>
      <c r="AA1493" s="94">
        <f>STOCK[[#This Row],[Costo total]]*STOCK[[#This Row],[Entradas]]</f>
        <v>25.24</v>
      </c>
      <c r="AB1493" s="94">
        <f>STOCK[[#This Row],[Stock Actual]]*STOCK[[#This Row],[Costo total]]</f>
        <v>25.24</v>
      </c>
      <c r="AC1493" s="94"/>
    </row>
    <row r="1494" s="76" customFormat="1" ht="50" hidden="1" customHeight="1" spans="1:29">
      <c r="A1494" s="76" t="s">
        <v>2989</v>
      </c>
      <c r="B1494" s="95"/>
      <c r="C1494" s="94" t="s">
        <v>30</v>
      </c>
      <c r="D1494" s="94" t="s">
        <v>2125</v>
      </c>
      <c r="E1494" s="94" t="s">
        <v>2987</v>
      </c>
      <c r="F1494" s="94" t="s">
        <v>44</v>
      </c>
      <c r="G1494" s="94"/>
      <c r="H1494" s="94">
        <f>STOCK[[#This Row],[Precio Final]]</f>
        <v>20</v>
      </c>
      <c r="I1494" s="98">
        <f>STOCK[[#This Row],[Precio Venta Ideal (x1.5)]]</f>
        <v>18.93</v>
      </c>
      <c r="J1494" s="96">
        <v>2</v>
      </c>
      <c r="K1494" s="96">
        <f>SUMIFS(VENTAS[Cantidad],VENTAS[Código del producto Vendido],STOCK[[#This Row],[Code]])</f>
        <v>0</v>
      </c>
      <c r="L1494" s="96">
        <f>STOCK[[#This Row],[Entradas]]-STOCK[[#This Row],[Salidas]]</f>
        <v>2</v>
      </c>
      <c r="M1494" s="94">
        <f>STOCK[[#This Row],[Precio Final]]*10%</f>
        <v>2</v>
      </c>
      <c r="N1494" s="94">
        <v>0</v>
      </c>
      <c r="O1494" s="94">
        <v>0</v>
      </c>
      <c r="P1494" s="94">
        <v>8.97</v>
      </c>
      <c r="Q1494" s="96">
        <v>0</v>
      </c>
      <c r="R1494" s="94">
        <v>0</v>
      </c>
      <c r="S1494" s="94">
        <v>1.65</v>
      </c>
      <c r="T1494" s="94">
        <f>STOCK[[#This Row],[Costo Unitario (USD)]]+STOCK[[#This Row],[Costo Envío (USD)]]+STOCK[[#This Row],[Comisión 10%]]</f>
        <v>12.62</v>
      </c>
      <c r="U1494" s="76">
        <f>STOCK[[#This Row],[Costo total]]*1.5</f>
        <v>18.93</v>
      </c>
      <c r="V1494" s="94">
        <v>20</v>
      </c>
      <c r="W1494" s="94">
        <f>STOCK[[#This Row],[Precio Final]]-STOCK[[#This Row],[Costo total]]</f>
        <v>7.38</v>
      </c>
      <c r="X1494" s="94">
        <f>STOCK[[#This Row],[Ganancia Unitaria]]*STOCK[[#This Row],[Salidas]]</f>
        <v>0</v>
      </c>
      <c r="Y1494" s="94"/>
      <c r="Z1494" s="94"/>
      <c r="AA1494" s="94">
        <f>STOCK[[#This Row],[Costo total]]*STOCK[[#This Row],[Entradas]]</f>
        <v>25.24</v>
      </c>
      <c r="AB1494" s="94">
        <f>STOCK[[#This Row],[Stock Actual]]*STOCK[[#This Row],[Costo total]]</f>
        <v>25.24</v>
      </c>
      <c r="AC1494" s="94"/>
    </row>
    <row r="1495" s="76" customFormat="1" ht="50" hidden="1" customHeight="1" spans="1:29">
      <c r="A1495" s="76" t="s">
        <v>2990</v>
      </c>
      <c r="B1495" s="95"/>
      <c r="C1495" s="94" t="s">
        <v>30</v>
      </c>
      <c r="D1495" s="94" t="s">
        <v>1188</v>
      </c>
      <c r="E1495" s="94" t="s">
        <v>2991</v>
      </c>
      <c r="F1495" s="94" t="s">
        <v>60</v>
      </c>
      <c r="G1495" s="94"/>
      <c r="H1495" s="94">
        <f>STOCK[[#This Row],[Precio Final]]</f>
        <v>15</v>
      </c>
      <c r="I1495" s="98">
        <f>STOCK[[#This Row],[Precio Venta Ideal (x1.5)]]</f>
        <v>11.13</v>
      </c>
      <c r="J1495" s="96">
        <v>2</v>
      </c>
      <c r="K1495" s="96">
        <f>SUMIFS(VENTAS[Cantidad],VENTAS[Código del producto Vendido],STOCK[[#This Row],[Code]])</f>
        <v>1</v>
      </c>
      <c r="L1495" s="96">
        <f>STOCK[[#This Row],[Entradas]]-STOCK[[#This Row],[Salidas]]</f>
        <v>1</v>
      </c>
      <c r="M1495" s="94">
        <f>STOCK[[#This Row],[Precio Final]]*10%</f>
        <v>1.5</v>
      </c>
      <c r="N1495" s="94">
        <v>0</v>
      </c>
      <c r="O1495" s="94">
        <v>0</v>
      </c>
      <c r="P1495" s="94">
        <v>4.27</v>
      </c>
      <c r="Q1495" s="96">
        <v>0</v>
      </c>
      <c r="R1495" s="94">
        <v>0</v>
      </c>
      <c r="S1495" s="94">
        <v>1.65</v>
      </c>
      <c r="T1495" s="94">
        <f>STOCK[[#This Row],[Costo Unitario (USD)]]+STOCK[[#This Row],[Costo Envío (USD)]]+STOCK[[#This Row],[Comisión 10%]]</f>
        <v>7.42</v>
      </c>
      <c r="U1495" s="76">
        <f>STOCK[[#This Row],[Costo total]]*1.5</f>
        <v>11.13</v>
      </c>
      <c r="V1495" s="94">
        <v>15</v>
      </c>
      <c r="W1495" s="94">
        <f>STOCK[[#This Row],[Precio Final]]-STOCK[[#This Row],[Costo total]]</f>
        <v>7.58</v>
      </c>
      <c r="X1495" s="94">
        <f>STOCK[[#This Row],[Ganancia Unitaria]]*STOCK[[#This Row],[Salidas]]</f>
        <v>7.58</v>
      </c>
      <c r="Y1495" s="94"/>
      <c r="Z1495" s="94"/>
      <c r="AA1495" s="94">
        <f>STOCK[[#This Row],[Costo total]]*STOCK[[#This Row],[Entradas]]</f>
        <v>14.84</v>
      </c>
      <c r="AB1495" s="94">
        <f>STOCK[[#This Row],[Stock Actual]]*STOCK[[#This Row],[Costo total]]</f>
        <v>7.42</v>
      </c>
      <c r="AC1495" s="94"/>
    </row>
    <row r="1496" s="76" customFormat="1" ht="50" hidden="1" customHeight="1" spans="1:29">
      <c r="A1496" s="76" t="s">
        <v>2992</v>
      </c>
      <c r="B1496" s="95"/>
      <c r="C1496" s="94" t="s">
        <v>30</v>
      </c>
      <c r="D1496" s="94" t="s">
        <v>1188</v>
      </c>
      <c r="E1496" s="94" t="s">
        <v>2991</v>
      </c>
      <c r="F1496" s="94" t="s">
        <v>47</v>
      </c>
      <c r="G1496" s="94"/>
      <c r="H1496" s="94">
        <f>STOCK[[#This Row],[Precio Final]]</f>
        <v>15</v>
      </c>
      <c r="I1496" s="98">
        <f>STOCK[[#This Row],[Precio Venta Ideal (x1.5)]]</f>
        <v>11.13</v>
      </c>
      <c r="J1496" s="96">
        <v>2</v>
      </c>
      <c r="K1496" s="96">
        <f>SUMIFS(VENTAS[Cantidad],VENTAS[Código del producto Vendido],STOCK[[#This Row],[Code]])</f>
        <v>2</v>
      </c>
      <c r="L1496" s="96">
        <f>STOCK[[#This Row],[Entradas]]-STOCK[[#This Row],[Salidas]]</f>
        <v>0</v>
      </c>
      <c r="M1496" s="94">
        <f>STOCK[[#This Row],[Precio Final]]*10%</f>
        <v>1.5</v>
      </c>
      <c r="N1496" s="94">
        <v>0</v>
      </c>
      <c r="O1496" s="94">
        <v>0</v>
      </c>
      <c r="P1496" s="94">
        <v>4.27</v>
      </c>
      <c r="Q1496" s="96">
        <v>0</v>
      </c>
      <c r="R1496" s="94">
        <v>0</v>
      </c>
      <c r="S1496" s="94">
        <v>1.65</v>
      </c>
      <c r="T1496" s="94">
        <f>STOCK[[#This Row],[Costo Unitario (USD)]]+STOCK[[#This Row],[Costo Envío (USD)]]+STOCK[[#This Row],[Comisión 10%]]</f>
        <v>7.42</v>
      </c>
      <c r="U1496" s="76">
        <f>STOCK[[#This Row],[Costo total]]*1.5</f>
        <v>11.13</v>
      </c>
      <c r="V1496" s="94">
        <v>15</v>
      </c>
      <c r="W1496" s="94">
        <f>STOCK[[#This Row],[Precio Final]]-STOCK[[#This Row],[Costo total]]</f>
        <v>7.58</v>
      </c>
      <c r="X1496" s="94">
        <f>STOCK[[#This Row],[Ganancia Unitaria]]*STOCK[[#This Row],[Salidas]]</f>
        <v>15.16</v>
      </c>
      <c r="Y1496" s="94"/>
      <c r="Z1496" s="94"/>
      <c r="AA1496" s="94">
        <f>STOCK[[#This Row],[Costo total]]*STOCK[[#This Row],[Entradas]]</f>
        <v>14.84</v>
      </c>
      <c r="AB1496" s="94">
        <f>STOCK[[#This Row],[Stock Actual]]*STOCK[[#This Row],[Costo total]]</f>
        <v>0</v>
      </c>
      <c r="AC1496" s="94"/>
    </row>
    <row r="1497" s="76" customFormat="1" ht="50" hidden="1" customHeight="1" spans="1:29">
      <c r="A1497" s="76" t="s">
        <v>2993</v>
      </c>
      <c r="B1497" s="95"/>
      <c r="C1497" s="94" t="s">
        <v>30</v>
      </c>
      <c r="D1497" s="94" t="s">
        <v>1188</v>
      </c>
      <c r="E1497" s="94" t="s">
        <v>2991</v>
      </c>
      <c r="F1497" s="94" t="s">
        <v>44</v>
      </c>
      <c r="G1497" s="94"/>
      <c r="H1497" s="94">
        <f>STOCK[[#This Row],[Precio Final]]</f>
        <v>15</v>
      </c>
      <c r="I1497" s="98">
        <f>STOCK[[#This Row],[Precio Venta Ideal (x1.5)]]</f>
        <v>11.13</v>
      </c>
      <c r="J1497" s="96">
        <v>2</v>
      </c>
      <c r="K1497" s="96">
        <f>SUMIFS(VENTAS[Cantidad],VENTAS[Código del producto Vendido],STOCK[[#This Row],[Code]])</f>
        <v>2</v>
      </c>
      <c r="L1497" s="96">
        <f>STOCK[[#This Row],[Entradas]]-STOCK[[#This Row],[Salidas]]</f>
        <v>0</v>
      </c>
      <c r="M1497" s="94">
        <f>STOCK[[#This Row],[Precio Final]]*10%</f>
        <v>1.5</v>
      </c>
      <c r="N1497" s="94">
        <v>0</v>
      </c>
      <c r="O1497" s="94">
        <v>0</v>
      </c>
      <c r="P1497" s="94">
        <v>4.27</v>
      </c>
      <c r="Q1497" s="96">
        <v>0</v>
      </c>
      <c r="R1497" s="94">
        <v>0</v>
      </c>
      <c r="S1497" s="94">
        <v>1.65</v>
      </c>
      <c r="T1497" s="94">
        <f>STOCK[[#This Row],[Costo Unitario (USD)]]+STOCK[[#This Row],[Costo Envío (USD)]]+STOCK[[#This Row],[Comisión 10%]]</f>
        <v>7.42</v>
      </c>
      <c r="U1497" s="76">
        <f>STOCK[[#This Row],[Costo total]]*1.5</f>
        <v>11.13</v>
      </c>
      <c r="V1497" s="94">
        <v>15</v>
      </c>
      <c r="W1497" s="94">
        <f>STOCK[[#This Row],[Precio Final]]-STOCK[[#This Row],[Costo total]]</f>
        <v>7.58</v>
      </c>
      <c r="X1497" s="94">
        <f>STOCK[[#This Row],[Ganancia Unitaria]]*STOCK[[#This Row],[Salidas]]</f>
        <v>15.16</v>
      </c>
      <c r="Y1497" s="94"/>
      <c r="Z1497" s="94"/>
      <c r="AA1497" s="94">
        <f>STOCK[[#This Row],[Costo total]]*STOCK[[#This Row],[Entradas]]</f>
        <v>14.84</v>
      </c>
      <c r="AB1497" s="94">
        <f>STOCK[[#This Row],[Stock Actual]]*STOCK[[#This Row],[Costo total]]</f>
        <v>0</v>
      </c>
      <c r="AC1497" s="94"/>
    </row>
    <row r="1498" s="76" customFormat="1" ht="50" hidden="1" customHeight="1" spans="1:29">
      <c r="A1498" s="76" t="s">
        <v>2994</v>
      </c>
      <c r="B1498" s="95"/>
      <c r="C1498" s="94" t="s">
        <v>30</v>
      </c>
      <c r="D1498" s="94" t="s">
        <v>1188</v>
      </c>
      <c r="E1498" s="94" t="s">
        <v>2991</v>
      </c>
      <c r="F1498" s="94" t="s">
        <v>40</v>
      </c>
      <c r="G1498" s="94"/>
      <c r="H1498" s="94">
        <f>STOCK[[#This Row],[Precio Final]]</f>
        <v>15</v>
      </c>
      <c r="I1498" s="98">
        <f>STOCK[[#This Row],[Precio Venta Ideal (x1.5)]]</f>
        <v>11.13</v>
      </c>
      <c r="J1498" s="96">
        <v>2</v>
      </c>
      <c r="K1498" s="96">
        <f>SUMIFS(VENTAS[Cantidad],VENTAS[Código del producto Vendido],STOCK[[#This Row],[Code]])</f>
        <v>1</v>
      </c>
      <c r="L1498" s="96">
        <f>STOCK[[#This Row],[Entradas]]-STOCK[[#This Row],[Salidas]]</f>
        <v>1</v>
      </c>
      <c r="M1498" s="94">
        <f>STOCK[[#This Row],[Precio Final]]*10%</f>
        <v>1.5</v>
      </c>
      <c r="N1498" s="94">
        <v>0</v>
      </c>
      <c r="O1498" s="94">
        <v>0</v>
      </c>
      <c r="P1498" s="94">
        <v>4.27</v>
      </c>
      <c r="Q1498" s="96">
        <v>0</v>
      </c>
      <c r="R1498" s="94">
        <v>0</v>
      </c>
      <c r="S1498" s="94">
        <v>1.65</v>
      </c>
      <c r="T1498" s="94">
        <f>STOCK[[#This Row],[Costo Unitario (USD)]]+STOCK[[#This Row],[Costo Envío (USD)]]+STOCK[[#This Row],[Comisión 10%]]</f>
        <v>7.42</v>
      </c>
      <c r="U1498" s="76">
        <f>STOCK[[#This Row],[Costo total]]*1.5</f>
        <v>11.13</v>
      </c>
      <c r="V1498" s="94">
        <v>15</v>
      </c>
      <c r="W1498" s="94">
        <f>STOCK[[#This Row],[Precio Final]]-STOCK[[#This Row],[Costo total]]</f>
        <v>7.58</v>
      </c>
      <c r="X1498" s="94">
        <f>STOCK[[#This Row],[Ganancia Unitaria]]*STOCK[[#This Row],[Salidas]]</f>
        <v>7.58</v>
      </c>
      <c r="Y1498" s="94"/>
      <c r="Z1498" s="94"/>
      <c r="AA1498" s="94">
        <f>STOCK[[#This Row],[Costo total]]*STOCK[[#This Row],[Entradas]]</f>
        <v>14.84</v>
      </c>
      <c r="AB1498" s="94">
        <f>STOCK[[#This Row],[Stock Actual]]*STOCK[[#This Row],[Costo total]]</f>
        <v>7.42</v>
      </c>
      <c r="AC1498" s="94"/>
    </row>
    <row r="1499" s="76" customFormat="1" ht="50" hidden="1" customHeight="1" spans="1:29">
      <c r="A1499" s="76" t="s">
        <v>2995</v>
      </c>
      <c r="B1499" s="95"/>
      <c r="C1499" s="94" t="s">
        <v>30</v>
      </c>
      <c r="D1499" s="94" t="s">
        <v>2125</v>
      </c>
      <c r="E1499" s="94" t="s">
        <v>2996</v>
      </c>
      <c r="F1499" s="94" t="s">
        <v>47</v>
      </c>
      <c r="G1499" s="94"/>
      <c r="H1499" s="94">
        <f>STOCK[[#This Row],[Precio Final]]</f>
        <v>18</v>
      </c>
      <c r="I1499" s="98">
        <f>STOCK[[#This Row],[Precio Venta Ideal (x1.5)]]</f>
        <v>15.795</v>
      </c>
      <c r="J1499" s="96">
        <v>3</v>
      </c>
      <c r="K1499" s="96">
        <f>SUMIFS(VENTAS[Cantidad],VENTAS[Código del producto Vendido],STOCK[[#This Row],[Code]])</f>
        <v>0</v>
      </c>
      <c r="L1499" s="96">
        <f>STOCK[[#This Row],[Entradas]]-STOCK[[#This Row],[Salidas]]</f>
        <v>3</v>
      </c>
      <c r="M1499" s="94">
        <f>STOCK[[#This Row],[Precio Final]]*10%</f>
        <v>1.8</v>
      </c>
      <c r="N1499" s="94">
        <v>0</v>
      </c>
      <c r="O1499" s="94">
        <v>0</v>
      </c>
      <c r="P1499" s="94">
        <v>7.08</v>
      </c>
      <c r="Q1499" s="96">
        <v>0</v>
      </c>
      <c r="R1499" s="94">
        <v>0</v>
      </c>
      <c r="S1499" s="94">
        <v>1.65</v>
      </c>
      <c r="T1499" s="94">
        <f>STOCK[[#This Row],[Costo Unitario (USD)]]+STOCK[[#This Row],[Costo Envío (USD)]]+STOCK[[#This Row],[Comisión 10%]]</f>
        <v>10.53</v>
      </c>
      <c r="U1499" s="76">
        <f>STOCK[[#This Row],[Costo total]]*1.5</f>
        <v>15.795</v>
      </c>
      <c r="V1499" s="94">
        <v>18</v>
      </c>
      <c r="W1499" s="94">
        <f>STOCK[[#This Row],[Precio Final]]-STOCK[[#This Row],[Costo total]]</f>
        <v>7.47</v>
      </c>
      <c r="X1499" s="94">
        <f>STOCK[[#This Row],[Ganancia Unitaria]]*STOCK[[#This Row],[Salidas]]</f>
        <v>0</v>
      </c>
      <c r="Y1499" s="94"/>
      <c r="Z1499" s="94"/>
      <c r="AA1499" s="94">
        <f>STOCK[[#This Row],[Costo total]]*STOCK[[#This Row],[Entradas]]</f>
        <v>31.59</v>
      </c>
      <c r="AB1499" s="94">
        <f>STOCK[[#This Row],[Stock Actual]]*STOCK[[#This Row],[Costo total]]</f>
        <v>31.59</v>
      </c>
      <c r="AC1499" s="94"/>
    </row>
    <row r="1500" s="76" customFormat="1" ht="50" hidden="1" customHeight="1" spans="1:29">
      <c r="A1500" s="76" t="s">
        <v>2997</v>
      </c>
      <c r="B1500" s="95"/>
      <c r="C1500" s="94" t="s">
        <v>30</v>
      </c>
      <c r="D1500" s="94" t="s">
        <v>2125</v>
      </c>
      <c r="E1500" s="94" t="s">
        <v>2996</v>
      </c>
      <c r="F1500" s="94" t="s">
        <v>44</v>
      </c>
      <c r="G1500" s="94"/>
      <c r="H1500" s="94">
        <f>STOCK[[#This Row],[Precio Final]]</f>
        <v>18</v>
      </c>
      <c r="I1500" s="98">
        <f>STOCK[[#This Row],[Precio Venta Ideal (x1.5)]]</f>
        <v>15.795</v>
      </c>
      <c r="J1500" s="96">
        <v>3</v>
      </c>
      <c r="K1500" s="96">
        <f>SUMIFS(VENTAS[Cantidad],VENTAS[Código del producto Vendido],STOCK[[#This Row],[Code]])</f>
        <v>0</v>
      </c>
      <c r="L1500" s="96">
        <f>STOCK[[#This Row],[Entradas]]-STOCK[[#This Row],[Salidas]]</f>
        <v>3</v>
      </c>
      <c r="M1500" s="94">
        <f>STOCK[[#This Row],[Precio Final]]*10%</f>
        <v>1.8</v>
      </c>
      <c r="N1500" s="94">
        <v>0</v>
      </c>
      <c r="O1500" s="94">
        <v>0</v>
      </c>
      <c r="P1500" s="94">
        <v>7.08</v>
      </c>
      <c r="Q1500" s="96">
        <v>0</v>
      </c>
      <c r="R1500" s="94">
        <v>0</v>
      </c>
      <c r="S1500" s="94">
        <v>1.65</v>
      </c>
      <c r="T1500" s="94">
        <f>STOCK[[#This Row],[Costo Unitario (USD)]]+STOCK[[#This Row],[Costo Envío (USD)]]+STOCK[[#This Row],[Comisión 10%]]</f>
        <v>10.53</v>
      </c>
      <c r="U1500" s="76">
        <f>STOCK[[#This Row],[Costo total]]*1.5</f>
        <v>15.795</v>
      </c>
      <c r="V1500" s="94">
        <v>18</v>
      </c>
      <c r="W1500" s="94">
        <f>STOCK[[#This Row],[Precio Final]]-STOCK[[#This Row],[Costo total]]</f>
        <v>7.47</v>
      </c>
      <c r="X1500" s="94">
        <f>STOCK[[#This Row],[Ganancia Unitaria]]*STOCK[[#This Row],[Salidas]]</f>
        <v>0</v>
      </c>
      <c r="Y1500" s="94"/>
      <c r="Z1500" s="94"/>
      <c r="AA1500" s="94">
        <f>STOCK[[#This Row],[Costo total]]*STOCK[[#This Row],[Entradas]]</f>
        <v>31.59</v>
      </c>
      <c r="AB1500" s="94">
        <f>STOCK[[#This Row],[Stock Actual]]*STOCK[[#This Row],[Costo total]]</f>
        <v>31.59</v>
      </c>
      <c r="AC1500" s="94"/>
    </row>
    <row r="1501" s="76" customFormat="1" ht="50" hidden="1" customHeight="1" spans="1:29">
      <c r="A1501" s="76" t="s">
        <v>2998</v>
      </c>
      <c r="B1501" s="95"/>
      <c r="C1501" s="94" t="s">
        <v>30</v>
      </c>
      <c r="D1501" s="94" t="s">
        <v>2125</v>
      </c>
      <c r="E1501" s="94" t="s">
        <v>2999</v>
      </c>
      <c r="F1501" s="94" t="s">
        <v>995</v>
      </c>
      <c r="G1501" s="94"/>
      <c r="H1501" s="94">
        <f>STOCK[[#This Row],[Precio Final]]</f>
        <v>28</v>
      </c>
      <c r="I1501" s="98">
        <f>STOCK[[#This Row],[Precio Venta Ideal (x1.5)]]</f>
        <v>24.195</v>
      </c>
      <c r="J1501" s="96">
        <v>2</v>
      </c>
      <c r="K1501" s="96">
        <f>SUMIFS(VENTAS[Cantidad],VENTAS[Código del producto Vendido],STOCK[[#This Row],[Code]])</f>
        <v>1</v>
      </c>
      <c r="L1501" s="96">
        <f>STOCK[[#This Row],[Entradas]]-STOCK[[#This Row],[Salidas]]</f>
        <v>1</v>
      </c>
      <c r="M1501" s="94">
        <f>STOCK[[#This Row],[Precio Final]]*10%</f>
        <v>2.8</v>
      </c>
      <c r="N1501" s="94">
        <v>0</v>
      </c>
      <c r="O1501" s="94">
        <v>0</v>
      </c>
      <c r="P1501" s="94">
        <v>11.68</v>
      </c>
      <c r="Q1501" s="96">
        <v>0</v>
      </c>
      <c r="R1501" s="94">
        <v>0</v>
      </c>
      <c r="S1501" s="94">
        <v>1.65</v>
      </c>
      <c r="T1501" s="94">
        <f>STOCK[[#This Row],[Costo Unitario (USD)]]+STOCK[[#This Row],[Costo Envío (USD)]]+STOCK[[#This Row],[Comisión 10%]]</f>
        <v>16.13</v>
      </c>
      <c r="U1501" s="76">
        <f>STOCK[[#This Row],[Costo total]]*1.5</f>
        <v>24.195</v>
      </c>
      <c r="V1501" s="94">
        <v>28</v>
      </c>
      <c r="W1501" s="94">
        <f>STOCK[[#This Row],[Precio Final]]-STOCK[[#This Row],[Costo total]]</f>
        <v>11.87</v>
      </c>
      <c r="X1501" s="94">
        <f>STOCK[[#This Row],[Ganancia Unitaria]]*STOCK[[#This Row],[Salidas]]</f>
        <v>11.87</v>
      </c>
      <c r="Y1501" s="94"/>
      <c r="Z1501" s="94"/>
      <c r="AA1501" s="94">
        <f>STOCK[[#This Row],[Costo total]]*STOCK[[#This Row],[Entradas]]</f>
        <v>32.26</v>
      </c>
      <c r="AB1501" s="94">
        <f>STOCK[[#This Row],[Stock Actual]]*STOCK[[#This Row],[Costo total]]</f>
        <v>16.13</v>
      </c>
      <c r="AC1501" s="94"/>
    </row>
    <row r="1502" s="76" customFormat="1" ht="50" hidden="1" customHeight="1" spans="1:29">
      <c r="A1502" s="76" t="s">
        <v>3000</v>
      </c>
      <c r="B1502" s="95"/>
      <c r="C1502" s="94" t="s">
        <v>30</v>
      </c>
      <c r="D1502" s="94" t="s">
        <v>2626</v>
      </c>
      <c r="E1502" s="94" t="s">
        <v>3001</v>
      </c>
      <c r="F1502" s="94" t="s">
        <v>60</v>
      </c>
      <c r="G1502" s="94"/>
      <c r="H1502" s="94">
        <f>STOCK[[#This Row],[Precio Final]]</f>
        <v>25</v>
      </c>
      <c r="I1502" s="98">
        <f>STOCK[[#This Row],[Precio Venta Ideal (x1.5)]]</f>
        <v>23.445</v>
      </c>
      <c r="J1502" s="96">
        <v>1</v>
      </c>
      <c r="K1502" s="96">
        <f>SUMIFS(VENTAS[Cantidad],VENTAS[Código del producto Vendido],STOCK[[#This Row],[Code]])</f>
        <v>0</v>
      </c>
      <c r="L1502" s="96">
        <f>STOCK[[#This Row],[Entradas]]-STOCK[[#This Row],[Salidas]]</f>
        <v>1</v>
      </c>
      <c r="M1502" s="94">
        <f>STOCK[[#This Row],[Precio Final]]*10%</f>
        <v>2.5</v>
      </c>
      <c r="N1502" s="94">
        <v>0</v>
      </c>
      <c r="O1502" s="94">
        <v>0</v>
      </c>
      <c r="P1502" s="94">
        <v>11.48</v>
      </c>
      <c r="Q1502" s="96">
        <v>0</v>
      </c>
      <c r="R1502" s="94">
        <v>0</v>
      </c>
      <c r="S1502" s="94">
        <v>1.65</v>
      </c>
      <c r="T1502" s="94">
        <f>STOCK[[#This Row],[Costo Unitario (USD)]]+STOCK[[#This Row],[Costo Envío (USD)]]+STOCK[[#This Row],[Comisión 10%]]</f>
        <v>15.63</v>
      </c>
      <c r="U1502" s="76">
        <f>STOCK[[#This Row],[Costo total]]*1.5</f>
        <v>23.445</v>
      </c>
      <c r="V1502" s="94">
        <v>25</v>
      </c>
      <c r="W1502" s="94">
        <f>STOCK[[#This Row],[Precio Final]]-STOCK[[#This Row],[Costo total]]</f>
        <v>9.37</v>
      </c>
      <c r="X1502" s="94">
        <f>STOCK[[#This Row],[Ganancia Unitaria]]*STOCK[[#This Row],[Salidas]]</f>
        <v>0</v>
      </c>
      <c r="Y1502" s="94"/>
      <c r="Z1502" s="94"/>
      <c r="AA1502" s="94">
        <f>STOCK[[#This Row],[Costo total]]*STOCK[[#This Row],[Entradas]]</f>
        <v>15.63</v>
      </c>
      <c r="AB1502" s="94">
        <f>STOCK[[#This Row],[Stock Actual]]*STOCK[[#This Row],[Costo total]]</f>
        <v>15.63</v>
      </c>
      <c r="AC1502" s="94"/>
    </row>
    <row r="1503" s="76" customFormat="1" ht="40" hidden="1" customHeight="1" spans="1:29">
      <c r="A1503" s="76" t="s">
        <v>3002</v>
      </c>
      <c r="B1503" s="95"/>
      <c r="C1503" s="94" t="s">
        <v>30</v>
      </c>
      <c r="D1503" s="94" t="s">
        <v>2626</v>
      </c>
      <c r="E1503" s="94" t="s">
        <v>3001</v>
      </c>
      <c r="F1503" s="94" t="s">
        <v>40</v>
      </c>
      <c r="G1503" s="94"/>
      <c r="H1503" s="94">
        <f>STOCK[[#This Row],[Precio Final]]</f>
        <v>25</v>
      </c>
      <c r="I1503" s="98">
        <f>STOCK[[#This Row],[Precio Venta Ideal (x1.5)]]</f>
        <v>23.445</v>
      </c>
      <c r="J1503" s="96">
        <v>1</v>
      </c>
      <c r="K1503" s="96">
        <f>SUMIFS(VENTAS[Cantidad],VENTAS[Código del producto Vendido],STOCK[[#This Row],[Code]])</f>
        <v>0</v>
      </c>
      <c r="L1503" s="96">
        <f>STOCK[[#This Row],[Entradas]]-STOCK[[#This Row],[Salidas]]</f>
        <v>1</v>
      </c>
      <c r="M1503" s="94">
        <f>STOCK[[#This Row],[Precio Final]]*10%</f>
        <v>2.5</v>
      </c>
      <c r="N1503" s="94">
        <v>0</v>
      </c>
      <c r="O1503" s="94">
        <v>0</v>
      </c>
      <c r="P1503" s="94">
        <v>11.48</v>
      </c>
      <c r="Q1503" s="96">
        <v>0</v>
      </c>
      <c r="R1503" s="94">
        <v>0</v>
      </c>
      <c r="S1503" s="94">
        <v>1.65</v>
      </c>
      <c r="T1503" s="94">
        <f>STOCK[[#This Row],[Costo Unitario (USD)]]+STOCK[[#This Row],[Costo Envío (USD)]]+STOCK[[#This Row],[Comisión 10%]]</f>
        <v>15.63</v>
      </c>
      <c r="U1503" s="76">
        <f>STOCK[[#This Row],[Costo total]]*1.5</f>
        <v>23.445</v>
      </c>
      <c r="V1503" s="94">
        <v>25</v>
      </c>
      <c r="W1503" s="94">
        <f>STOCK[[#This Row],[Precio Final]]-STOCK[[#This Row],[Costo total]]</f>
        <v>9.37</v>
      </c>
      <c r="X1503" s="94">
        <f>STOCK[[#This Row],[Ganancia Unitaria]]*STOCK[[#This Row],[Salidas]]</f>
        <v>0</v>
      </c>
      <c r="Y1503" s="94"/>
      <c r="Z1503" s="94"/>
      <c r="AA1503" s="94">
        <f>STOCK[[#This Row],[Costo total]]*STOCK[[#This Row],[Entradas]]</f>
        <v>15.63</v>
      </c>
      <c r="AB1503" s="94">
        <f>STOCK[[#This Row],[Stock Actual]]*STOCK[[#This Row],[Costo total]]</f>
        <v>15.63</v>
      </c>
      <c r="AC1503" s="94"/>
    </row>
    <row r="1504" s="76" customFormat="1" ht="50" hidden="1" customHeight="1" spans="1:29">
      <c r="A1504" s="76" t="s">
        <v>3003</v>
      </c>
      <c r="B1504" s="95"/>
      <c r="C1504" s="94" t="s">
        <v>30</v>
      </c>
      <c r="D1504" s="94" t="s">
        <v>2626</v>
      </c>
      <c r="E1504" s="94" t="s">
        <v>3004</v>
      </c>
      <c r="F1504" s="94" t="s">
        <v>40</v>
      </c>
      <c r="G1504" s="94"/>
      <c r="H1504" s="94">
        <f>STOCK[[#This Row],[Precio Final]]</f>
        <v>25</v>
      </c>
      <c r="I1504" s="98">
        <f>STOCK[[#This Row],[Precio Venta Ideal (x1.5)]]</f>
        <v>15.66</v>
      </c>
      <c r="J1504" s="96">
        <v>1</v>
      </c>
      <c r="K1504" s="96">
        <f>SUMIFS(VENTAS[Cantidad],VENTAS[Código del producto Vendido],STOCK[[#This Row],[Code]])</f>
        <v>0</v>
      </c>
      <c r="L1504" s="96">
        <f>STOCK[[#This Row],[Entradas]]-STOCK[[#This Row],[Salidas]]</f>
        <v>1</v>
      </c>
      <c r="M1504" s="94">
        <f>STOCK[[#This Row],[Precio Final]]*10%</f>
        <v>2.5</v>
      </c>
      <c r="N1504" s="94">
        <v>0</v>
      </c>
      <c r="O1504" s="94">
        <v>0</v>
      </c>
      <c r="P1504" s="94">
        <v>6.29</v>
      </c>
      <c r="Q1504" s="96">
        <v>0</v>
      </c>
      <c r="R1504" s="94">
        <v>0</v>
      </c>
      <c r="S1504" s="94">
        <v>1.65</v>
      </c>
      <c r="T1504" s="94">
        <f>STOCK[[#This Row],[Costo Unitario (USD)]]+STOCK[[#This Row],[Costo Envío (USD)]]+STOCK[[#This Row],[Comisión 10%]]</f>
        <v>10.44</v>
      </c>
      <c r="U1504" s="76">
        <f>STOCK[[#This Row],[Costo total]]*1.5</f>
        <v>15.66</v>
      </c>
      <c r="V1504" s="94">
        <v>25</v>
      </c>
      <c r="W1504" s="94">
        <f>STOCK[[#This Row],[Precio Final]]-STOCK[[#This Row],[Costo total]]</f>
        <v>14.56</v>
      </c>
      <c r="X1504" s="94">
        <f>STOCK[[#This Row],[Ganancia Unitaria]]*STOCK[[#This Row],[Salidas]]</f>
        <v>0</v>
      </c>
      <c r="Y1504" s="94"/>
      <c r="Z1504" s="94"/>
      <c r="AA1504" s="94">
        <f>STOCK[[#This Row],[Costo total]]*STOCK[[#This Row],[Entradas]]</f>
        <v>10.44</v>
      </c>
      <c r="AB1504" s="94">
        <f>STOCK[[#This Row],[Stock Actual]]*STOCK[[#This Row],[Costo total]]</f>
        <v>10.44</v>
      </c>
      <c r="AC1504" s="94"/>
    </row>
    <row r="1505" s="76" customFormat="1" ht="50" hidden="1" customHeight="1" spans="1:29">
      <c r="A1505" s="76" t="s">
        <v>3005</v>
      </c>
      <c r="B1505" s="95"/>
      <c r="C1505" s="94" t="s">
        <v>30</v>
      </c>
      <c r="D1505" s="94" t="s">
        <v>2131</v>
      </c>
      <c r="E1505" s="94" t="s">
        <v>3006</v>
      </c>
      <c r="F1505" s="94" t="s">
        <v>60</v>
      </c>
      <c r="G1505" s="94"/>
      <c r="H1505" s="94">
        <f>STOCK[[#This Row],[Precio Final]]</f>
        <v>40</v>
      </c>
      <c r="I1505" s="98">
        <f>STOCK[[#This Row],[Precio Venta Ideal (x1.5)]]</f>
        <v>26.205</v>
      </c>
      <c r="J1505" s="96">
        <v>2</v>
      </c>
      <c r="K1505" s="96">
        <f>SUMIFS(VENTAS[Cantidad],VENTAS[Código del producto Vendido],STOCK[[#This Row],[Code]])</f>
        <v>0</v>
      </c>
      <c r="L1505" s="96">
        <f>STOCK[[#This Row],[Entradas]]-STOCK[[#This Row],[Salidas]]</f>
        <v>2</v>
      </c>
      <c r="M1505" s="94">
        <f>STOCK[[#This Row],[Precio Final]]*10%</f>
        <v>4</v>
      </c>
      <c r="N1505" s="94">
        <v>0</v>
      </c>
      <c r="O1505" s="94">
        <v>0</v>
      </c>
      <c r="P1505" s="94">
        <v>11.82</v>
      </c>
      <c r="Q1505" s="96">
        <v>0</v>
      </c>
      <c r="R1505" s="94">
        <v>0</v>
      </c>
      <c r="S1505" s="94">
        <v>1.65</v>
      </c>
      <c r="T1505" s="94">
        <f>STOCK[[#This Row],[Costo Unitario (USD)]]+STOCK[[#This Row],[Costo Envío (USD)]]+STOCK[[#This Row],[Comisión 10%]]</f>
        <v>17.47</v>
      </c>
      <c r="U1505" s="76">
        <f>STOCK[[#This Row],[Costo total]]*1.5</f>
        <v>26.205</v>
      </c>
      <c r="V1505" s="94">
        <v>40</v>
      </c>
      <c r="W1505" s="94">
        <f>STOCK[[#This Row],[Precio Final]]-STOCK[[#This Row],[Costo total]]</f>
        <v>22.53</v>
      </c>
      <c r="X1505" s="94">
        <f>STOCK[[#This Row],[Ganancia Unitaria]]*STOCK[[#This Row],[Salidas]]</f>
        <v>0</v>
      </c>
      <c r="Y1505" s="94"/>
      <c r="Z1505" s="94"/>
      <c r="AA1505" s="94">
        <f>STOCK[[#This Row],[Costo total]]*STOCK[[#This Row],[Entradas]]</f>
        <v>34.94</v>
      </c>
      <c r="AB1505" s="94">
        <f>STOCK[[#This Row],[Stock Actual]]*STOCK[[#This Row],[Costo total]]</f>
        <v>34.94</v>
      </c>
      <c r="AC1505" s="94"/>
    </row>
    <row r="1506" s="76" customFormat="1" ht="50" hidden="1" customHeight="1" spans="1:29">
      <c r="A1506" s="76" t="s">
        <v>3007</v>
      </c>
      <c r="B1506" s="95"/>
      <c r="C1506" s="94" t="s">
        <v>30</v>
      </c>
      <c r="D1506" s="94" t="s">
        <v>2842</v>
      </c>
      <c r="E1506" s="94" t="s">
        <v>3008</v>
      </c>
      <c r="F1506" s="94" t="s">
        <v>60</v>
      </c>
      <c r="G1506" s="94"/>
      <c r="H1506" s="94">
        <f>STOCK[[#This Row],[Precio Final]]</f>
        <v>30</v>
      </c>
      <c r="I1506" s="98">
        <f>STOCK[[#This Row],[Precio Venta Ideal (x1.5)]]</f>
        <v>23.445</v>
      </c>
      <c r="J1506" s="96">
        <v>2</v>
      </c>
      <c r="K1506" s="96">
        <f>SUMIFS(VENTAS[Cantidad],VENTAS[Código del producto Vendido],STOCK[[#This Row],[Code]])</f>
        <v>1</v>
      </c>
      <c r="L1506" s="96">
        <f>STOCK[[#This Row],[Entradas]]-STOCK[[#This Row],[Salidas]]</f>
        <v>1</v>
      </c>
      <c r="M1506" s="94">
        <f>STOCK[[#This Row],[Precio Final]]*10%</f>
        <v>3</v>
      </c>
      <c r="N1506" s="94">
        <v>0</v>
      </c>
      <c r="O1506" s="94">
        <v>0</v>
      </c>
      <c r="P1506" s="94">
        <v>10.98</v>
      </c>
      <c r="Q1506" s="96">
        <v>0</v>
      </c>
      <c r="R1506" s="94">
        <v>0</v>
      </c>
      <c r="S1506" s="94">
        <v>1.65</v>
      </c>
      <c r="T1506" s="94">
        <f>STOCK[[#This Row],[Costo Unitario (USD)]]+STOCK[[#This Row],[Costo Envío (USD)]]+STOCK[[#This Row],[Comisión 10%]]</f>
        <v>15.63</v>
      </c>
      <c r="U1506" s="76">
        <f>STOCK[[#This Row],[Costo total]]*1.5</f>
        <v>23.445</v>
      </c>
      <c r="V1506" s="94">
        <v>30</v>
      </c>
      <c r="W1506" s="94">
        <f>STOCK[[#This Row],[Precio Final]]-STOCK[[#This Row],[Costo total]]</f>
        <v>14.37</v>
      </c>
      <c r="X1506" s="94">
        <f>STOCK[[#This Row],[Ganancia Unitaria]]*STOCK[[#This Row],[Salidas]]</f>
        <v>14.37</v>
      </c>
      <c r="Y1506" s="94"/>
      <c r="Z1506" s="94"/>
      <c r="AA1506" s="94">
        <f>STOCK[[#This Row],[Costo total]]*STOCK[[#This Row],[Entradas]]</f>
        <v>31.26</v>
      </c>
      <c r="AB1506" s="94">
        <f>STOCK[[#This Row],[Stock Actual]]*STOCK[[#This Row],[Costo total]]</f>
        <v>15.63</v>
      </c>
      <c r="AC1506" s="94"/>
    </row>
    <row r="1507" s="76" customFormat="1" ht="50" hidden="1" customHeight="1" spans="1:29">
      <c r="A1507" s="76" t="s">
        <v>3009</v>
      </c>
      <c r="B1507" s="95"/>
      <c r="C1507" s="94" t="s">
        <v>30</v>
      </c>
      <c r="D1507" s="94" t="s">
        <v>2842</v>
      </c>
      <c r="E1507" s="94" t="s">
        <v>3008</v>
      </c>
      <c r="F1507" s="94" t="s">
        <v>47</v>
      </c>
      <c r="G1507" s="94"/>
      <c r="H1507" s="94">
        <f>STOCK[[#This Row],[Precio Final]]</f>
        <v>30</v>
      </c>
      <c r="I1507" s="98">
        <f>STOCK[[#This Row],[Precio Venta Ideal (x1.5)]]</f>
        <v>23.445</v>
      </c>
      <c r="J1507" s="96">
        <v>2</v>
      </c>
      <c r="K1507" s="96">
        <f>SUMIFS(VENTAS[Cantidad],VENTAS[Código del producto Vendido],STOCK[[#This Row],[Code]])</f>
        <v>0</v>
      </c>
      <c r="L1507" s="96">
        <f>STOCK[[#This Row],[Entradas]]-STOCK[[#This Row],[Salidas]]</f>
        <v>2</v>
      </c>
      <c r="M1507" s="94">
        <f>STOCK[[#This Row],[Precio Final]]*10%</f>
        <v>3</v>
      </c>
      <c r="N1507" s="94">
        <v>0</v>
      </c>
      <c r="O1507" s="94">
        <v>0</v>
      </c>
      <c r="P1507" s="94">
        <v>10.98</v>
      </c>
      <c r="Q1507" s="96">
        <v>0</v>
      </c>
      <c r="R1507" s="94">
        <v>0</v>
      </c>
      <c r="S1507" s="94">
        <v>1.65</v>
      </c>
      <c r="T1507" s="94">
        <f>STOCK[[#This Row],[Costo Unitario (USD)]]+STOCK[[#This Row],[Costo Envío (USD)]]+STOCK[[#This Row],[Comisión 10%]]</f>
        <v>15.63</v>
      </c>
      <c r="U1507" s="76">
        <f>STOCK[[#This Row],[Costo total]]*1.5</f>
        <v>23.445</v>
      </c>
      <c r="V1507" s="99">
        <v>30</v>
      </c>
      <c r="W1507" s="94">
        <f>STOCK[[#This Row],[Precio Final]]-STOCK[[#This Row],[Costo total]]</f>
        <v>14.37</v>
      </c>
      <c r="X1507" s="94">
        <f>STOCK[[#This Row],[Ganancia Unitaria]]*STOCK[[#This Row],[Salidas]]</f>
        <v>0</v>
      </c>
      <c r="Y1507" s="94"/>
      <c r="Z1507" s="94"/>
      <c r="AA1507" s="94">
        <f>STOCK[[#This Row],[Costo total]]*STOCK[[#This Row],[Entradas]]</f>
        <v>31.26</v>
      </c>
      <c r="AB1507" s="94">
        <f>STOCK[[#This Row],[Stock Actual]]*STOCK[[#This Row],[Costo total]]</f>
        <v>31.26</v>
      </c>
      <c r="AC1507" s="94"/>
    </row>
    <row r="1508" s="76" customFormat="1" ht="50" hidden="1" customHeight="1" spans="1:29">
      <c r="A1508" s="76" t="s">
        <v>3010</v>
      </c>
      <c r="B1508" s="95"/>
      <c r="C1508" s="94" t="s">
        <v>30</v>
      </c>
      <c r="D1508" s="94" t="s">
        <v>2842</v>
      </c>
      <c r="E1508" s="94" t="s">
        <v>3008</v>
      </c>
      <c r="F1508" s="94" t="s">
        <v>44</v>
      </c>
      <c r="G1508" s="94"/>
      <c r="H1508" s="94">
        <f>STOCK[[#This Row],[Precio Final]]</f>
        <v>30</v>
      </c>
      <c r="I1508" s="98">
        <f>STOCK[[#This Row],[Precio Venta Ideal (x1.5)]]</f>
        <v>23.445</v>
      </c>
      <c r="J1508" s="96">
        <v>2</v>
      </c>
      <c r="K1508" s="96">
        <f>SUMIFS(VENTAS[Cantidad],VENTAS[Código del producto Vendido],STOCK[[#This Row],[Code]])</f>
        <v>1</v>
      </c>
      <c r="L1508" s="96">
        <f>STOCK[[#This Row],[Entradas]]-STOCK[[#This Row],[Salidas]]</f>
        <v>1</v>
      </c>
      <c r="M1508" s="94">
        <f>STOCK[[#This Row],[Precio Final]]*10%</f>
        <v>3</v>
      </c>
      <c r="N1508" s="94">
        <v>0</v>
      </c>
      <c r="O1508" s="94">
        <v>0</v>
      </c>
      <c r="P1508" s="94">
        <v>10.98</v>
      </c>
      <c r="Q1508" s="96">
        <v>0</v>
      </c>
      <c r="R1508" s="94">
        <v>0</v>
      </c>
      <c r="S1508" s="94">
        <v>1.65</v>
      </c>
      <c r="T1508" s="94">
        <f>STOCK[[#This Row],[Costo Unitario (USD)]]+STOCK[[#This Row],[Costo Envío (USD)]]+STOCK[[#This Row],[Comisión 10%]]</f>
        <v>15.63</v>
      </c>
      <c r="U1508" s="76">
        <f>STOCK[[#This Row],[Costo total]]*1.5</f>
        <v>23.445</v>
      </c>
      <c r="V1508" s="94">
        <v>30</v>
      </c>
      <c r="W1508" s="94">
        <f>STOCK[[#This Row],[Precio Final]]-STOCK[[#This Row],[Costo total]]</f>
        <v>14.37</v>
      </c>
      <c r="X1508" s="94">
        <f>STOCK[[#This Row],[Ganancia Unitaria]]*STOCK[[#This Row],[Salidas]]</f>
        <v>14.37</v>
      </c>
      <c r="Y1508" s="94"/>
      <c r="Z1508" s="94"/>
      <c r="AA1508" s="94">
        <f>STOCK[[#This Row],[Costo total]]*STOCK[[#This Row],[Entradas]]</f>
        <v>31.26</v>
      </c>
      <c r="AB1508" s="94">
        <f>STOCK[[#This Row],[Stock Actual]]*STOCK[[#This Row],[Costo total]]</f>
        <v>15.63</v>
      </c>
      <c r="AC1508" s="94"/>
    </row>
    <row r="1509" s="76" customFormat="1" ht="50" hidden="1" customHeight="1" spans="1:29">
      <c r="A1509" s="76" t="s">
        <v>3011</v>
      </c>
      <c r="B1509" s="95"/>
      <c r="C1509" s="94" t="s">
        <v>30</v>
      </c>
      <c r="D1509" s="94" t="s">
        <v>2842</v>
      </c>
      <c r="E1509" s="94" t="s">
        <v>3008</v>
      </c>
      <c r="F1509" s="94" t="s">
        <v>3012</v>
      </c>
      <c r="G1509" s="94"/>
      <c r="H1509" s="94">
        <f>STOCK[[#This Row],[Precio Final]]</f>
        <v>30</v>
      </c>
      <c r="I1509" s="98">
        <f>STOCK[[#This Row],[Precio Venta Ideal (x1.5)]]</f>
        <v>23.445</v>
      </c>
      <c r="J1509" s="96">
        <v>3</v>
      </c>
      <c r="K1509" s="96">
        <f>SUMIFS(VENTAS[Cantidad],VENTAS[Código del producto Vendido],STOCK[[#This Row],[Code]])</f>
        <v>1</v>
      </c>
      <c r="L1509" s="96">
        <f>STOCK[[#This Row],[Entradas]]-STOCK[[#This Row],[Salidas]]</f>
        <v>2</v>
      </c>
      <c r="M1509" s="94">
        <f>STOCK[[#This Row],[Precio Final]]*10%</f>
        <v>3</v>
      </c>
      <c r="N1509" s="94">
        <v>0</v>
      </c>
      <c r="O1509" s="94">
        <v>0</v>
      </c>
      <c r="P1509" s="94">
        <v>10.98</v>
      </c>
      <c r="Q1509" s="96">
        <v>0</v>
      </c>
      <c r="R1509" s="94">
        <v>0</v>
      </c>
      <c r="S1509" s="94">
        <v>1.65</v>
      </c>
      <c r="T1509" s="94">
        <f>STOCK[[#This Row],[Costo Unitario (USD)]]+STOCK[[#This Row],[Costo Envío (USD)]]+STOCK[[#This Row],[Comisión 10%]]</f>
        <v>15.63</v>
      </c>
      <c r="U1509" s="76">
        <f>STOCK[[#This Row],[Costo total]]*1.5</f>
        <v>23.445</v>
      </c>
      <c r="V1509" s="94">
        <v>30</v>
      </c>
      <c r="W1509" s="94">
        <f>STOCK[[#This Row],[Precio Final]]-STOCK[[#This Row],[Costo total]]</f>
        <v>14.37</v>
      </c>
      <c r="X1509" s="94">
        <f>STOCK[[#This Row],[Ganancia Unitaria]]*STOCK[[#This Row],[Salidas]]</f>
        <v>14.37</v>
      </c>
      <c r="Y1509" s="94"/>
      <c r="Z1509" s="94"/>
      <c r="AA1509" s="94">
        <f>STOCK[[#This Row],[Costo total]]*STOCK[[#This Row],[Entradas]]</f>
        <v>46.89</v>
      </c>
      <c r="AB1509" s="94">
        <f>STOCK[[#This Row],[Stock Actual]]*STOCK[[#This Row],[Costo total]]</f>
        <v>31.26</v>
      </c>
      <c r="AC1509" s="94"/>
    </row>
    <row r="1510" s="76" customFormat="1" ht="50" hidden="1" customHeight="1" spans="1:29">
      <c r="A1510" s="76" t="s">
        <v>3013</v>
      </c>
      <c r="B1510" s="95"/>
      <c r="C1510" s="94" t="s">
        <v>30</v>
      </c>
      <c r="D1510" s="94" t="s">
        <v>2876</v>
      </c>
      <c r="E1510" s="94" t="s">
        <v>3014</v>
      </c>
      <c r="F1510" s="94" t="s">
        <v>44</v>
      </c>
      <c r="G1510" s="94"/>
      <c r="H1510" s="94">
        <f>STOCK[[#This Row],[Precio Final]]</f>
        <v>30</v>
      </c>
      <c r="I1510" s="98">
        <f>STOCK[[#This Row],[Precio Venta Ideal (x1.5)]]</f>
        <v>27.015</v>
      </c>
      <c r="J1510" s="96">
        <v>1</v>
      </c>
      <c r="K1510" s="96">
        <f>SUMIFS(VENTAS[Cantidad],VENTAS[Código del producto Vendido],STOCK[[#This Row],[Code]])</f>
        <v>0</v>
      </c>
      <c r="L1510" s="96">
        <f>STOCK[[#This Row],[Entradas]]-STOCK[[#This Row],[Salidas]]</f>
        <v>1</v>
      </c>
      <c r="M1510" s="94">
        <f>STOCK[[#This Row],[Precio Final]]*10%</f>
        <v>3</v>
      </c>
      <c r="N1510" s="94">
        <v>0</v>
      </c>
      <c r="O1510" s="94">
        <v>0</v>
      </c>
      <c r="P1510" s="94">
        <v>13.36</v>
      </c>
      <c r="Q1510" s="96">
        <v>0</v>
      </c>
      <c r="R1510" s="94">
        <v>0</v>
      </c>
      <c r="S1510" s="94">
        <v>1.65</v>
      </c>
      <c r="T1510" s="94">
        <f>STOCK[[#This Row],[Costo Unitario (USD)]]+STOCK[[#This Row],[Costo Envío (USD)]]+STOCK[[#This Row],[Comisión 10%]]</f>
        <v>18.01</v>
      </c>
      <c r="U1510" s="76">
        <f>STOCK[[#This Row],[Costo total]]*1.5</f>
        <v>27.015</v>
      </c>
      <c r="V1510" s="94">
        <v>30</v>
      </c>
      <c r="W1510" s="94">
        <f>STOCK[[#This Row],[Precio Final]]-STOCK[[#This Row],[Costo total]]</f>
        <v>11.99</v>
      </c>
      <c r="X1510" s="94">
        <f>STOCK[[#This Row],[Ganancia Unitaria]]*STOCK[[#This Row],[Salidas]]</f>
        <v>0</v>
      </c>
      <c r="Y1510" s="94"/>
      <c r="Z1510" s="94"/>
      <c r="AA1510" s="94">
        <f>STOCK[[#This Row],[Costo total]]*STOCK[[#This Row],[Entradas]]</f>
        <v>18.01</v>
      </c>
      <c r="AB1510" s="94">
        <f>STOCK[[#This Row],[Stock Actual]]*STOCK[[#This Row],[Costo total]]</f>
        <v>18.01</v>
      </c>
      <c r="AC1510" s="94"/>
    </row>
    <row r="1511" s="76" customFormat="1" ht="50" hidden="1" customHeight="1" spans="1:29">
      <c r="A1511" s="76" t="s">
        <v>3015</v>
      </c>
      <c r="B1511" s="95"/>
      <c r="C1511" s="94" t="s">
        <v>30</v>
      </c>
      <c r="D1511" s="94" t="s">
        <v>1224</v>
      </c>
      <c r="E1511" s="94" t="s">
        <v>3016</v>
      </c>
      <c r="F1511" s="94" t="s">
        <v>516</v>
      </c>
      <c r="G1511" s="94"/>
      <c r="H1511" s="94">
        <f>STOCK[[#This Row],[Precio Final]]</f>
        <v>40</v>
      </c>
      <c r="I1511" s="98">
        <f>STOCK[[#This Row],[Precio Venta Ideal (x1.5)]]</f>
        <v>23.475</v>
      </c>
      <c r="J1511" s="96">
        <v>2</v>
      </c>
      <c r="K1511" s="96">
        <f>SUMIFS(VENTAS[Cantidad],VENTAS[Código del producto Vendido],STOCK[[#This Row],[Code]])</f>
        <v>0</v>
      </c>
      <c r="L1511" s="96">
        <f>STOCK[[#This Row],[Entradas]]-STOCK[[#This Row],[Salidas]]</f>
        <v>2</v>
      </c>
      <c r="M1511" s="94">
        <f>STOCK[[#This Row],[Precio Final]]*10%</f>
        <v>4</v>
      </c>
      <c r="N1511" s="94">
        <v>0</v>
      </c>
      <c r="O1511" s="94">
        <v>0</v>
      </c>
      <c r="P1511" s="94">
        <v>10</v>
      </c>
      <c r="Q1511" s="96">
        <v>0</v>
      </c>
      <c r="R1511" s="94">
        <v>0</v>
      </c>
      <c r="S1511" s="94">
        <v>1.65</v>
      </c>
      <c r="T1511" s="94">
        <f>STOCK[[#This Row],[Costo Unitario (USD)]]+STOCK[[#This Row],[Costo Envío (USD)]]+STOCK[[#This Row],[Comisión 10%]]</f>
        <v>15.65</v>
      </c>
      <c r="U1511" s="76">
        <f>STOCK[[#This Row],[Costo total]]*1.5</f>
        <v>23.475</v>
      </c>
      <c r="V1511" s="94">
        <v>40</v>
      </c>
      <c r="W1511" s="94">
        <f>STOCK[[#This Row],[Precio Final]]-STOCK[[#This Row],[Costo total]]</f>
        <v>24.35</v>
      </c>
      <c r="X1511" s="94">
        <f>STOCK[[#This Row],[Ganancia Unitaria]]*STOCK[[#This Row],[Salidas]]</f>
        <v>0</v>
      </c>
      <c r="Y1511" s="94"/>
      <c r="Z1511" s="94"/>
      <c r="AA1511" s="94">
        <f>STOCK[[#This Row],[Costo total]]*STOCK[[#This Row],[Entradas]]</f>
        <v>31.3</v>
      </c>
      <c r="AB1511" s="94">
        <f>STOCK[[#This Row],[Stock Actual]]*STOCK[[#This Row],[Costo total]]</f>
        <v>31.3</v>
      </c>
      <c r="AC1511" s="94"/>
    </row>
    <row r="1512" s="76" customFormat="1" ht="50" hidden="1" customHeight="1" spans="1:29">
      <c r="A1512" s="76" t="s">
        <v>3017</v>
      </c>
      <c r="B1512" s="95"/>
      <c r="C1512" s="94" t="s">
        <v>30</v>
      </c>
      <c r="D1512" s="94" t="s">
        <v>1224</v>
      </c>
      <c r="E1512" s="94" t="s">
        <v>3016</v>
      </c>
      <c r="F1512" s="94" t="s">
        <v>539</v>
      </c>
      <c r="G1512" s="94"/>
      <c r="H1512" s="94">
        <f>STOCK[[#This Row],[Precio Final]]</f>
        <v>40</v>
      </c>
      <c r="I1512" s="98">
        <f>STOCK[[#This Row],[Precio Venta Ideal (x1.5)]]</f>
        <v>23.475</v>
      </c>
      <c r="J1512" s="96">
        <v>2</v>
      </c>
      <c r="K1512" s="96">
        <f>SUMIFS(VENTAS[Cantidad],VENTAS[Código del producto Vendido],STOCK[[#This Row],[Code]])</f>
        <v>0</v>
      </c>
      <c r="L1512" s="96">
        <f>STOCK[[#This Row],[Entradas]]-STOCK[[#This Row],[Salidas]]</f>
        <v>2</v>
      </c>
      <c r="M1512" s="94">
        <f>STOCK[[#This Row],[Precio Final]]*10%</f>
        <v>4</v>
      </c>
      <c r="N1512" s="94">
        <v>0</v>
      </c>
      <c r="O1512" s="94">
        <v>0</v>
      </c>
      <c r="P1512" s="94">
        <v>10</v>
      </c>
      <c r="Q1512" s="96">
        <v>0</v>
      </c>
      <c r="R1512" s="94">
        <v>0</v>
      </c>
      <c r="S1512" s="94">
        <v>1.65</v>
      </c>
      <c r="T1512" s="94">
        <f>STOCK[[#This Row],[Costo Unitario (USD)]]+STOCK[[#This Row],[Costo Envío (USD)]]+STOCK[[#This Row],[Comisión 10%]]</f>
        <v>15.65</v>
      </c>
      <c r="U1512" s="76">
        <f>STOCK[[#This Row],[Costo total]]*1.5</f>
        <v>23.475</v>
      </c>
      <c r="V1512" s="94">
        <v>40</v>
      </c>
      <c r="W1512" s="94">
        <f>STOCK[[#This Row],[Precio Final]]-STOCK[[#This Row],[Costo total]]</f>
        <v>24.35</v>
      </c>
      <c r="X1512" s="94">
        <f>STOCK[[#This Row],[Ganancia Unitaria]]*STOCK[[#This Row],[Salidas]]</f>
        <v>0</v>
      </c>
      <c r="Y1512" s="94"/>
      <c r="Z1512" s="94"/>
      <c r="AA1512" s="94">
        <f>STOCK[[#This Row],[Costo total]]*STOCK[[#This Row],[Entradas]]</f>
        <v>31.3</v>
      </c>
      <c r="AB1512" s="94">
        <f>STOCK[[#This Row],[Stock Actual]]*STOCK[[#This Row],[Costo total]]</f>
        <v>31.3</v>
      </c>
      <c r="AC1512" s="94"/>
    </row>
    <row r="1513" s="76" customFormat="1" ht="50" hidden="1" customHeight="1" spans="1:29">
      <c r="A1513" s="76" t="s">
        <v>3018</v>
      </c>
      <c r="B1513" s="95"/>
      <c r="C1513" s="94" t="s">
        <v>30</v>
      </c>
      <c r="D1513" s="94" t="s">
        <v>1224</v>
      </c>
      <c r="E1513" s="94" t="s">
        <v>3016</v>
      </c>
      <c r="F1513" s="94" t="s">
        <v>752</v>
      </c>
      <c r="G1513" s="94"/>
      <c r="H1513" s="94">
        <f>STOCK[[#This Row],[Precio Final]]</f>
        <v>40</v>
      </c>
      <c r="I1513" s="98">
        <f>STOCK[[#This Row],[Precio Venta Ideal (x1.5)]]</f>
        <v>23.475</v>
      </c>
      <c r="J1513" s="96">
        <v>2</v>
      </c>
      <c r="K1513" s="96">
        <f>SUMIFS(VENTAS[Cantidad],VENTAS[Código del producto Vendido],STOCK[[#This Row],[Code]])</f>
        <v>0</v>
      </c>
      <c r="L1513" s="96">
        <f>STOCK[[#This Row],[Entradas]]-STOCK[[#This Row],[Salidas]]</f>
        <v>2</v>
      </c>
      <c r="M1513" s="94">
        <f>STOCK[[#This Row],[Precio Final]]*10%</f>
        <v>4</v>
      </c>
      <c r="N1513" s="94">
        <v>0</v>
      </c>
      <c r="O1513" s="94">
        <v>0</v>
      </c>
      <c r="P1513" s="94">
        <v>10</v>
      </c>
      <c r="Q1513" s="96">
        <v>0</v>
      </c>
      <c r="R1513" s="94">
        <v>0</v>
      </c>
      <c r="S1513" s="94">
        <v>1.65</v>
      </c>
      <c r="T1513" s="94">
        <f>STOCK[[#This Row],[Costo Unitario (USD)]]+STOCK[[#This Row],[Costo Envío (USD)]]+STOCK[[#This Row],[Comisión 10%]]</f>
        <v>15.65</v>
      </c>
      <c r="U1513" s="76">
        <f>STOCK[[#This Row],[Costo total]]*1.5</f>
        <v>23.475</v>
      </c>
      <c r="V1513" s="94">
        <v>40</v>
      </c>
      <c r="W1513" s="94">
        <f>STOCK[[#This Row],[Precio Final]]-STOCK[[#This Row],[Costo total]]</f>
        <v>24.35</v>
      </c>
      <c r="X1513" s="94">
        <f>STOCK[[#This Row],[Ganancia Unitaria]]*STOCK[[#This Row],[Salidas]]</f>
        <v>0</v>
      </c>
      <c r="Y1513" s="94"/>
      <c r="Z1513" s="94"/>
      <c r="AA1513" s="94">
        <f>STOCK[[#This Row],[Costo total]]*STOCK[[#This Row],[Entradas]]</f>
        <v>31.3</v>
      </c>
      <c r="AB1513" s="94">
        <f>STOCK[[#This Row],[Stock Actual]]*STOCK[[#This Row],[Costo total]]</f>
        <v>31.3</v>
      </c>
      <c r="AC1513" s="94"/>
    </row>
    <row r="1514" s="76" customFormat="1" ht="50" hidden="1" customHeight="1" spans="1:29">
      <c r="A1514" s="76" t="s">
        <v>3019</v>
      </c>
      <c r="B1514" s="95"/>
      <c r="C1514" s="94" t="s">
        <v>30</v>
      </c>
      <c r="D1514" s="94" t="s">
        <v>2842</v>
      </c>
      <c r="E1514" s="94" t="s">
        <v>3020</v>
      </c>
      <c r="F1514" s="94" t="s">
        <v>38</v>
      </c>
      <c r="G1514" s="94"/>
      <c r="H1514" s="94">
        <f>STOCK[[#This Row],[Precio Final]]</f>
        <v>25</v>
      </c>
      <c r="I1514" s="98">
        <f>STOCK[[#This Row],[Precio Venta Ideal (x1.5)]]</f>
        <v>25.65</v>
      </c>
      <c r="J1514" s="96">
        <v>1</v>
      </c>
      <c r="K1514" s="96">
        <f>SUMIFS(VENTAS[Cantidad],VENTAS[Código del producto Vendido],STOCK[[#This Row],[Code]])</f>
        <v>1</v>
      </c>
      <c r="L1514" s="96">
        <f>STOCK[[#This Row],[Entradas]]-STOCK[[#This Row],[Salidas]]</f>
        <v>0</v>
      </c>
      <c r="M1514" s="94">
        <f>STOCK[[#This Row],[Precio Final]]*10%</f>
        <v>2.5</v>
      </c>
      <c r="N1514" s="94">
        <v>0</v>
      </c>
      <c r="O1514" s="94">
        <v>0</v>
      </c>
      <c r="P1514" s="94">
        <v>13</v>
      </c>
      <c r="Q1514" s="96">
        <v>0</v>
      </c>
      <c r="R1514" s="94">
        <v>0</v>
      </c>
      <c r="S1514" s="94">
        <v>1.6</v>
      </c>
      <c r="T1514" s="94">
        <f>STOCK[[#This Row],[Costo Unitario (USD)]]+STOCK[[#This Row],[Costo Envío (USD)]]+STOCK[[#This Row],[Comisión 10%]]</f>
        <v>17.1</v>
      </c>
      <c r="U1514" s="76">
        <f>STOCK[[#This Row],[Costo total]]*1.5</f>
        <v>25.65</v>
      </c>
      <c r="V1514" s="94">
        <v>25</v>
      </c>
      <c r="W1514" s="94">
        <f>STOCK[[#This Row],[Precio Final]]-STOCK[[#This Row],[Costo total]]</f>
        <v>7.9</v>
      </c>
      <c r="X1514" s="94">
        <f>STOCK[[#This Row],[Ganancia Unitaria]]*STOCK[[#This Row],[Salidas]]</f>
        <v>7.9</v>
      </c>
      <c r="Y1514" s="94"/>
      <c r="Z1514" s="94"/>
      <c r="AA1514" s="94">
        <f>STOCK[[#This Row],[Costo total]]*STOCK[[#This Row],[Entradas]]</f>
        <v>17.1</v>
      </c>
      <c r="AB1514" s="94">
        <f>STOCK[[#This Row],[Stock Actual]]*STOCK[[#This Row],[Costo total]]</f>
        <v>0</v>
      </c>
      <c r="AC1514" s="94"/>
    </row>
    <row r="1515" s="76" customFormat="1" ht="50" hidden="1" customHeight="1" spans="1:29">
      <c r="A1515" s="76" t="s">
        <v>3021</v>
      </c>
      <c r="B1515" s="95"/>
      <c r="C1515" s="94" t="s">
        <v>30</v>
      </c>
      <c r="D1515" s="94" t="s">
        <v>1188</v>
      </c>
      <c r="E1515" s="94" t="s">
        <v>3022</v>
      </c>
      <c r="F1515" s="94" t="s">
        <v>60</v>
      </c>
      <c r="G1515" s="94"/>
      <c r="H1515" s="94">
        <f>STOCK[[#This Row],[Precio Final]]</f>
        <v>18</v>
      </c>
      <c r="I1515" s="98">
        <f>STOCK[[#This Row],[Precio Venta Ideal (x1.5)]]</f>
        <v>16.23</v>
      </c>
      <c r="J1515" s="96">
        <v>2</v>
      </c>
      <c r="K1515" s="96">
        <f>SUMIFS(VENTAS[Cantidad],VENTAS[Código del producto Vendido],STOCK[[#This Row],[Code]])</f>
        <v>0</v>
      </c>
      <c r="L1515" s="96">
        <f>STOCK[[#This Row],[Entradas]]-STOCK[[#This Row],[Salidas]]</f>
        <v>2</v>
      </c>
      <c r="M1515" s="94">
        <f>STOCK[[#This Row],[Precio Final]]*10%</f>
        <v>1.8</v>
      </c>
      <c r="N1515" s="94">
        <v>0</v>
      </c>
      <c r="O1515" s="94">
        <v>0</v>
      </c>
      <c r="P1515" s="94">
        <v>7.42</v>
      </c>
      <c r="Q1515" s="96">
        <v>0</v>
      </c>
      <c r="R1515" s="94">
        <v>0</v>
      </c>
      <c r="S1515" s="94">
        <v>1.6</v>
      </c>
      <c r="T1515" s="94">
        <f>STOCK[[#This Row],[Costo Unitario (USD)]]+STOCK[[#This Row],[Costo Envío (USD)]]+STOCK[[#This Row],[Comisión 10%]]</f>
        <v>10.82</v>
      </c>
      <c r="U1515" s="76">
        <f>STOCK[[#This Row],[Costo total]]*1.5</f>
        <v>16.23</v>
      </c>
      <c r="V1515" s="94">
        <v>18</v>
      </c>
      <c r="W1515" s="94">
        <f>STOCK[[#This Row],[Precio Final]]-STOCK[[#This Row],[Costo total]]</f>
        <v>7.18</v>
      </c>
      <c r="X1515" s="94">
        <f>STOCK[[#This Row],[Ganancia Unitaria]]*STOCK[[#This Row],[Salidas]]</f>
        <v>0</v>
      </c>
      <c r="Y1515" s="94"/>
      <c r="Z1515" s="94"/>
      <c r="AA1515" s="94">
        <f>STOCK[[#This Row],[Costo total]]*STOCK[[#This Row],[Entradas]]</f>
        <v>21.64</v>
      </c>
      <c r="AB1515" s="94">
        <f>STOCK[[#This Row],[Stock Actual]]*STOCK[[#This Row],[Costo total]]</f>
        <v>21.64</v>
      </c>
      <c r="AC1515" s="94"/>
    </row>
    <row r="1516" s="76" customFormat="1" ht="50" hidden="1" customHeight="1" spans="1:29">
      <c r="A1516" s="76" t="s">
        <v>3023</v>
      </c>
      <c r="B1516" s="95"/>
      <c r="C1516" s="94" t="s">
        <v>30</v>
      </c>
      <c r="D1516" s="94" t="s">
        <v>1188</v>
      </c>
      <c r="E1516" s="94" t="s">
        <v>3022</v>
      </c>
      <c r="F1516" s="94" t="s">
        <v>47</v>
      </c>
      <c r="G1516" s="94"/>
      <c r="H1516" s="94">
        <f>STOCK[[#This Row],[Precio Final]]</f>
        <v>18</v>
      </c>
      <c r="I1516" s="98">
        <f>STOCK[[#This Row],[Precio Venta Ideal (x1.5)]]</f>
        <v>16.605</v>
      </c>
      <c r="J1516" s="96">
        <v>2</v>
      </c>
      <c r="K1516" s="96">
        <f>SUMIFS(VENTAS[Cantidad],VENTAS[Código del producto Vendido],STOCK[[#This Row],[Code]])</f>
        <v>0</v>
      </c>
      <c r="L1516" s="96">
        <f>STOCK[[#This Row],[Entradas]]-STOCK[[#This Row],[Salidas]]</f>
        <v>2</v>
      </c>
      <c r="M1516" s="94">
        <f>STOCK[[#This Row],[Precio Final]]*10%</f>
        <v>1.8</v>
      </c>
      <c r="N1516" s="94">
        <v>0</v>
      </c>
      <c r="O1516" s="94">
        <v>0</v>
      </c>
      <c r="P1516" s="94">
        <v>7.67</v>
      </c>
      <c r="Q1516" s="96">
        <v>0</v>
      </c>
      <c r="R1516" s="94">
        <v>0</v>
      </c>
      <c r="S1516" s="94">
        <v>1.6</v>
      </c>
      <c r="T1516" s="94">
        <f>STOCK[[#This Row],[Costo Unitario (USD)]]+STOCK[[#This Row],[Costo Envío (USD)]]+STOCK[[#This Row],[Comisión 10%]]</f>
        <v>11.07</v>
      </c>
      <c r="U1516" s="76">
        <f>STOCK[[#This Row],[Costo total]]*1.5</f>
        <v>16.605</v>
      </c>
      <c r="V1516" s="94">
        <v>18</v>
      </c>
      <c r="W1516" s="94">
        <f>STOCK[[#This Row],[Precio Final]]-STOCK[[#This Row],[Costo total]]</f>
        <v>6.93</v>
      </c>
      <c r="X1516" s="94">
        <f>STOCK[[#This Row],[Ganancia Unitaria]]*STOCK[[#This Row],[Salidas]]</f>
        <v>0</v>
      </c>
      <c r="Y1516" s="94"/>
      <c r="Z1516" s="94"/>
      <c r="AA1516" s="94">
        <f>STOCK[[#This Row],[Costo total]]*STOCK[[#This Row],[Entradas]]</f>
        <v>22.14</v>
      </c>
      <c r="AB1516" s="94">
        <f>STOCK[[#This Row],[Stock Actual]]*STOCK[[#This Row],[Costo total]]</f>
        <v>22.14</v>
      </c>
      <c r="AC1516" s="94"/>
    </row>
    <row r="1517" s="76" customFormat="1" ht="50" hidden="1" customHeight="1" spans="1:29">
      <c r="A1517" s="76" t="s">
        <v>3024</v>
      </c>
      <c r="B1517" s="95"/>
      <c r="C1517" s="94" t="s">
        <v>30</v>
      </c>
      <c r="D1517" s="94" t="s">
        <v>1188</v>
      </c>
      <c r="E1517" s="94" t="s">
        <v>3022</v>
      </c>
      <c r="F1517" s="94" t="s">
        <v>44</v>
      </c>
      <c r="G1517" s="94"/>
      <c r="H1517" s="94">
        <f>STOCK[[#This Row],[Precio Final]]</f>
        <v>18</v>
      </c>
      <c r="I1517" s="98">
        <f>STOCK[[#This Row],[Precio Venta Ideal (x1.5)]]</f>
        <v>17.22</v>
      </c>
      <c r="J1517" s="96">
        <v>2</v>
      </c>
      <c r="K1517" s="96">
        <f>SUMIFS(VENTAS[Cantidad],VENTAS[Código del producto Vendido],STOCK[[#This Row],[Code]])</f>
        <v>0</v>
      </c>
      <c r="L1517" s="96">
        <f>STOCK[[#This Row],[Entradas]]-STOCK[[#This Row],[Salidas]]</f>
        <v>2</v>
      </c>
      <c r="M1517" s="94">
        <f>STOCK[[#This Row],[Precio Final]]*10%</f>
        <v>1.8</v>
      </c>
      <c r="N1517" s="94">
        <v>0</v>
      </c>
      <c r="O1517" s="94">
        <v>0</v>
      </c>
      <c r="P1517" s="94">
        <v>8.08</v>
      </c>
      <c r="Q1517" s="96">
        <v>0</v>
      </c>
      <c r="R1517" s="94">
        <v>0</v>
      </c>
      <c r="S1517" s="94">
        <v>1.6</v>
      </c>
      <c r="T1517" s="94">
        <f>STOCK[[#This Row],[Costo Unitario (USD)]]+STOCK[[#This Row],[Costo Envío (USD)]]+STOCK[[#This Row],[Comisión 10%]]</f>
        <v>11.48</v>
      </c>
      <c r="U1517" s="76">
        <f>STOCK[[#This Row],[Costo total]]*1.5</f>
        <v>17.22</v>
      </c>
      <c r="V1517" s="94">
        <v>18</v>
      </c>
      <c r="W1517" s="94">
        <f>STOCK[[#This Row],[Precio Final]]-STOCK[[#This Row],[Costo total]]</f>
        <v>6.52</v>
      </c>
      <c r="X1517" s="94">
        <f>STOCK[[#This Row],[Ganancia Unitaria]]*STOCK[[#This Row],[Salidas]]</f>
        <v>0</v>
      </c>
      <c r="Y1517" s="94"/>
      <c r="Z1517" s="94"/>
      <c r="AA1517" s="94">
        <f>STOCK[[#This Row],[Costo total]]*STOCK[[#This Row],[Entradas]]</f>
        <v>22.96</v>
      </c>
      <c r="AB1517" s="94">
        <f>STOCK[[#This Row],[Stock Actual]]*STOCK[[#This Row],[Costo total]]</f>
        <v>22.96</v>
      </c>
      <c r="AC1517" s="94"/>
    </row>
    <row r="1518" s="76" customFormat="1" ht="50" hidden="1" customHeight="1" spans="1:29">
      <c r="A1518" s="76" t="s">
        <v>3025</v>
      </c>
      <c r="B1518" s="95"/>
      <c r="C1518" s="94" t="s">
        <v>30</v>
      </c>
      <c r="D1518" s="94" t="s">
        <v>1188</v>
      </c>
      <c r="E1518" s="94" t="s">
        <v>3026</v>
      </c>
      <c r="F1518" s="94" t="s">
        <v>60</v>
      </c>
      <c r="G1518" s="94"/>
      <c r="H1518" s="94">
        <f>STOCK[[#This Row],[Precio Final]]</f>
        <v>18</v>
      </c>
      <c r="I1518" s="98">
        <f>STOCK[[#This Row],[Precio Venta Ideal (x1.5)]]</f>
        <v>16.71</v>
      </c>
      <c r="J1518" s="96">
        <v>1</v>
      </c>
      <c r="K1518" s="96">
        <f>SUMIFS(VENTAS[Cantidad],VENTAS[Código del producto Vendido],STOCK[[#This Row],[Code]])</f>
        <v>0</v>
      </c>
      <c r="L1518" s="96">
        <f>STOCK[[#This Row],[Entradas]]-STOCK[[#This Row],[Salidas]]</f>
        <v>1</v>
      </c>
      <c r="M1518" s="94">
        <f>STOCK[[#This Row],[Precio Final]]*10%</f>
        <v>1.8</v>
      </c>
      <c r="N1518" s="94">
        <v>0</v>
      </c>
      <c r="O1518" s="94">
        <v>0</v>
      </c>
      <c r="P1518" s="94">
        <v>7.74</v>
      </c>
      <c r="Q1518" s="96">
        <v>0</v>
      </c>
      <c r="R1518" s="94">
        <v>0</v>
      </c>
      <c r="S1518" s="94">
        <v>1.6</v>
      </c>
      <c r="T1518" s="94">
        <f>STOCK[[#This Row],[Costo Unitario (USD)]]+STOCK[[#This Row],[Costo Envío (USD)]]+STOCK[[#This Row],[Comisión 10%]]</f>
        <v>11.14</v>
      </c>
      <c r="U1518" s="76">
        <f>STOCK[[#This Row],[Costo total]]*1.5</f>
        <v>16.71</v>
      </c>
      <c r="V1518" s="94">
        <v>18</v>
      </c>
      <c r="W1518" s="94">
        <f>STOCK[[#This Row],[Precio Final]]-STOCK[[#This Row],[Costo total]]</f>
        <v>6.86</v>
      </c>
      <c r="X1518" s="94">
        <f>STOCK[[#This Row],[Ganancia Unitaria]]*STOCK[[#This Row],[Salidas]]</f>
        <v>0</v>
      </c>
      <c r="Y1518" s="94"/>
      <c r="Z1518" s="94"/>
      <c r="AA1518" s="94">
        <f>STOCK[[#This Row],[Costo total]]*STOCK[[#This Row],[Entradas]]</f>
        <v>11.14</v>
      </c>
      <c r="AB1518" s="94">
        <f>STOCK[[#This Row],[Stock Actual]]*STOCK[[#This Row],[Costo total]]</f>
        <v>11.14</v>
      </c>
      <c r="AC1518" s="94"/>
    </row>
    <row r="1519" s="76" customFormat="1" ht="50" hidden="1" customHeight="1" spans="1:29">
      <c r="A1519" s="76" t="s">
        <v>3027</v>
      </c>
      <c r="B1519" s="95"/>
      <c r="C1519" s="94" t="s">
        <v>30</v>
      </c>
      <c r="D1519" s="94" t="s">
        <v>1188</v>
      </c>
      <c r="E1519" s="94" t="s">
        <v>3026</v>
      </c>
      <c r="F1519" s="94" t="s">
        <v>47</v>
      </c>
      <c r="G1519" s="94"/>
      <c r="H1519" s="94">
        <f>STOCK[[#This Row],[Precio Final]]</f>
        <v>18</v>
      </c>
      <c r="I1519" s="98">
        <f>STOCK[[#This Row],[Precio Venta Ideal (x1.5)]]</f>
        <v>16.71</v>
      </c>
      <c r="J1519" s="96">
        <v>1</v>
      </c>
      <c r="K1519" s="96">
        <f>SUMIFS(VENTAS[Cantidad],VENTAS[Código del producto Vendido],STOCK[[#This Row],[Code]])</f>
        <v>0</v>
      </c>
      <c r="L1519" s="96">
        <f>STOCK[[#This Row],[Entradas]]-STOCK[[#This Row],[Salidas]]</f>
        <v>1</v>
      </c>
      <c r="M1519" s="94">
        <f>STOCK[[#This Row],[Precio Final]]*10%</f>
        <v>1.8</v>
      </c>
      <c r="N1519" s="94">
        <v>0</v>
      </c>
      <c r="O1519" s="94">
        <v>0</v>
      </c>
      <c r="P1519" s="94">
        <v>7.74</v>
      </c>
      <c r="Q1519" s="96">
        <v>0</v>
      </c>
      <c r="R1519" s="94">
        <v>0</v>
      </c>
      <c r="S1519" s="94">
        <v>1.6</v>
      </c>
      <c r="T1519" s="94">
        <f>STOCK[[#This Row],[Costo Unitario (USD)]]+STOCK[[#This Row],[Costo Envío (USD)]]+STOCK[[#This Row],[Comisión 10%]]</f>
        <v>11.14</v>
      </c>
      <c r="U1519" s="76">
        <f>STOCK[[#This Row],[Costo total]]*1.5</f>
        <v>16.71</v>
      </c>
      <c r="V1519" s="94">
        <v>18</v>
      </c>
      <c r="W1519" s="94">
        <f>STOCK[[#This Row],[Precio Final]]-STOCK[[#This Row],[Costo total]]</f>
        <v>6.86</v>
      </c>
      <c r="X1519" s="94">
        <f>STOCK[[#This Row],[Ganancia Unitaria]]*STOCK[[#This Row],[Salidas]]</f>
        <v>0</v>
      </c>
      <c r="Y1519" s="94"/>
      <c r="Z1519" s="94"/>
      <c r="AA1519" s="94">
        <f>STOCK[[#This Row],[Costo total]]*STOCK[[#This Row],[Entradas]]</f>
        <v>11.14</v>
      </c>
      <c r="AB1519" s="94">
        <f>STOCK[[#This Row],[Stock Actual]]*STOCK[[#This Row],[Costo total]]</f>
        <v>11.14</v>
      </c>
      <c r="AC1519" s="94"/>
    </row>
    <row r="1520" s="76" customFormat="1" ht="50" hidden="1" customHeight="1" spans="1:29">
      <c r="A1520" s="76" t="s">
        <v>3028</v>
      </c>
      <c r="B1520" s="95"/>
      <c r="C1520" s="94" t="s">
        <v>30</v>
      </c>
      <c r="D1520" s="94" t="s">
        <v>1188</v>
      </c>
      <c r="E1520" s="94" t="s">
        <v>3026</v>
      </c>
      <c r="F1520" s="94" t="s">
        <v>44</v>
      </c>
      <c r="G1520" s="94"/>
      <c r="H1520" s="94">
        <f>STOCK[[#This Row],[Precio Final]]</f>
        <v>18</v>
      </c>
      <c r="I1520" s="98">
        <f>STOCK[[#This Row],[Precio Venta Ideal (x1.5)]]</f>
        <v>16.71</v>
      </c>
      <c r="J1520" s="96">
        <v>1</v>
      </c>
      <c r="K1520" s="96">
        <f>SUMIFS(VENTAS[Cantidad],VENTAS[Código del producto Vendido],STOCK[[#This Row],[Code]])</f>
        <v>0</v>
      </c>
      <c r="L1520" s="96">
        <f>STOCK[[#This Row],[Entradas]]-STOCK[[#This Row],[Salidas]]</f>
        <v>1</v>
      </c>
      <c r="M1520" s="94">
        <f>STOCK[[#This Row],[Precio Final]]*10%</f>
        <v>1.8</v>
      </c>
      <c r="N1520" s="94">
        <v>0</v>
      </c>
      <c r="O1520" s="94">
        <v>0</v>
      </c>
      <c r="P1520" s="94">
        <v>7.74</v>
      </c>
      <c r="Q1520" s="96">
        <v>0</v>
      </c>
      <c r="R1520" s="94">
        <v>0</v>
      </c>
      <c r="S1520" s="94">
        <v>1.6</v>
      </c>
      <c r="T1520" s="94">
        <f>STOCK[[#This Row],[Costo Unitario (USD)]]+STOCK[[#This Row],[Costo Envío (USD)]]+STOCK[[#This Row],[Comisión 10%]]</f>
        <v>11.14</v>
      </c>
      <c r="U1520" s="76">
        <f>STOCK[[#This Row],[Costo total]]*1.5</f>
        <v>16.71</v>
      </c>
      <c r="V1520" s="94">
        <v>18</v>
      </c>
      <c r="W1520" s="94">
        <f>STOCK[[#This Row],[Precio Final]]-STOCK[[#This Row],[Costo total]]</f>
        <v>6.86</v>
      </c>
      <c r="X1520" s="94">
        <f>STOCK[[#This Row],[Ganancia Unitaria]]*STOCK[[#This Row],[Salidas]]</f>
        <v>0</v>
      </c>
      <c r="Y1520" s="94"/>
      <c r="Z1520" s="94"/>
      <c r="AA1520" s="94">
        <f>STOCK[[#This Row],[Costo total]]*STOCK[[#This Row],[Entradas]]</f>
        <v>11.14</v>
      </c>
      <c r="AB1520" s="94">
        <f>STOCK[[#This Row],[Stock Actual]]*STOCK[[#This Row],[Costo total]]</f>
        <v>11.14</v>
      </c>
      <c r="AC1520" s="94"/>
    </row>
    <row r="1521" s="76" customFormat="1" ht="50" hidden="1" customHeight="1" spans="1:29">
      <c r="A1521" s="76" t="s">
        <v>3029</v>
      </c>
      <c r="B1521" s="95"/>
      <c r="C1521" s="94" t="s">
        <v>30</v>
      </c>
      <c r="D1521" s="94" t="s">
        <v>1188</v>
      </c>
      <c r="E1521" s="94" t="s">
        <v>3030</v>
      </c>
      <c r="F1521" s="94" t="s">
        <v>60</v>
      </c>
      <c r="G1521" s="94"/>
      <c r="H1521" s="94">
        <f>STOCK[[#This Row],[Precio Final]]</f>
        <v>18</v>
      </c>
      <c r="I1521" s="98">
        <f>STOCK[[#This Row],[Precio Venta Ideal (x1.5)]]</f>
        <v>17.235</v>
      </c>
      <c r="J1521" s="96">
        <v>2</v>
      </c>
      <c r="K1521" s="96">
        <f>SUMIFS(VENTAS[Cantidad],VENTAS[Código del producto Vendido],STOCK[[#This Row],[Code]])</f>
        <v>0</v>
      </c>
      <c r="L1521" s="96">
        <f>STOCK[[#This Row],[Entradas]]-STOCK[[#This Row],[Salidas]]</f>
        <v>2</v>
      </c>
      <c r="M1521" s="94">
        <f>STOCK[[#This Row],[Precio Final]]*10%</f>
        <v>1.8</v>
      </c>
      <c r="N1521" s="94">
        <v>0</v>
      </c>
      <c r="O1521" s="94">
        <v>0</v>
      </c>
      <c r="P1521" s="94">
        <v>8.09</v>
      </c>
      <c r="Q1521" s="96">
        <v>0</v>
      </c>
      <c r="R1521" s="94">
        <v>0</v>
      </c>
      <c r="S1521" s="94">
        <v>1.6</v>
      </c>
      <c r="T1521" s="94">
        <f>STOCK[[#This Row],[Costo Unitario (USD)]]+STOCK[[#This Row],[Costo Envío (USD)]]+STOCK[[#This Row],[Comisión 10%]]</f>
        <v>11.49</v>
      </c>
      <c r="U1521" s="76">
        <f>STOCK[[#This Row],[Costo total]]*1.5</f>
        <v>17.235</v>
      </c>
      <c r="V1521" s="94">
        <v>18</v>
      </c>
      <c r="W1521" s="94">
        <f>STOCK[[#This Row],[Precio Final]]-STOCK[[#This Row],[Costo total]]</f>
        <v>6.51</v>
      </c>
      <c r="X1521" s="94">
        <f>STOCK[[#This Row],[Ganancia Unitaria]]*STOCK[[#This Row],[Salidas]]</f>
        <v>0</v>
      </c>
      <c r="Y1521" s="94"/>
      <c r="Z1521" s="94"/>
      <c r="AA1521" s="94">
        <f>STOCK[[#This Row],[Costo total]]*STOCK[[#This Row],[Entradas]]</f>
        <v>22.98</v>
      </c>
      <c r="AB1521" s="94">
        <f>STOCK[[#This Row],[Stock Actual]]*STOCK[[#This Row],[Costo total]]</f>
        <v>22.98</v>
      </c>
      <c r="AC1521" s="94"/>
    </row>
    <row r="1522" s="76" customFormat="1" ht="50" hidden="1" customHeight="1" spans="1:29">
      <c r="A1522" s="76" t="s">
        <v>3031</v>
      </c>
      <c r="B1522" s="95"/>
      <c r="C1522" s="94" t="s">
        <v>30</v>
      </c>
      <c r="D1522" s="94" t="s">
        <v>1188</v>
      </c>
      <c r="E1522" s="94" t="s">
        <v>3030</v>
      </c>
      <c r="F1522" s="94" t="s">
        <v>47</v>
      </c>
      <c r="G1522" s="94"/>
      <c r="H1522" s="94">
        <f>STOCK[[#This Row],[Precio Final]]</f>
        <v>18</v>
      </c>
      <c r="I1522" s="98">
        <f>STOCK[[#This Row],[Precio Venta Ideal (x1.5)]]</f>
        <v>17.235</v>
      </c>
      <c r="J1522" s="96">
        <v>2</v>
      </c>
      <c r="K1522" s="96">
        <f>SUMIFS(VENTAS[Cantidad],VENTAS[Código del producto Vendido],STOCK[[#This Row],[Code]])</f>
        <v>0</v>
      </c>
      <c r="L1522" s="96">
        <f>STOCK[[#This Row],[Entradas]]-STOCK[[#This Row],[Salidas]]</f>
        <v>2</v>
      </c>
      <c r="M1522" s="94">
        <f>STOCK[[#This Row],[Precio Final]]*10%</f>
        <v>1.8</v>
      </c>
      <c r="N1522" s="94">
        <v>0</v>
      </c>
      <c r="O1522" s="94">
        <v>0</v>
      </c>
      <c r="P1522" s="94">
        <v>8.09</v>
      </c>
      <c r="Q1522" s="96">
        <v>0</v>
      </c>
      <c r="R1522" s="94">
        <v>0</v>
      </c>
      <c r="S1522" s="94">
        <v>1.6</v>
      </c>
      <c r="T1522" s="94">
        <f>STOCK[[#This Row],[Costo Unitario (USD)]]+STOCK[[#This Row],[Costo Envío (USD)]]+STOCK[[#This Row],[Comisión 10%]]</f>
        <v>11.49</v>
      </c>
      <c r="U1522" s="76">
        <f>STOCK[[#This Row],[Costo total]]*1.5</f>
        <v>17.235</v>
      </c>
      <c r="V1522" s="94">
        <v>18</v>
      </c>
      <c r="W1522" s="94">
        <f>STOCK[[#This Row],[Precio Final]]-STOCK[[#This Row],[Costo total]]</f>
        <v>6.51</v>
      </c>
      <c r="X1522" s="94">
        <f>STOCK[[#This Row],[Ganancia Unitaria]]*STOCK[[#This Row],[Salidas]]</f>
        <v>0</v>
      </c>
      <c r="Y1522" s="94"/>
      <c r="Z1522" s="94"/>
      <c r="AA1522" s="94">
        <f>STOCK[[#This Row],[Costo total]]*STOCK[[#This Row],[Entradas]]</f>
        <v>22.98</v>
      </c>
      <c r="AB1522" s="94">
        <f>STOCK[[#This Row],[Stock Actual]]*STOCK[[#This Row],[Costo total]]</f>
        <v>22.98</v>
      </c>
      <c r="AC1522" s="94"/>
    </row>
    <row r="1523" s="76" customFormat="1" ht="50" hidden="1" customHeight="1" spans="1:29">
      <c r="A1523" s="76" t="s">
        <v>3032</v>
      </c>
      <c r="B1523" s="95"/>
      <c r="C1523" s="94" t="s">
        <v>30</v>
      </c>
      <c r="D1523" s="94" t="s">
        <v>1188</v>
      </c>
      <c r="E1523" s="94" t="s">
        <v>3030</v>
      </c>
      <c r="F1523" s="94" t="s">
        <v>44</v>
      </c>
      <c r="G1523" s="94"/>
      <c r="H1523" s="94">
        <f>STOCK[[#This Row],[Precio Final]]</f>
        <v>18</v>
      </c>
      <c r="I1523" s="98">
        <f>STOCK[[#This Row],[Precio Venta Ideal (x1.5)]]</f>
        <v>17.235</v>
      </c>
      <c r="J1523" s="96">
        <v>2</v>
      </c>
      <c r="K1523" s="96">
        <f>SUMIFS(VENTAS[Cantidad],VENTAS[Código del producto Vendido],STOCK[[#This Row],[Code]])</f>
        <v>0</v>
      </c>
      <c r="L1523" s="96">
        <f>STOCK[[#This Row],[Entradas]]-STOCK[[#This Row],[Salidas]]</f>
        <v>2</v>
      </c>
      <c r="M1523" s="94">
        <f>STOCK[[#This Row],[Precio Final]]*10%</f>
        <v>1.8</v>
      </c>
      <c r="N1523" s="94">
        <v>0</v>
      </c>
      <c r="O1523" s="94">
        <v>0</v>
      </c>
      <c r="P1523" s="94">
        <v>8.09</v>
      </c>
      <c r="Q1523" s="96">
        <v>0</v>
      </c>
      <c r="R1523" s="94">
        <v>0</v>
      </c>
      <c r="S1523" s="94">
        <v>1.6</v>
      </c>
      <c r="T1523" s="94">
        <f>STOCK[[#This Row],[Costo Unitario (USD)]]+STOCK[[#This Row],[Costo Envío (USD)]]+STOCK[[#This Row],[Comisión 10%]]</f>
        <v>11.49</v>
      </c>
      <c r="U1523" s="76">
        <f>STOCK[[#This Row],[Costo total]]*1.5</f>
        <v>17.235</v>
      </c>
      <c r="V1523" s="94">
        <v>18</v>
      </c>
      <c r="W1523" s="94">
        <f>STOCK[[#This Row],[Precio Final]]-STOCK[[#This Row],[Costo total]]</f>
        <v>6.51</v>
      </c>
      <c r="X1523" s="94">
        <f>STOCK[[#This Row],[Ganancia Unitaria]]*STOCK[[#This Row],[Salidas]]</f>
        <v>0</v>
      </c>
      <c r="Y1523" s="94"/>
      <c r="Z1523" s="94"/>
      <c r="AA1523" s="94">
        <f>STOCK[[#This Row],[Costo total]]*STOCK[[#This Row],[Entradas]]</f>
        <v>22.98</v>
      </c>
      <c r="AB1523" s="94">
        <f>STOCK[[#This Row],[Stock Actual]]*STOCK[[#This Row],[Costo total]]</f>
        <v>22.98</v>
      </c>
      <c r="AC1523" s="94"/>
    </row>
    <row r="1524" s="76" customFormat="1" ht="50" hidden="1" customHeight="1" spans="1:29">
      <c r="A1524" s="76" t="s">
        <v>3033</v>
      </c>
      <c r="B1524" s="95"/>
      <c r="C1524" s="94" t="s">
        <v>30</v>
      </c>
      <c r="D1524" s="94" t="s">
        <v>1188</v>
      </c>
      <c r="E1524" s="94" t="s">
        <v>3034</v>
      </c>
      <c r="F1524" s="94" t="s">
        <v>60</v>
      </c>
      <c r="G1524" s="94"/>
      <c r="H1524" s="94">
        <f>STOCK[[#This Row],[Precio Final]]</f>
        <v>18</v>
      </c>
      <c r="I1524" s="98">
        <f>STOCK[[#This Row],[Precio Venta Ideal (x1.5)]]</f>
        <v>17.22</v>
      </c>
      <c r="J1524" s="96">
        <v>2</v>
      </c>
      <c r="K1524" s="96">
        <f>SUMIFS(VENTAS[Cantidad],VENTAS[Código del producto Vendido],STOCK[[#This Row],[Code]])</f>
        <v>0</v>
      </c>
      <c r="L1524" s="96">
        <f>STOCK[[#This Row],[Entradas]]-STOCK[[#This Row],[Salidas]]</f>
        <v>2</v>
      </c>
      <c r="M1524" s="94">
        <f>STOCK[[#This Row],[Precio Final]]*10%</f>
        <v>1.8</v>
      </c>
      <c r="N1524" s="94">
        <v>0</v>
      </c>
      <c r="O1524" s="94">
        <v>0</v>
      </c>
      <c r="P1524" s="94">
        <v>8.08</v>
      </c>
      <c r="Q1524" s="96">
        <v>0</v>
      </c>
      <c r="R1524" s="94">
        <v>0</v>
      </c>
      <c r="S1524" s="94">
        <v>1.6</v>
      </c>
      <c r="T1524" s="94">
        <f>STOCK[[#This Row],[Costo Unitario (USD)]]+STOCK[[#This Row],[Costo Envío (USD)]]+STOCK[[#This Row],[Comisión 10%]]</f>
        <v>11.48</v>
      </c>
      <c r="U1524" s="76">
        <f>STOCK[[#This Row],[Costo total]]*1.5</f>
        <v>17.22</v>
      </c>
      <c r="V1524" s="94">
        <v>18</v>
      </c>
      <c r="W1524" s="94">
        <f>STOCK[[#This Row],[Precio Final]]-STOCK[[#This Row],[Costo total]]</f>
        <v>6.52</v>
      </c>
      <c r="X1524" s="94">
        <f>STOCK[[#This Row],[Ganancia Unitaria]]*STOCK[[#This Row],[Salidas]]</f>
        <v>0</v>
      </c>
      <c r="Y1524" s="94"/>
      <c r="Z1524" s="94"/>
      <c r="AA1524" s="94">
        <f>STOCK[[#This Row],[Costo total]]*STOCK[[#This Row],[Entradas]]</f>
        <v>22.96</v>
      </c>
      <c r="AB1524" s="94">
        <f>STOCK[[#This Row],[Stock Actual]]*STOCK[[#This Row],[Costo total]]</f>
        <v>22.96</v>
      </c>
      <c r="AC1524" s="94"/>
    </row>
    <row r="1525" s="76" customFormat="1" ht="50" hidden="1" customHeight="1" spans="1:29">
      <c r="A1525" s="76" t="s">
        <v>3035</v>
      </c>
      <c r="B1525" s="95"/>
      <c r="C1525" s="94" t="s">
        <v>30</v>
      </c>
      <c r="D1525" s="94" t="s">
        <v>1188</v>
      </c>
      <c r="E1525" s="94" t="s">
        <v>3034</v>
      </c>
      <c r="F1525" s="94" t="s">
        <v>47</v>
      </c>
      <c r="G1525" s="94"/>
      <c r="H1525" s="94">
        <f>STOCK[[#This Row],[Precio Final]]</f>
        <v>18</v>
      </c>
      <c r="I1525" s="98">
        <f>STOCK[[#This Row],[Precio Venta Ideal (x1.5)]]</f>
        <v>17.22</v>
      </c>
      <c r="J1525" s="96">
        <v>2</v>
      </c>
      <c r="K1525" s="96">
        <f>SUMIFS(VENTAS[Cantidad],VENTAS[Código del producto Vendido],STOCK[[#This Row],[Code]])</f>
        <v>0</v>
      </c>
      <c r="L1525" s="96">
        <f>STOCK[[#This Row],[Entradas]]-STOCK[[#This Row],[Salidas]]</f>
        <v>2</v>
      </c>
      <c r="M1525" s="94">
        <f>STOCK[[#This Row],[Precio Final]]*10%</f>
        <v>1.8</v>
      </c>
      <c r="N1525" s="94">
        <v>0</v>
      </c>
      <c r="O1525" s="94">
        <v>0</v>
      </c>
      <c r="P1525" s="94">
        <v>8.08</v>
      </c>
      <c r="Q1525" s="96">
        <v>0</v>
      </c>
      <c r="R1525" s="94">
        <v>0</v>
      </c>
      <c r="S1525" s="94">
        <v>1.6</v>
      </c>
      <c r="T1525" s="94">
        <f>STOCK[[#This Row],[Costo Unitario (USD)]]+STOCK[[#This Row],[Costo Envío (USD)]]+STOCK[[#This Row],[Comisión 10%]]</f>
        <v>11.48</v>
      </c>
      <c r="U1525" s="76">
        <f>STOCK[[#This Row],[Costo total]]*1.5</f>
        <v>17.22</v>
      </c>
      <c r="V1525" s="94">
        <v>18</v>
      </c>
      <c r="W1525" s="94">
        <f>STOCK[[#This Row],[Precio Final]]-STOCK[[#This Row],[Costo total]]</f>
        <v>6.52</v>
      </c>
      <c r="X1525" s="94">
        <f>STOCK[[#This Row],[Ganancia Unitaria]]*STOCK[[#This Row],[Salidas]]</f>
        <v>0</v>
      </c>
      <c r="Y1525" s="94"/>
      <c r="Z1525" s="94"/>
      <c r="AA1525" s="94">
        <f>STOCK[[#This Row],[Costo total]]*STOCK[[#This Row],[Entradas]]</f>
        <v>22.96</v>
      </c>
      <c r="AB1525" s="94">
        <f>STOCK[[#This Row],[Stock Actual]]*STOCK[[#This Row],[Costo total]]</f>
        <v>22.96</v>
      </c>
      <c r="AC1525" s="94"/>
    </row>
    <row r="1526" s="76" customFormat="1" ht="50" hidden="1" customHeight="1" spans="1:29">
      <c r="A1526" s="76" t="s">
        <v>3036</v>
      </c>
      <c r="B1526" s="95"/>
      <c r="C1526" s="94" t="s">
        <v>30</v>
      </c>
      <c r="D1526" s="94" t="s">
        <v>1188</v>
      </c>
      <c r="E1526" s="94" t="s">
        <v>3034</v>
      </c>
      <c r="F1526" s="94" t="s">
        <v>44</v>
      </c>
      <c r="G1526" s="94"/>
      <c r="H1526" s="94">
        <f>STOCK[[#This Row],[Precio Final]]</f>
        <v>18</v>
      </c>
      <c r="I1526" s="98">
        <f>STOCK[[#This Row],[Precio Venta Ideal (x1.5)]]</f>
        <v>17.22</v>
      </c>
      <c r="J1526" s="96">
        <v>2</v>
      </c>
      <c r="K1526" s="96">
        <f>SUMIFS(VENTAS[Cantidad],VENTAS[Código del producto Vendido],STOCK[[#This Row],[Code]])</f>
        <v>0</v>
      </c>
      <c r="L1526" s="96">
        <f>STOCK[[#This Row],[Entradas]]-STOCK[[#This Row],[Salidas]]</f>
        <v>2</v>
      </c>
      <c r="M1526" s="94">
        <f>STOCK[[#This Row],[Precio Final]]*10%</f>
        <v>1.8</v>
      </c>
      <c r="N1526" s="94">
        <v>0</v>
      </c>
      <c r="O1526" s="94">
        <v>0</v>
      </c>
      <c r="P1526" s="94">
        <v>8.08</v>
      </c>
      <c r="Q1526" s="96">
        <v>0</v>
      </c>
      <c r="R1526" s="94">
        <v>0</v>
      </c>
      <c r="S1526" s="94">
        <v>1.6</v>
      </c>
      <c r="T1526" s="94">
        <f>STOCK[[#This Row],[Costo Unitario (USD)]]+STOCK[[#This Row],[Costo Envío (USD)]]+STOCK[[#This Row],[Comisión 10%]]</f>
        <v>11.48</v>
      </c>
      <c r="U1526" s="76">
        <f>STOCK[[#This Row],[Costo total]]*1.5</f>
        <v>17.22</v>
      </c>
      <c r="V1526" s="94">
        <v>18</v>
      </c>
      <c r="W1526" s="94">
        <f>STOCK[[#This Row],[Precio Final]]-STOCK[[#This Row],[Costo total]]</f>
        <v>6.52</v>
      </c>
      <c r="X1526" s="94">
        <f>STOCK[[#This Row],[Ganancia Unitaria]]*STOCK[[#This Row],[Salidas]]</f>
        <v>0</v>
      </c>
      <c r="Y1526" s="94"/>
      <c r="Z1526" s="94"/>
      <c r="AA1526" s="94">
        <f>STOCK[[#This Row],[Costo total]]*STOCK[[#This Row],[Entradas]]</f>
        <v>22.96</v>
      </c>
      <c r="AB1526" s="94">
        <f>STOCK[[#This Row],[Stock Actual]]*STOCK[[#This Row],[Costo total]]</f>
        <v>22.96</v>
      </c>
      <c r="AC1526" s="94"/>
    </row>
    <row r="1527" s="76" customFormat="1" ht="50" hidden="1" customHeight="1" spans="1:29">
      <c r="A1527" s="76" t="s">
        <v>3037</v>
      </c>
      <c r="B1527" s="95"/>
      <c r="C1527" s="94" t="s">
        <v>30</v>
      </c>
      <c r="D1527" s="94" t="s">
        <v>2131</v>
      </c>
      <c r="E1527" s="94" t="s">
        <v>3038</v>
      </c>
      <c r="F1527" s="94" t="s">
        <v>60</v>
      </c>
      <c r="G1527" s="94"/>
      <c r="H1527" s="94">
        <f>STOCK[[#This Row],[Precio Final]]</f>
        <v>30</v>
      </c>
      <c r="I1527" s="98">
        <f>STOCK[[#This Row],[Precio Venta Ideal (x1.5)]]</f>
        <v>21.165</v>
      </c>
      <c r="J1527" s="96">
        <v>1</v>
      </c>
      <c r="K1527" s="96">
        <f>SUMIFS(VENTAS[Cantidad],VENTAS[Código del producto Vendido],STOCK[[#This Row],[Code]])</f>
        <v>0</v>
      </c>
      <c r="L1527" s="96">
        <f>STOCK[[#This Row],[Entradas]]-STOCK[[#This Row],[Salidas]]</f>
        <v>1</v>
      </c>
      <c r="M1527" s="94">
        <f>STOCK[[#This Row],[Precio Final]]*10%</f>
        <v>3</v>
      </c>
      <c r="N1527" s="94">
        <v>0</v>
      </c>
      <c r="O1527" s="94">
        <v>0</v>
      </c>
      <c r="P1527" s="94">
        <v>9.51</v>
      </c>
      <c r="Q1527" s="96">
        <v>0</v>
      </c>
      <c r="R1527" s="94">
        <v>0</v>
      </c>
      <c r="S1527" s="94">
        <v>1.6</v>
      </c>
      <c r="T1527" s="94">
        <f>STOCK[[#This Row],[Costo Unitario (USD)]]+STOCK[[#This Row],[Costo Envío (USD)]]+STOCK[[#This Row],[Comisión 10%]]</f>
        <v>14.11</v>
      </c>
      <c r="U1527" s="76">
        <f>STOCK[[#This Row],[Costo total]]*1.5</f>
        <v>21.165</v>
      </c>
      <c r="V1527" s="94">
        <v>30</v>
      </c>
      <c r="W1527" s="94">
        <f>STOCK[[#This Row],[Precio Final]]-STOCK[[#This Row],[Costo total]]</f>
        <v>15.89</v>
      </c>
      <c r="X1527" s="94">
        <f>STOCK[[#This Row],[Ganancia Unitaria]]*STOCK[[#This Row],[Salidas]]</f>
        <v>0</v>
      </c>
      <c r="Y1527" s="94"/>
      <c r="Z1527" s="94"/>
      <c r="AA1527" s="94">
        <f>STOCK[[#This Row],[Costo total]]*STOCK[[#This Row],[Entradas]]</f>
        <v>14.11</v>
      </c>
      <c r="AB1527" s="94">
        <f>STOCK[[#This Row],[Stock Actual]]*STOCK[[#This Row],[Costo total]]</f>
        <v>14.11</v>
      </c>
      <c r="AC1527" s="94"/>
    </row>
    <row r="1528" s="76" customFormat="1" ht="50" hidden="1" customHeight="1" spans="1:30">
      <c r="A1528" s="76" t="s">
        <v>3039</v>
      </c>
      <c r="B1528" s="91" t="str">
        <f>_xlfn.DISPIMG("ID_D1E073E4129E4171A9BB6D3B66D1B537",1)</f>
        <v>=DISPIMG("ID_D1E073E4129E4171A9BB6D3B66D1B537",1)</v>
      </c>
      <c r="C1528" s="76" t="s">
        <v>30</v>
      </c>
      <c r="D1528" s="76" t="s">
        <v>741</v>
      </c>
      <c r="E1528" s="76" t="s">
        <v>3040</v>
      </c>
      <c r="F1528" s="76" t="s">
        <v>1532</v>
      </c>
      <c r="H1528" s="94">
        <f>STOCK[[#This Row],[Precio Final]]</f>
        <v>28</v>
      </c>
      <c r="I1528" s="98">
        <f>STOCK[[#This Row],[Precio Venta Ideal (x1.5)]]</f>
        <v>19.2</v>
      </c>
      <c r="J1528" s="91">
        <v>2</v>
      </c>
      <c r="K1528" s="96">
        <f>SUMIFS(VENTAS[Cantidad],VENTAS[Código del producto Vendido],STOCK[[#This Row],[Code]])</f>
        <v>0</v>
      </c>
      <c r="L1528" s="96">
        <f>STOCK[[#This Row],[Entradas]]-STOCK[[#This Row],[Salidas]]</f>
        <v>2</v>
      </c>
      <c r="M1528" s="94">
        <f>STOCK[[#This Row],[Precio Final]]*10%</f>
        <v>2.8</v>
      </c>
      <c r="N1528" s="76">
        <v>0</v>
      </c>
      <c r="O1528" s="94">
        <v>0</v>
      </c>
      <c r="P1528" s="76">
        <v>10</v>
      </c>
      <c r="Q1528" s="92">
        <v>0</v>
      </c>
      <c r="R1528" s="76">
        <v>0</v>
      </c>
      <c r="S1528" s="77">
        <v>0</v>
      </c>
      <c r="T1528" s="94">
        <f>STOCK[[#This Row],[Costo Unitario (USD)]]+STOCK[[#This Row],[Costo Envío (USD)]]+STOCK[[#This Row],[Comisión 10%]]</f>
        <v>12.8</v>
      </c>
      <c r="U1528" s="76">
        <f>STOCK[[#This Row],[Costo total]]*1.5</f>
        <v>19.2</v>
      </c>
      <c r="V1528" s="76">
        <v>28</v>
      </c>
      <c r="W1528" s="94">
        <f>STOCK[[#This Row],[Precio Final]]-STOCK[[#This Row],[Costo total]]</f>
        <v>15.2</v>
      </c>
      <c r="X1528" s="94">
        <f>STOCK[[#This Row],[Ganancia Unitaria]]*STOCK[[#This Row],[Salidas]]</f>
        <v>0</v>
      </c>
      <c r="Y1528" s="94"/>
      <c r="Z1528" s="94"/>
      <c r="AA1528" s="94">
        <f>STOCK[[#This Row],[Costo total]]*STOCK[[#This Row],[Entradas]]</f>
        <v>25.6</v>
      </c>
      <c r="AB1528" s="94">
        <f>STOCK[[#This Row],[Stock Actual]]*STOCK[[#This Row],[Costo total]]</f>
        <v>25.6</v>
      </c>
      <c r="AC1528" s="94"/>
      <c r="AD1528" s="100"/>
    </row>
    <row r="1529" s="76" customFormat="1" ht="50" hidden="1" customHeight="1" spans="1:30">
      <c r="A1529" s="76" t="s">
        <v>3041</v>
      </c>
      <c r="B1529" s="91" t="str">
        <f>_xlfn.DISPIMG("ID_AC221203CCA54983BF820E257DAA06D8",1)</f>
        <v>=DISPIMG("ID_AC221203CCA54983BF820E257DAA06D8",1)</v>
      </c>
      <c r="C1529" s="76" t="s">
        <v>30</v>
      </c>
      <c r="D1529" s="76" t="s">
        <v>741</v>
      </c>
      <c r="E1529" s="76" t="s">
        <v>3042</v>
      </c>
      <c r="F1529" s="76" t="s">
        <v>1532</v>
      </c>
      <c r="H1529" s="94">
        <f>STOCK[[#This Row],[Precio Final]]</f>
        <v>22</v>
      </c>
      <c r="I1529" s="98">
        <f>STOCK[[#This Row],[Precio Venta Ideal (x1.5)]]</f>
        <v>18.3</v>
      </c>
      <c r="J1529" s="91">
        <v>1</v>
      </c>
      <c r="K1529" s="96">
        <f>SUMIFS(VENTAS[Cantidad],VENTAS[Código del producto Vendido],STOCK[[#This Row],[Code]])</f>
        <v>0</v>
      </c>
      <c r="L1529" s="96">
        <f>STOCK[[#This Row],[Entradas]]-STOCK[[#This Row],[Salidas]]</f>
        <v>1</v>
      </c>
      <c r="M1529" s="94">
        <f>STOCK[[#This Row],[Precio Final]]*10%</f>
        <v>2.2</v>
      </c>
      <c r="N1529" s="77">
        <v>0</v>
      </c>
      <c r="O1529" s="94">
        <v>0</v>
      </c>
      <c r="P1529" s="76">
        <v>10</v>
      </c>
      <c r="Q1529" s="91">
        <v>0</v>
      </c>
      <c r="R1529" s="77">
        <v>0</v>
      </c>
      <c r="S1529" s="76">
        <v>0</v>
      </c>
      <c r="T1529" s="94">
        <f>STOCK[[#This Row],[Costo Unitario (USD)]]+STOCK[[#This Row],[Costo Envío (USD)]]+STOCK[[#This Row],[Comisión 10%]]</f>
        <v>12.2</v>
      </c>
      <c r="U1529" s="76">
        <f>STOCK[[#This Row],[Costo total]]*1.5</f>
        <v>18.3</v>
      </c>
      <c r="V1529" s="76">
        <v>22</v>
      </c>
      <c r="W1529" s="94">
        <f>STOCK[[#This Row],[Precio Final]]-STOCK[[#This Row],[Costo total]]</f>
        <v>9.8</v>
      </c>
      <c r="X1529" s="94">
        <f>STOCK[[#This Row],[Ganancia Unitaria]]*STOCK[[#This Row],[Salidas]]</f>
        <v>0</v>
      </c>
      <c r="Y1529" s="94"/>
      <c r="Z1529" s="94"/>
      <c r="AA1529" s="94">
        <f>STOCK[[#This Row],[Costo total]]*STOCK[[#This Row],[Entradas]]</f>
        <v>12.2</v>
      </c>
      <c r="AB1529" s="94">
        <f>STOCK[[#This Row],[Stock Actual]]*STOCK[[#This Row],[Costo total]]</f>
        <v>12.2</v>
      </c>
      <c r="AC1529" s="94"/>
      <c r="AD1529" s="100"/>
    </row>
    <row r="1530" s="76" customFormat="1" ht="50" hidden="1" customHeight="1" spans="1:30">
      <c r="A1530" s="76" t="s">
        <v>3043</v>
      </c>
      <c r="B1530" s="91" t="str">
        <f>_xlfn.DISPIMG("ID_993DE42165354B1EA401FCCCF2F045B5",1)</f>
        <v>=DISPIMG("ID_993DE42165354B1EA401FCCCF2F045B5",1)</v>
      </c>
      <c r="C1530" s="76" t="s">
        <v>30</v>
      </c>
      <c r="D1530" s="76" t="s">
        <v>741</v>
      </c>
      <c r="E1530" s="76" t="s">
        <v>3044</v>
      </c>
      <c r="F1530" s="76" t="s">
        <v>1532</v>
      </c>
      <c r="H1530" s="94">
        <f>STOCK[[#This Row],[Precio Final]]</f>
        <v>22</v>
      </c>
      <c r="I1530" s="98">
        <f>STOCK[[#This Row],[Precio Venta Ideal (x1.5)]]</f>
        <v>18.3</v>
      </c>
      <c r="J1530" s="91">
        <v>1</v>
      </c>
      <c r="K1530" s="96">
        <f>SUMIFS(VENTAS[Cantidad],VENTAS[Código del producto Vendido],STOCK[[#This Row],[Code]])</f>
        <v>0</v>
      </c>
      <c r="L1530" s="96">
        <f>STOCK[[#This Row],[Entradas]]-STOCK[[#This Row],[Salidas]]</f>
        <v>1</v>
      </c>
      <c r="M1530" s="94">
        <f>STOCK[[#This Row],[Precio Final]]*10%</f>
        <v>2.2</v>
      </c>
      <c r="N1530" s="77">
        <v>0</v>
      </c>
      <c r="O1530" s="94">
        <v>0</v>
      </c>
      <c r="P1530" s="76">
        <v>10</v>
      </c>
      <c r="Q1530" s="91">
        <v>0</v>
      </c>
      <c r="R1530" s="76">
        <v>0</v>
      </c>
      <c r="S1530" s="77">
        <v>0</v>
      </c>
      <c r="T1530" s="94">
        <f>STOCK[[#This Row],[Costo Unitario (USD)]]+STOCK[[#This Row],[Costo Envío (USD)]]+STOCK[[#This Row],[Comisión 10%]]</f>
        <v>12.2</v>
      </c>
      <c r="U1530" s="76">
        <f>STOCK[[#This Row],[Costo total]]*1.5</f>
        <v>18.3</v>
      </c>
      <c r="V1530" s="76">
        <v>22</v>
      </c>
      <c r="W1530" s="94">
        <f>STOCK[[#This Row],[Precio Final]]-STOCK[[#This Row],[Costo total]]</f>
        <v>9.8</v>
      </c>
      <c r="X1530" s="94">
        <f>STOCK[[#This Row],[Ganancia Unitaria]]*STOCK[[#This Row],[Salidas]]</f>
        <v>0</v>
      </c>
      <c r="Y1530" s="94"/>
      <c r="Z1530" s="94"/>
      <c r="AA1530" s="94">
        <f>STOCK[[#This Row],[Costo total]]*STOCK[[#This Row],[Entradas]]</f>
        <v>12.2</v>
      </c>
      <c r="AB1530" s="94">
        <f>STOCK[[#This Row],[Stock Actual]]*STOCK[[#This Row],[Costo total]]</f>
        <v>12.2</v>
      </c>
      <c r="AC1530" s="94"/>
      <c r="AD1530" s="100"/>
    </row>
    <row r="1531" s="76" customFormat="1" ht="50" hidden="1" customHeight="1" spans="1:30">
      <c r="A1531" s="76" t="s">
        <v>3045</v>
      </c>
      <c r="B1531" s="91" t="str">
        <f>_xlfn.DISPIMG("ID_0FF41747A0794EE98C5DCDF1FA378C04",1)</f>
        <v>=DISPIMG("ID_0FF41747A0794EE98C5DCDF1FA378C04",1)</v>
      </c>
      <c r="C1531" s="76" t="s">
        <v>30</v>
      </c>
      <c r="D1531" s="76" t="s">
        <v>741</v>
      </c>
      <c r="E1531" s="76" t="s">
        <v>3046</v>
      </c>
      <c r="F1531" s="76" t="s">
        <v>1532</v>
      </c>
      <c r="H1531" s="94">
        <f>STOCK[[#This Row],[Precio Final]]</f>
        <v>28</v>
      </c>
      <c r="I1531" s="98">
        <f>STOCK[[#This Row],[Precio Venta Ideal (x1.5)]]</f>
        <v>19.2</v>
      </c>
      <c r="J1531" s="91">
        <v>1</v>
      </c>
      <c r="K1531" s="96">
        <f>SUMIFS(VENTAS[Cantidad],VENTAS[Código del producto Vendido],STOCK[[#This Row],[Code]])</f>
        <v>0</v>
      </c>
      <c r="L1531" s="96">
        <f>STOCK[[#This Row],[Entradas]]-STOCK[[#This Row],[Salidas]]</f>
        <v>1</v>
      </c>
      <c r="M1531" s="94">
        <f>STOCK[[#This Row],[Precio Final]]*10%</f>
        <v>2.8</v>
      </c>
      <c r="N1531" s="76">
        <v>0</v>
      </c>
      <c r="O1531" s="94">
        <v>0</v>
      </c>
      <c r="P1531" s="76">
        <v>10</v>
      </c>
      <c r="Q1531" s="92">
        <v>0</v>
      </c>
      <c r="R1531" s="77">
        <v>0</v>
      </c>
      <c r="S1531" s="77">
        <v>0</v>
      </c>
      <c r="T1531" s="94">
        <f>STOCK[[#This Row],[Costo Unitario (USD)]]+STOCK[[#This Row],[Costo Envío (USD)]]+STOCK[[#This Row],[Comisión 10%]]</f>
        <v>12.8</v>
      </c>
      <c r="U1531" s="76">
        <f>STOCK[[#This Row],[Costo total]]*1.5</f>
        <v>19.2</v>
      </c>
      <c r="V1531" s="76">
        <v>28</v>
      </c>
      <c r="W1531" s="94">
        <f>STOCK[[#This Row],[Precio Final]]-STOCK[[#This Row],[Costo total]]</f>
        <v>15.2</v>
      </c>
      <c r="X1531" s="94">
        <f>STOCK[[#This Row],[Ganancia Unitaria]]*STOCK[[#This Row],[Salidas]]</f>
        <v>0</v>
      </c>
      <c r="Y1531" s="94"/>
      <c r="Z1531" s="94"/>
      <c r="AA1531" s="94">
        <f>STOCK[[#This Row],[Costo total]]*STOCK[[#This Row],[Entradas]]</f>
        <v>12.8</v>
      </c>
      <c r="AB1531" s="94">
        <f>STOCK[[#This Row],[Stock Actual]]*STOCK[[#This Row],[Costo total]]</f>
        <v>12.8</v>
      </c>
      <c r="AC1531" s="94"/>
      <c r="AD1531" s="100"/>
    </row>
    <row r="1532" s="76" customFormat="1" ht="50" hidden="1" customHeight="1" spans="1:30">
      <c r="A1532" s="76" t="s">
        <v>3047</v>
      </c>
      <c r="B1532" s="91" t="str">
        <f>_xlfn.DISPIMG("ID_211C81173A9244828AAC5353B2385B31",1)</f>
        <v>=DISPIMG("ID_211C81173A9244828AAC5353B2385B31",1)</v>
      </c>
      <c r="C1532" s="76" t="s">
        <v>30</v>
      </c>
      <c r="D1532" s="76" t="s">
        <v>741</v>
      </c>
      <c r="E1532" s="76" t="s">
        <v>3046</v>
      </c>
      <c r="F1532" s="76" t="s">
        <v>387</v>
      </c>
      <c r="H1532" s="94">
        <f>STOCK[[#This Row],[Precio Final]]</f>
        <v>28</v>
      </c>
      <c r="I1532" s="98">
        <f>STOCK[[#This Row],[Precio Venta Ideal (x1.5)]]</f>
        <v>19.2</v>
      </c>
      <c r="J1532" s="91">
        <v>1</v>
      </c>
      <c r="K1532" s="96">
        <f>SUMIFS(VENTAS[Cantidad],VENTAS[Código del producto Vendido],STOCK[[#This Row],[Code]])</f>
        <v>0</v>
      </c>
      <c r="L1532" s="96">
        <f>STOCK[[#This Row],[Entradas]]-STOCK[[#This Row],[Salidas]]</f>
        <v>1</v>
      </c>
      <c r="M1532" s="94">
        <f>STOCK[[#This Row],[Precio Final]]*10%</f>
        <v>2.8</v>
      </c>
      <c r="N1532" s="77">
        <v>0</v>
      </c>
      <c r="O1532" s="94">
        <v>0</v>
      </c>
      <c r="P1532" s="76">
        <v>10</v>
      </c>
      <c r="Q1532" s="91">
        <v>0</v>
      </c>
      <c r="R1532" s="76">
        <v>0</v>
      </c>
      <c r="S1532" s="76">
        <v>0</v>
      </c>
      <c r="T1532" s="94">
        <f>STOCK[[#This Row],[Costo Unitario (USD)]]+STOCK[[#This Row],[Costo Envío (USD)]]+STOCK[[#This Row],[Comisión 10%]]</f>
        <v>12.8</v>
      </c>
      <c r="U1532" s="76">
        <f>STOCK[[#This Row],[Costo total]]*1.5</f>
        <v>19.2</v>
      </c>
      <c r="V1532" s="76">
        <v>28</v>
      </c>
      <c r="W1532" s="94">
        <f>STOCK[[#This Row],[Precio Final]]-STOCK[[#This Row],[Costo total]]</f>
        <v>15.2</v>
      </c>
      <c r="X1532" s="94">
        <f>STOCK[[#This Row],[Ganancia Unitaria]]*STOCK[[#This Row],[Salidas]]</f>
        <v>0</v>
      </c>
      <c r="Y1532" s="94"/>
      <c r="Z1532" s="94"/>
      <c r="AA1532" s="94">
        <f>STOCK[[#This Row],[Costo total]]*STOCK[[#This Row],[Entradas]]</f>
        <v>12.8</v>
      </c>
      <c r="AB1532" s="94">
        <f>STOCK[[#This Row],[Stock Actual]]*STOCK[[#This Row],[Costo total]]</f>
        <v>12.8</v>
      </c>
      <c r="AC1532" s="94"/>
      <c r="AD1532" s="100"/>
    </row>
    <row r="1533" s="76" customFormat="1" ht="50" hidden="1" customHeight="1" spans="1:30">
      <c r="A1533" s="76" t="s">
        <v>3048</v>
      </c>
      <c r="B1533" s="91" t="str">
        <f>_xlfn.DISPIMG("ID_CEC879C0EFD145C5A9BB614C361D7625",1)</f>
        <v>=DISPIMG("ID_CEC879C0EFD145C5A9BB614C361D7625",1)</v>
      </c>
      <c r="C1533" s="76" t="s">
        <v>30</v>
      </c>
      <c r="D1533" s="76" t="s">
        <v>741</v>
      </c>
      <c r="E1533" s="76" t="s">
        <v>3049</v>
      </c>
      <c r="F1533" s="76" t="s">
        <v>1532</v>
      </c>
      <c r="H1533" s="94">
        <f>STOCK[[#This Row],[Precio Final]]</f>
        <v>25</v>
      </c>
      <c r="I1533" s="98">
        <f>STOCK[[#This Row],[Precio Venta Ideal (x1.5)]]</f>
        <v>18.75</v>
      </c>
      <c r="J1533" s="91">
        <v>1</v>
      </c>
      <c r="K1533" s="96">
        <f>SUMIFS(VENTAS[Cantidad],VENTAS[Código del producto Vendido],STOCK[[#This Row],[Code]])</f>
        <v>0</v>
      </c>
      <c r="L1533" s="96">
        <f>STOCK[[#This Row],[Entradas]]-STOCK[[#This Row],[Salidas]]</f>
        <v>1</v>
      </c>
      <c r="M1533" s="94">
        <f>STOCK[[#This Row],[Precio Final]]*10%</f>
        <v>2.5</v>
      </c>
      <c r="N1533" s="76">
        <v>0</v>
      </c>
      <c r="O1533" s="94">
        <v>0</v>
      </c>
      <c r="P1533" s="76">
        <v>10</v>
      </c>
      <c r="Q1533" s="91">
        <v>0</v>
      </c>
      <c r="R1533" s="77">
        <v>0</v>
      </c>
      <c r="S1533" s="77">
        <v>0</v>
      </c>
      <c r="T1533" s="94">
        <f>STOCK[[#This Row],[Costo Unitario (USD)]]+STOCK[[#This Row],[Costo Envío (USD)]]+STOCK[[#This Row],[Comisión 10%]]</f>
        <v>12.5</v>
      </c>
      <c r="U1533" s="76">
        <f>STOCK[[#This Row],[Costo total]]*1.5</f>
        <v>18.75</v>
      </c>
      <c r="V1533" s="76">
        <v>25</v>
      </c>
      <c r="W1533" s="94">
        <f>STOCK[[#This Row],[Precio Final]]-STOCK[[#This Row],[Costo total]]</f>
        <v>12.5</v>
      </c>
      <c r="X1533" s="94">
        <f>STOCK[[#This Row],[Ganancia Unitaria]]*STOCK[[#This Row],[Salidas]]</f>
        <v>0</v>
      </c>
      <c r="Y1533" s="94"/>
      <c r="Z1533" s="94"/>
      <c r="AA1533" s="94">
        <f>STOCK[[#This Row],[Costo total]]*STOCK[[#This Row],[Entradas]]</f>
        <v>12.5</v>
      </c>
      <c r="AB1533" s="94">
        <f>STOCK[[#This Row],[Stock Actual]]*STOCK[[#This Row],[Costo total]]</f>
        <v>12.5</v>
      </c>
      <c r="AC1533" s="94"/>
      <c r="AD1533" s="100"/>
    </row>
    <row r="1534" s="76" customFormat="1" ht="50" hidden="1" customHeight="1" spans="1:30">
      <c r="A1534" s="76" t="s">
        <v>3050</v>
      </c>
      <c r="B1534" s="91" t="str">
        <f>_xlfn.DISPIMG("ID_77562D2FB091404BBDC136380EDDC670",1)</f>
        <v>=DISPIMG("ID_77562D2FB091404BBDC136380EDDC670",1)</v>
      </c>
      <c r="C1534" s="76" t="s">
        <v>30</v>
      </c>
      <c r="D1534" s="76" t="s">
        <v>741</v>
      </c>
      <c r="E1534" s="76" t="s">
        <v>3051</v>
      </c>
      <c r="F1534" s="76" t="s">
        <v>3052</v>
      </c>
      <c r="H1534" s="94">
        <f>STOCK[[#This Row],[Precio Final]]</f>
        <v>22</v>
      </c>
      <c r="I1534" s="98">
        <f>STOCK[[#This Row],[Precio Venta Ideal (x1.5)]]</f>
        <v>18.3</v>
      </c>
      <c r="J1534" s="91">
        <v>2</v>
      </c>
      <c r="K1534" s="96">
        <f>SUMIFS(VENTAS[Cantidad],VENTAS[Código del producto Vendido],STOCK[[#This Row],[Code]])</f>
        <v>0</v>
      </c>
      <c r="L1534" s="96">
        <f>STOCK[[#This Row],[Entradas]]-STOCK[[#This Row],[Salidas]]</f>
        <v>2</v>
      </c>
      <c r="M1534" s="94">
        <f>STOCK[[#This Row],[Precio Final]]*10%</f>
        <v>2.2</v>
      </c>
      <c r="N1534" s="77">
        <v>0</v>
      </c>
      <c r="O1534" s="94">
        <v>0</v>
      </c>
      <c r="P1534" s="76">
        <v>10</v>
      </c>
      <c r="Q1534" s="92">
        <v>0</v>
      </c>
      <c r="R1534" s="76">
        <v>0</v>
      </c>
      <c r="S1534" s="77">
        <v>0</v>
      </c>
      <c r="T1534" s="94">
        <f>STOCK[[#This Row],[Costo Unitario (USD)]]+STOCK[[#This Row],[Costo Envío (USD)]]+STOCK[[#This Row],[Comisión 10%]]</f>
        <v>12.2</v>
      </c>
      <c r="U1534" s="76">
        <f>STOCK[[#This Row],[Costo total]]*1.5</f>
        <v>18.3</v>
      </c>
      <c r="V1534" s="76">
        <v>22</v>
      </c>
      <c r="W1534" s="94">
        <f>STOCK[[#This Row],[Precio Final]]-STOCK[[#This Row],[Costo total]]</f>
        <v>9.8</v>
      </c>
      <c r="X1534" s="94">
        <f>STOCK[[#This Row],[Ganancia Unitaria]]*STOCK[[#This Row],[Salidas]]</f>
        <v>0</v>
      </c>
      <c r="Y1534" s="94"/>
      <c r="Z1534" s="94"/>
      <c r="AA1534" s="94">
        <f>STOCK[[#This Row],[Costo total]]*STOCK[[#This Row],[Entradas]]</f>
        <v>24.4</v>
      </c>
      <c r="AB1534" s="94">
        <f>STOCK[[#This Row],[Stock Actual]]*STOCK[[#This Row],[Costo total]]</f>
        <v>24.4</v>
      </c>
      <c r="AC1534" s="94"/>
      <c r="AD1534" s="100"/>
    </row>
    <row r="1535" s="76" customFormat="1" ht="50" hidden="1" customHeight="1" spans="1:30">
      <c r="A1535" s="76" t="s">
        <v>3053</v>
      </c>
      <c r="B1535" s="91" t="str">
        <f>_xlfn.DISPIMG("ID_95BDB41B40814921ADDFD45140CB4D91",1)</f>
        <v>=DISPIMG("ID_95BDB41B40814921ADDFD45140CB4D91",1)</v>
      </c>
      <c r="C1535" s="76" t="s">
        <v>30</v>
      </c>
      <c r="D1535" s="76" t="s">
        <v>741</v>
      </c>
      <c r="E1535" s="76" t="s">
        <v>3051</v>
      </c>
      <c r="F1535" s="76" t="s">
        <v>2106</v>
      </c>
      <c r="H1535" s="94">
        <f>STOCK[[#This Row],[Precio Final]]</f>
        <v>22</v>
      </c>
      <c r="I1535" s="98">
        <f>STOCK[[#This Row],[Precio Venta Ideal (x1.5)]]</f>
        <v>18.3</v>
      </c>
      <c r="J1535" s="91">
        <v>1</v>
      </c>
      <c r="K1535" s="96">
        <f>SUMIFS(VENTAS[Cantidad],VENTAS[Código del producto Vendido],STOCK[[#This Row],[Code]])</f>
        <v>0</v>
      </c>
      <c r="L1535" s="96">
        <f>STOCK[[#This Row],[Entradas]]-STOCK[[#This Row],[Salidas]]</f>
        <v>1</v>
      </c>
      <c r="M1535" s="94">
        <f>STOCK[[#This Row],[Precio Final]]*10%</f>
        <v>2.2</v>
      </c>
      <c r="N1535" s="77">
        <v>0</v>
      </c>
      <c r="O1535" s="94">
        <v>0</v>
      </c>
      <c r="P1535" s="76">
        <v>10</v>
      </c>
      <c r="Q1535" s="91">
        <v>0</v>
      </c>
      <c r="R1535" s="77">
        <v>0</v>
      </c>
      <c r="S1535" s="76">
        <v>0</v>
      </c>
      <c r="T1535" s="94">
        <f>STOCK[[#This Row],[Costo Unitario (USD)]]+STOCK[[#This Row],[Costo Envío (USD)]]+STOCK[[#This Row],[Comisión 10%]]</f>
        <v>12.2</v>
      </c>
      <c r="U1535" s="76">
        <f>STOCK[[#This Row],[Costo total]]*1.5</f>
        <v>18.3</v>
      </c>
      <c r="V1535" s="76">
        <v>22</v>
      </c>
      <c r="W1535" s="94">
        <f>STOCK[[#This Row],[Precio Final]]-STOCK[[#This Row],[Costo total]]</f>
        <v>9.8</v>
      </c>
      <c r="X1535" s="94">
        <f>STOCK[[#This Row],[Ganancia Unitaria]]*STOCK[[#This Row],[Salidas]]</f>
        <v>0</v>
      </c>
      <c r="Y1535" s="94"/>
      <c r="Z1535" s="94"/>
      <c r="AA1535" s="94">
        <f>STOCK[[#This Row],[Costo total]]*STOCK[[#This Row],[Entradas]]</f>
        <v>12.2</v>
      </c>
      <c r="AB1535" s="94">
        <f>STOCK[[#This Row],[Stock Actual]]*STOCK[[#This Row],[Costo total]]</f>
        <v>12.2</v>
      </c>
      <c r="AC1535" s="94"/>
      <c r="AD1535" s="100"/>
    </row>
    <row r="1536" s="76" customFormat="1" ht="50" hidden="1" customHeight="1" spans="1:30">
      <c r="A1536" s="76" t="s">
        <v>3054</v>
      </c>
      <c r="B1536" s="91" t="str">
        <f>_xlfn.DISPIMG("ID_155C3A022F474F2A990DD77E86CB57AD",1)</f>
        <v>=DISPIMG("ID_155C3A022F474F2A990DD77E86CB57AD",1)</v>
      </c>
      <c r="C1536" s="76" t="s">
        <v>30</v>
      </c>
      <c r="D1536" s="76" t="s">
        <v>741</v>
      </c>
      <c r="E1536" s="76" t="s">
        <v>3049</v>
      </c>
      <c r="F1536" s="76" t="s">
        <v>1532</v>
      </c>
      <c r="H1536" s="94">
        <f>STOCK[[#This Row],[Precio Final]]</f>
        <v>25</v>
      </c>
      <c r="I1536" s="98">
        <f>STOCK[[#This Row],[Precio Venta Ideal (x1.5)]]</f>
        <v>18.75</v>
      </c>
      <c r="J1536" s="91">
        <v>1</v>
      </c>
      <c r="K1536" s="96">
        <f>SUMIFS(VENTAS[Cantidad],VENTAS[Código del producto Vendido],STOCK[[#This Row],[Code]])</f>
        <v>0</v>
      </c>
      <c r="L1536" s="96">
        <f>STOCK[[#This Row],[Entradas]]-STOCK[[#This Row],[Salidas]]</f>
        <v>1</v>
      </c>
      <c r="M1536" s="94">
        <f>STOCK[[#This Row],[Precio Final]]*10%</f>
        <v>2.5</v>
      </c>
      <c r="N1536" s="76">
        <v>0</v>
      </c>
      <c r="O1536" s="94">
        <v>0</v>
      </c>
      <c r="P1536" s="76">
        <v>10</v>
      </c>
      <c r="Q1536" s="91">
        <v>0</v>
      </c>
      <c r="R1536" s="76">
        <v>0</v>
      </c>
      <c r="S1536" s="77">
        <v>0</v>
      </c>
      <c r="T1536" s="94">
        <f>STOCK[[#This Row],[Costo Unitario (USD)]]+STOCK[[#This Row],[Costo Envío (USD)]]+STOCK[[#This Row],[Comisión 10%]]</f>
        <v>12.5</v>
      </c>
      <c r="U1536" s="76">
        <f>STOCK[[#This Row],[Costo total]]*1.5</f>
        <v>18.75</v>
      </c>
      <c r="V1536" s="76">
        <v>25</v>
      </c>
      <c r="W1536" s="94">
        <f>STOCK[[#This Row],[Precio Final]]-STOCK[[#This Row],[Costo total]]</f>
        <v>12.5</v>
      </c>
      <c r="X1536" s="94">
        <f>STOCK[[#This Row],[Ganancia Unitaria]]*STOCK[[#This Row],[Salidas]]</f>
        <v>0</v>
      </c>
      <c r="Y1536" s="94"/>
      <c r="Z1536" s="94"/>
      <c r="AA1536" s="94">
        <f>STOCK[[#This Row],[Costo total]]*STOCK[[#This Row],[Entradas]]</f>
        <v>12.5</v>
      </c>
      <c r="AB1536" s="94">
        <f>STOCK[[#This Row],[Stock Actual]]*STOCK[[#This Row],[Costo total]]</f>
        <v>12.5</v>
      </c>
      <c r="AC1536" s="94"/>
      <c r="AD1536" s="100"/>
    </row>
    <row r="1537" s="76" customFormat="1" ht="50" hidden="1" customHeight="1" spans="1:30">
      <c r="A1537" s="76" t="s">
        <v>3055</v>
      </c>
      <c r="B1537" s="91" t="str">
        <f>_xlfn.DISPIMG("ID_7FBA60068A874CDB82993402BC5DEF69",1)</f>
        <v>=DISPIMG("ID_7FBA60068A874CDB82993402BC5DEF69",1)</v>
      </c>
      <c r="C1537" s="76" t="s">
        <v>30</v>
      </c>
      <c r="D1537" s="76" t="s">
        <v>741</v>
      </c>
      <c r="E1537" s="76" t="s">
        <v>3056</v>
      </c>
      <c r="F1537" s="76" t="s">
        <v>1532</v>
      </c>
      <c r="H1537" s="94">
        <f>STOCK[[#This Row],[Precio Final]]</f>
        <v>20</v>
      </c>
      <c r="I1537" s="98">
        <f>STOCK[[#This Row],[Precio Venta Ideal (x1.5)]]</f>
        <v>18</v>
      </c>
      <c r="J1537" s="91">
        <v>1</v>
      </c>
      <c r="K1537" s="96">
        <f>SUMIFS(VENTAS[Cantidad],VENTAS[Código del producto Vendido],STOCK[[#This Row],[Code]])</f>
        <v>0</v>
      </c>
      <c r="L1537" s="96">
        <f>STOCK[[#This Row],[Entradas]]-STOCK[[#This Row],[Salidas]]</f>
        <v>1</v>
      </c>
      <c r="M1537" s="94">
        <f>STOCK[[#This Row],[Precio Final]]*10%</f>
        <v>2</v>
      </c>
      <c r="N1537" s="77">
        <v>0</v>
      </c>
      <c r="O1537" s="94">
        <v>0</v>
      </c>
      <c r="P1537" s="76">
        <v>10</v>
      </c>
      <c r="Q1537" s="92">
        <v>0</v>
      </c>
      <c r="R1537" s="77">
        <v>0</v>
      </c>
      <c r="S1537" s="77">
        <v>0</v>
      </c>
      <c r="T1537" s="94">
        <f>STOCK[[#This Row],[Costo Unitario (USD)]]+STOCK[[#This Row],[Costo Envío (USD)]]+STOCK[[#This Row],[Comisión 10%]]</f>
        <v>12</v>
      </c>
      <c r="U1537" s="76">
        <f>STOCK[[#This Row],[Costo total]]*1.5</f>
        <v>18</v>
      </c>
      <c r="V1537" s="76">
        <v>20</v>
      </c>
      <c r="W1537" s="94">
        <f>STOCK[[#This Row],[Precio Final]]-STOCK[[#This Row],[Costo total]]</f>
        <v>8</v>
      </c>
      <c r="X1537" s="94">
        <f>STOCK[[#This Row],[Ganancia Unitaria]]*STOCK[[#This Row],[Salidas]]</f>
        <v>0</v>
      </c>
      <c r="Y1537" s="94"/>
      <c r="Z1537" s="94"/>
      <c r="AA1537" s="94">
        <f>STOCK[[#This Row],[Costo total]]*STOCK[[#This Row],[Entradas]]</f>
        <v>12</v>
      </c>
      <c r="AB1537" s="94">
        <f>STOCK[[#This Row],[Stock Actual]]*STOCK[[#This Row],[Costo total]]</f>
        <v>12</v>
      </c>
      <c r="AC1537" s="94"/>
      <c r="AD1537" s="100"/>
    </row>
    <row r="1538" s="76" customFormat="1" ht="50" customHeight="1" spans="1:30">
      <c r="A1538" s="76" t="s">
        <v>3057</v>
      </c>
      <c r="B1538" s="91" t="str">
        <f>_xlfn.DISPIMG("ID_E147D2FEB55342439B78D68CD73568BA",1)</f>
        <v>=DISPIMG("ID_E147D2FEB55342439B78D68CD73568BA",1)</v>
      </c>
      <c r="C1538" s="76" t="s">
        <v>30</v>
      </c>
      <c r="D1538" s="76" t="s">
        <v>1386</v>
      </c>
      <c r="E1538" s="76" t="s">
        <v>3058</v>
      </c>
      <c r="H1538" s="94">
        <f>STOCK[[#This Row],[Precio Final]]</f>
        <v>35</v>
      </c>
      <c r="I1538" s="98">
        <f>STOCK[[#This Row],[Precio Venta Ideal (x1.5)]]</f>
        <v>20.25</v>
      </c>
      <c r="J1538" s="91">
        <v>1</v>
      </c>
      <c r="K1538" s="96">
        <f>SUMIFS(VENTAS[Cantidad],VENTAS[Código del producto Vendido],STOCK[[#This Row],[Code]])</f>
        <v>0</v>
      </c>
      <c r="L1538" s="96">
        <f>STOCK[[#This Row],[Entradas]]-STOCK[[#This Row],[Salidas]]</f>
        <v>1</v>
      </c>
      <c r="M1538" s="94">
        <f>STOCK[[#This Row],[Precio Final]]*10%</f>
        <v>3.5</v>
      </c>
      <c r="N1538" s="76">
        <v>0</v>
      </c>
      <c r="O1538" s="94">
        <v>0</v>
      </c>
      <c r="P1538" s="76">
        <v>10</v>
      </c>
      <c r="Q1538" s="91">
        <v>0</v>
      </c>
      <c r="R1538" s="77">
        <v>0</v>
      </c>
      <c r="S1538" s="76">
        <v>0</v>
      </c>
      <c r="T1538" s="94">
        <f>STOCK[[#This Row],[Costo Unitario (USD)]]+STOCK[[#This Row],[Costo Envío (USD)]]+STOCK[[#This Row],[Comisión 10%]]</f>
        <v>13.5</v>
      </c>
      <c r="U1538" s="76">
        <f>STOCK[[#This Row],[Costo total]]*1.5</f>
        <v>20.25</v>
      </c>
      <c r="V1538" s="76">
        <v>35</v>
      </c>
      <c r="W1538" s="94">
        <f>STOCK[[#This Row],[Precio Final]]-STOCK[[#This Row],[Costo total]]</f>
        <v>21.5</v>
      </c>
      <c r="X1538" s="94">
        <f>STOCK[[#This Row],[Ganancia Unitaria]]*STOCK[[#This Row],[Salidas]]</f>
        <v>0</v>
      </c>
      <c r="Y1538" s="94"/>
      <c r="Z1538" s="94"/>
      <c r="AA1538" s="94">
        <f>STOCK[[#This Row],[Costo total]]*STOCK[[#This Row],[Entradas]]</f>
        <v>13.5</v>
      </c>
      <c r="AB1538" s="94">
        <f>STOCK[[#This Row],[Stock Actual]]*STOCK[[#This Row],[Costo total]]</f>
        <v>13.5</v>
      </c>
      <c r="AC1538" s="94"/>
      <c r="AD1538" s="100"/>
    </row>
    <row r="1539" s="76" customFormat="1" ht="50" customHeight="1" spans="1:30">
      <c r="A1539" s="76" t="s">
        <v>3059</v>
      </c>
      <c r="B1539" s="91" t="str">
        <f>_xlfn.DISPIMG("ID_331F02D25F0A44B3BA958E8D17162AD4",1)</f>
        <v>=DISPIMG("ID_331F02D25F0A44B3BA958E8D17162AD4",1)</v>
      </c>
      <c r="C1539" s="76" t="s">
        <v>30</v>
      </c>
      <c r="D1539" s="76" t="s">
        <v>1386</v>
      </c>
      <c r="E1539" s="76" t="s">
        <v>3060</v>
      </c>
      <c r="F1539" s="76" t="s">
        <v>60</v>
      </c>
      <c r="H1539" s="94">
        <f>STOCK[[#This Row],[Precio Final]]</f>
        <v>30</v>
      </c>
      <c r="I1539" s="98">
        <f>STOCK[[#This Row],[Precio Venta Ideal (x1.5)]]</f>
        <v>19.5</v>
      </c>
      <c r="J1539" s="91">
        <v>1</v>
      </c>
      <c r="K1539" s="96">
        <f>SUMIFS(VENTAS[Cantidad],VENTAS[Código del producto Vendido],STOCK[[#This Row],[Code]])</f>
        <v>0</v>
      </c>
      <c r="L1539" s="96">
        <f>STOCK[[#This Row],[Entradas]]-STOCK[[#This Row],[Salidas]]</f>
        <v>1</v>
      </c>
      <c r="M1539" s="94">
        <f>STOCK[[#This Row],[Precio Final]]*10%</f>
        <v>3</v>
      </c>
      <c r="N1539" s="101">
        <v>0</v>
      </c>
      <c r="O1539" s="94">
        <v>0</v>
      </c>
      <c r="P1539" s="76">
        <v>10</v>
      </c>
      <c r="Q1539" s="91">
        <v>0</v>
      </c>
      <c r="R1539" s="101">
        <v>0</v>
      </c>
      <c r="S1539" s="101">
        <v>0</v>
      </c>
      <c r="T1539" s="94">
        <f>STOCK[[#This Row],[Costo Unitario (USD)]]+STOCK[[#This Row],[Costo Envío (USD)]]+STOCK[[#This Row],[Comisión 10%]]</f>
        <v>13</v>
      </c>
      <c r="U1539" s="76">
        <f>STOCK[[#This Row],[Costo total]]*1.5</f>
        <v>19.5</v>
      </c>
      <c r="V1539" s="76">
        <v>30</v>
      </c>
      <c r="W1539" s="94">
        <f>STOCK[[#This Row],[Precio Final]]-STOCK[[#This Row],[Costo total]]</f>
        <v>17</v>
      </c>
      <c r="X1539" s="94">
        <f>STOCK[[#This Row],[Ganancia Unitaria]]*STOCK[[#This Row],[Salidas]]</f>
        <v>0</v>
      </c>
      <c r="Y1539" s="94"/>
      <c r="Z1539" s="94"/>
      <c r="AA1539" s="94">
        <f>STOCK[[#This Row],[Costo total]]*STOCK[[#This Row],[Entradas]]</f>
        <v>13</v>
      </c>
      <c r="AB1539" s="94">
        <f>STOCK[[#This Row],[Stock Actual]]*STOCK[[#This Row],[Costo total]]</f>
        <v>13</v>
      </c>
      <c r="AC1539" s="94"/>
      <c r="AD1539" s="100"/>
    </row>
    <row r="1540" s="76" customFormat="1" ht="50" customHeight="1" spans="1:30">
      <c r="A1540" s="76" t="s">
        <v>3061</v>
      </c>
      <c r="B1540" s="91" t="str">
        <f>_xlfn.DISPIMG("ID_C8E00973D2C44AA99B70C7D6EAFA12E9",1)</f>
        <v>=DISPIMG("ID_C8E00973D2C44AA99B70C7D6EAFA12E9",1)</v>
      </c>
      <c r="C1540" s="76" t="s">
        <v>30</v>
      </c>
      <c r="D1540" s="76" t="s">
        <v>1386</v>
      </c>
      <c r="E1540" s="76" t="s">
        <v>3062</v>
      </c>
      <c r="F1540" s="76" t="s">
        <v>44</v>
      </c>
      <c r="H1540" s="94">
        <f>STOCK[[#This Row],[Precio Final]]</f>
        <v>30</v>
      </c>
      <c r="I1540" s="98">
        <f>STOCK[[#This Row],[Precio Venta Ideal (x1.5)]]</f>
        <v>22.5</v>
      </c>
      <c r="J1540" s="91">
        <v>1</v>
      </c>
      <c r="K1540" s="96">
        <f>SUMIFS(VENTAS[Cantidad],VENTAS[Código del producto Vendido],STOCK[[#This Row],[Code]])</f>
        <v>0</v>
      </c>
      <c r="L1540" s="96">
        <f>STOCK[[#This Row],[Entradas]]-STOCK[[#This Row],[Salidas]]</f>
        <v>1</v>
      </c>
      <c r="M1540" s="94">
        <f>STOCK[[#This Row],[Precio Final]]*10%</f>
        <v>3</v>
      </c>
      <c r="N1540" s="77">
        <v>0</v>
      </c>
      <c r="O1540" s="94">
        <v>0</v>
      </c>
      <c r="P1540" s="76">
        <v>12</v>
      </c>
      <c r="Q1540" s="91">
        <v>0</v>
      </c>
      <c r="R1540" s="76">
        <v>0</v>
      </c>
      <c r="S1540" s="77">
        <v>0</v>
      </c>
      <c r="T1540" s="94">
        <f>STOCK[[#This Row],[Costo Unitario (USD)]]+STOCK[[#This Row],[Costo Envío (USD)]]+STOCK[[#This Row],[Comisión 10%]]</f>
        <v>15</v>
      </c>
      <c r="U1540" s="76">
        <f>STOCK[[#This Row],[Costo total]]*1.5</f>
        <v>22.5</v>
      </c>
      <c r="V1540" s="76">
        <v>30</v>
      </c>
      <c r="W1540" s="94">
        <f>STOCK[[#This Row],[Precio Final]]-STOCK[[#This Row],[Costo total]]</f>
        <v>15</v>
      </c>
      <c r="X1540" s="94">
        <f>STOCK[[#This Row],[Ganancia Unitaria]]*STOCK[[#This Row],[Salidas]]</f>
        <v>0</v>
      </c>
      <c r="Y1540" s="94"/>
      <c r="Z1540" s="94"/>
      <c r="AA1540" s="94">
        <f>STOCK[[#This Row],[Costo total]]*STOCK[[#This Row],[Entradas]]</f>
        <v>15</v>
      </c>
      <c r="AB1540" s="94">
        <f>STOCK[[#This Row],[Stock Actual]]*STOCK[[#This Row],[Costo total]]</f>
        <v>15</v>
      </c>
      <c r="AC1540" s="94"/>
      <c r="AD1540" s="100"/>
    </row>
    <row r="1541" s="76" customFormat="1" ht="50" customHeight="1" spans="1:30">
      <c r="A1541" s="76" t="s">
        <v>3063</v>
      </c>
      <c r="B1541" s="76" t="s">
        <v>1343</v>
      </c>
      <c r="C1541" s="76" t="s">
        <v>30</v>
      </c>
      <c r="D1541" s="76" t="s">
        <v>1386</v>
      </c>
      <c r="E1541" s="76" t="s">
        <v>3064</v>
      </c>
      <c r="F1541" s="76" t="s">
        <v>44</v>
      </c>
      <c r="G1541" s="76" t="s">
        <v>60</v>
      </c>
      <c r="H1541" s="94">
        <f>STOCK[[#This Row],[Precio Final]]</f>
        <v>35</v>
      </c>
      <c r="I1541" s="98">
        <f>STOCK[[#This Row],[Precio Venta Ideal (x1.5)]]</f>
        <v>20.25</v>
      </c>
      <c r="J1541" s="91">
        <v>1</v>
      </c>
      <c r="K1541" s="96">
        <f>SUMIFS(VENTAS[Cantidad],VENTAS[Código del producto Vendido],STOCK[[#This Row],[Code]])</f>
        <v>1</v>
      </c>
      <c r="L1541" s="96">
        <f>STOCK[[#This Row],[Entradas]]-STOCK[[#This Row],[Salidas]]</f>
        <v>0</v>
      </c>
      <c r="M1541" s="94">
        <f>STOCK[[#This Row],[Precio Final]]*10%</f>
        <v>3.5</v>
      </c>
      <c r="N1541" s="76">
        <v>0</v>
      </c>
      <c r="O1541" s="94">
        <v>0</v>
      </c>
      <c r="P1541" s="76">
        <v>10</v>
      </c>
      <c r="Q1541" s="92">
        <v>0</v>
      </c>
      <c r="R1541" s="77">
        <v>0</v>
      </c>
      <c r="S1541" s="77">
        <v>0</v>
      </c>
      <c r="T1541" s="94">
        <f>STOCK[[#This Row],[Costo Unitario (USD)]]+STOCK[[#This Row],[Costo Envío (USD)]]+STOCK[[#This Row],[Comisión 10%]]</f>
        <v>13.5</v>
      </c>
      <c r="U1541" s="76">
        <f>STOCK[[#This Row],[Costo total]]*1.5</f>
        <v>20.25</v>
      </c>
      <c r="V1541" s="76">
        <v>35</v>
      </c>
      <c r="W1541" s="94">
        <f>STOCK[[#This Row],[Precio Final]]-STOCK[[#This Row],[Costo total]]</f>
        <v>21.5</v>
      </c>
      <c r="X1541" s="94">
        <f>STOCK[[#This Row],[Ganancia Unitaria]]*STOCK[[#This Row],[Salidas]]</f>
        <v>21.5</v>
      </c>
      <c r="Y1541" s="94"/>
      <c r="Z1541" s="94"/>
      <c r="AA1541" s="94">
        <f>STOCK[[#This Row],[Costo total]]*STOCK[[#This Row],[Entradas]]</f>
        <v>13.5</v>
      </c>
      <c r="AB1541" s="94">
        <f>STOCK[[#This Row],[Stock Actual]]*STOCK[[#This Row],[Costo total]]</f>
        <v>0</v>
      </c>
      <c r="AC1541" s="94"/>
      <c r="AD1541" s="100"/>
    </row>
    <row r="1542" s="76" customFormat="1" ht="50" customHeight="1" spans="1:30">
      <c r="A1542" s="76" t="s">
        <v>3065</v>
      </c>
      <c r="B1542" s="91" t="str">
        <f>_xlfn.DISPIMG("ID_061452DA8F694CDB87AE347AEBFE0C0A",1)</f>
        <v>=DISPIMG("ID_061452DA8F694CDB87AE347AEBFE0C0A",1)</v>
      </c>
      <c r="C1542" s="76" t="s">
        <v>30</v>
      </c>
      <c r="D1542" s="76" t="s">
        <v>1386</v>
      </c>
      <c r="E1542" s="76" t="s">
        <v>3066</v>
      </c>
      <c r="F1542" s="76" t="s">
        <v>47</v>
      </c>
      <c r="H1542" s="94">
        <f>STOCK[[#This Row],[Precio Final]]</f>
        <v>30</v>
      </c>
      <c r="I1542" s="98">
        <f>STOCK[[#This Row],[Precio Venta Ideal (x1.5)]]</f>
        <v>22.5</v>
      </c>
      <c r="J1542" s="91">
        <v>1</v>
      </c>
      <c r="K1542" s="96">
        <f>SUMIFS(VENTAS[Cantidad],VENTAS[Código del producto Vendido],STOCK[[#This Row],[Code]])</f>
        <v>0</v>
      </c>
      <c r="L1542" s="96">
        <f>STOCK[[#This Row],[Entradas]]-STOCK[[#This Row],[Salidas]]</f>
        <v>1</v>
      </c>
      <c r="M1542" s="94">
        <f>STOCK[[#This Row],[Precio Final]]*10%</f>
        <v>3</v>
      </c>
      <c r="N1542" s="77">
        <v>0</v>
      </c>
      <c r="O1542" s="94">
        <v>0</v>
      </c>
      <c r="P1542" s="76">
        <v>12</v>
      </c>
      <c r="Q1542" s="91">
        <v>0</v>
      </c>
      <c r="R1542" s="76">
        <v>0</v>
      </c>
      <c r="S1542" s="76">
        <v>0</v>
      </c>
      <c r="T1542" s="94">
        <f>STOCK[[#This Row],[Costo Unitario (USD)]]+STOCK[[#This Row],[Costo Envío (USD)]]+STOCK[[#This Row],[Comisión 10%]]</f>
        <v>15</v>
      </c>
      <c r="U1542" s="76">
        <f>STOCK[[#This Row],[Costo total]]*1.5</f>
        <v>22.5</v>
      </c>
      <c r="V1542" s="76">
        <v>30</v>
      </c>
      <c r="W1542" s="94">
        <f>STOCK[[#This Row],[Precio Final]]-STOCK[[#This Row],[Costo total]]</f>
        <v>15</v>
      </c>
      <c r="X1542" s="94">
        <f>STOCK[[#This Row],[Ganancia Unitaria]]*STOCK[[#This Row],[Salidas]]</f>
        <v>0</v>
      </c>
      <c r="Y1542" s="94"/>
      <c r="Z1542" s="94"/>
      <c r="AA1542" s="94">
        <f>STOCK[[#This Row],[Costo total]]*STOCK[[#This Row],[Entradas]]</f>
        <v>15</v>
      </c>
      <c r="AB1542" s="94">
        <f>STOCK[[#This Row],[Stock Actual]]*STOCK[[#This Row],[Costo total]]</f>
        <v>15</v>
      </c>
      <c r="AC1542" s="94"/>
      <c r="AD1542" s="100"/>
    </row>
    <row r="1543" s="76" customFormat="1" ht="50" customHeight="1" spans="1:30">
      <c r="A1543" s="76" t="s">
        <v>3067</v>
      </c>
      <c r="B1543" s="91" t="str">
        <f>_xlfn.DISPIMG("ID_236FDEE0D44C44AE9993C59484124512",1)</f>
        <v>=DISPIMG("ID_236FDEE0D44C44AE9993C59484124512",1)</v>
      </c>
      <c r="C1543" s="76" t="s">
        <v>30</v>
      </c>
      <c r="D1543" s="76" t="s">
        <v>1386</v>
      </c>
      <c r="E1543" s="76" t="s">
        <v>3068</v>
      </c>
      <c r="F1543" s="76" t="s">
        <v>47</v>
      </c>
      <c r="H1543" s="94">
        <f>STOCK[[#This Row],[Precio Final]]</f>
        <v>30</v>
      </c>
      <c r="I1543" s="98">
        <f>STOCK[[#This Row],[Precio Venta Ideal (x1.5)]]</f>
        <v>22.5</v>
      </c>
      <c r="J1543" s="91">
        <v>2</v>
      </c>
      <c r="K1543" s="96">
        <f>SUMIFS(VENTAS[Cantidad],VENTAS[Código del producto Vendido],STOCK[[#This Row],[Code]])</f>
        <v>0</v>
      </c>
      <c r="L1543" s="96">
        <f>STOCK[[#This Row],[Entradas]]-STOCK[[#This Row],[Salidas]]</f>
        <v>2</v>
      </c>
      <c r="M1543" s="94">
        <f>STOCK[[#This Row],[Precio Final]]*10%</f>
        <v>3</v>
      </c>
      <c r="N1543" s="77">
        <v>0</v>
      </c>
      <c r="O1543" s="94">
        <v>0</v>
      </c>
      <c r="P1543" s="76">
        <v>12</v>
      </c>
      <c r="Q1543" s="91">
        <v>0</v>
      </c>
      <c r="R1543" s="77">
        <v>0</v>
      </c>
      <c r="S1543" s="77">
        <v>0</v>
      </c>
      <c r="T1543" s="94">
        <f>STOCK[[#This Row],[Costo Unitario (USD)]]+STOCK[[#This Row],[Costo Envío (USD)]]+STOCK[[#This Row],[Comisión 10%]]</f>
        <v>15</v>
      </c>
      <c r="U1543" s="76">
        <f>STOCK[[#This Row],[Costo total]]*1.5</f>
        <v>22.5</v>
      </c>
      <c r="V1543" s="76">
        <v>30</v>
      </c>
      <c r="W1543" s="94">
        <f>STOCK[[#This Row],[Precio Final]]-STOCK[[#This Row],[Costo total]]</f>
        <v>15</v>
      </c>
      <c r="X1543" s="94">
        <f>STOCK[[#This Row],[Ganancia Unitaria]]*STOCK[[#This Row],[Salidas]]</f>
        <v>0</v>
      </c>
      <c r="Y1543" s="94"/>
      <c r="Z1543" s="94"/>
      <c r="AA1543" s="94">
        <f>STOCK[[#This Row],[Costo total]]*STOCK[[#This Row],[Entradas]]</f>
        <v>30</v>
      </c>
      <c r="AB1543" s="94">
        <f>STOCK[[#This Row],[Stock Actual]]*STOCK[[#This Row],[Costo total]]</f>
        <v>30</v>
      </c>
      <c r="AC1543" s="94"/>
      <c r="AD1543" s="100"/>
    </row>
    <row r="1544" s="76" customFormat="1" ht="50" hidden="1" customHeight="1" spans="2:30">
      <c r="B1544" s="91"/>
      <c r="C1544" s="76"/>
      <c r="D1544" s="76"/>
      <c r="E1544" s="76"/>
      <c r="H1544" s="94"/>
      <c r="I1544" s="98"/>
      <c r="J1544" s="91"/>
      <c r="K1544" s="96"/>
      <c r="L1544" s="96"/>
      <c r="M1544" s="94"/>
      <c r="N1544" s="76"/>
      <c r="O1544" s="94"/>
      <c r="P1544" s="76"/>
      <c r="Q1544" s="92"/>
      <c r="R1544" s="76"/>
      <c r="S1544" s="77"/>
      <c r="T1544" s="94"/>
      <c r="U1544" s="76"/>
      <c r="V1544" s="76"/>
      <c r="W1544" s="94"/>
      <c r="X1544" s="94"/>
      <c r="Y1544" s="94"/>
      <c r="Z1544" s="94"/>
      <c r="AA1544" s="94"/>
      <c r="AB1544" s="94"/>
      <c r="AC1544" s="94"/>
      <c r="AD1544" s="100"/>
    </row>
    <row r="1545" s="76" customFormat="1" ht="50" customHeight="1" spans="1:30">
      <c r="A1545" s="76" t="s">
        <v>3069</v>
      </c>
      <c r="B1545" s="76" t="s">
        <v>1343</v>
      </c>
      <c r="C1545" s="76" t="s">
        <v>30</v>
      </c>
      <c r="D1545" s="76" t="s">
        <v>1386</v>
      </c>
      <c r="E1545" s="76" t="s">
        <v>3070</v>
      </c>
      <c r="F1545" s="76" t="s">
        <v>47</v>
      </c>
      <c r="H1545" s="94">
        <f>STOCK[[#This Row],[Precio Final]]</f>
        <v>35</v>
      </c>
      <c r="I1545" s="98">
        <f>STOCK[[#This Row],[Precio Venta Ideal (x1.5)]]</f>
        <v>20.25</v>
      </c>
      <c r="J1545" s="91">
        <v>1</v>
      </c>
      <c r="K1545" s="96">
        <f>SUMIFS(VENTAS[Cantidad],VENTAS[Código del producto Vendido],STOCK[[#This Row],[Code]])</f>
        <v>0</v>
      </c>
      <c r="L1545" s="96">
        <f>STOCK[[#This Row],[Entradas]]-STOCK[[#This Row],[Salidas]]</f>
        <v>1</v>
      </c>
      <c r="M1545" s="94">
        <f>STOCK[[#This Row],[Precio Final]]*10%</f>
        <v>3.5</v>
      </c>
      <c r="N1545" s="77">
        <v>0</v>
      </c>
      <c r="O1545" s="94">
        <v>0</v>
      </c>
      <c r="P1545" s="76">
        <v>10</v>
      </c>
      <c r="Q1545" s="91">
        <v>0</v>
      </c>
      <c r="R1545" s="77">
        <v>0</v>
      </c>
      <c r="S1545" s="76">
        <v>0</v>
      </c>
      <c r="T1545" s="94">
        <f>STOCK[[#This Row],[Costo Unitario (USD)]]+STOCK[[#This Row],[Costo Envío (USD)]]+STOCK[[#This Row],[Comisión 10%]]</f>
        <v>13.5</v>
      </c>
      <c r="U1545" s="76">
        <f>STOCK[[#This Row],[Costo total]]*1.5</f>
        <v>20.25</v>
      </c>
      <c r="V1545" s="76">
        <v>35</v>
      </c>
      <c r="W1545" s="94">
        <f>STOCK[[#This Row],[Precio Final]]-STOCK[[#This Row],[Costo total]]</f>
        <v>21.5</v>
      </c>
      <c r="X1545" s="94">
        <f>STOCK[[#This Row],[Ganancia Unitaria]]*STOCK[[#This Row],[Salidas]]</f>
        <v>0</v>
      </c>
      <c r="Y1545" s="94"/>
      <c r="Z1545" s="94"/>
      <c r="AA1545" s="94">
        <f>STOCK[[#This Row],[Costo total]]*STOCK[[#This Row],[Entradas]]</f>
        <v>13.5</v>
      </c>
      <c r="AB1545" s="94">
        <f>STOCK[[#This Row],[Stock Actual]]*STOCK[[#This Row],[Costo total]]</f>
        <v>13.5</v>
      </c>
      <c r="AC1545" s="94"/>
      <c r="AD1545" s="100"/>
    </row>
    <row r="1546" s="76" customFormat="1" ht="50" customHeight="1" spans="1:30">
      <c r="A1546" s="76" t="s">
        <v>3071</v>
      </c>
      <c r="B1546" s="76" t="s">
        <v>1343</v>
      </c>
      <c r="C1546" s="76" t="s">
        <v>30</v>
      </c>
      <c r="D1546" s="76" t="s">
        <v>1386</v>
      </c>
      <c r="E1546" s="76" t="s">
        <v>3072</v>
      </c>
      <c r="F1546" s="76" t="s">
        <v>90</v>
      </c>
      <c r="H1546" s="94">
        <f>STOCK[[#This Row],[Precio Final]]</f>
        <v>30</v>
      </c>
      <c r="I1546" s="98">
        <f>STOCK[[#This Row],[Precio Venta Ideal (x1.5)]]</f>
        <v>22.5</v>
      </c>
      <c r="J1546" s="91">
        <v>1</v>
      </c>
      <c r="K1546" s="96">
        <f>SUMIFS(VENTAS[Cantidad],VENTAS[Código del producto Vendido],STOCK[[#This Row],[Code]])</f>
        <v>0</v>
      </c>
      <c r="L1546" s="96">
        <f>STOCK[[#This Row],[Entradas]]-STOCK[[#This Row],[Salidas]]</f>
        <v>1</v>
      </c>
      <c r="M1546" s="94">
        <f>STOCK[[#This Row],[Precio Final]]*10%</f>
        <v>3</v>
      </c>
      <c r="N1546" s="76">
        <v>0</v>
      </c>
      <c r="O1546" s="94">
        <v>0</v>
      </c>
      <c r="P1546" s="76">
        <v>12</v>
      </c>
      <c r="Q1546" s="91">
        <v>0</v>
      </c>
      <c r="R1546" s="76">
        <v>0</v>
      </c>
      <c r="S1546" s="77">
        <v>0</v>
      </c>
      <c r="T1546" s="94">
        <f>STOCK[[#This Row],[Costo Unitario (USD)]]+STOCK[[#This Row],[Costo Envío (USD)]]+STOCK[[#This Row],[Comisión 10%]]</f>
        <v>15</v>
      </c>
      <c r="U1546" s="76">
        <f>STOCK[[#This Row],[Costo total]]*1.5</f>
        <v>22.5</v>
      </c>
      <c r="V1546" s="76">
        <v>30</v>
      </c>
      <c r="W1546" s="94">
        <f>STOCK[[#This Row],[Precio Final]]-STOCK[[#This Row],[Costo total]]</f>
        <v>15</v>
      </c>
      <c r="X1546" s="94">
        <f>STOCK[[#This Row],[Ganancia Unitaria]]*STOCK[[#This Row],[Salidas]]</f>
        <v>0</v>
      </c>
      <c r="Y1546" s="94"/>
      <c r="Z1546" s="94"/>
      <c r="AA1546" s="94">
        <f>STOCK[[#This Row],[Costo total]]*STOCK[[#This Row],[Entradas]]</f>
        <v>15</v>
      </c>
      <c r="AB1546" s="94">
        <f>STOCK[[#This Row],[Stock Actual]]*STOCK[[#This Row],[Costo total]]</f>
        <v>15</v>
      </c>
      <c r="AC1546" s="94"/>
      <c r="AD1546" s="100"/>
    </row>
    <row r="1547" s="76" customFormat="1" ht="50" hidden="1" customHeight="1" spans="1:30">
      <c r="A1547" s="76" t="s">
        <v>3073</v>
      </c>
      <c r="B1547" s="91" t="str">
        <f>_xlfn.DISPIMG("ID_08DEA944CCB84E22963C11C45A954510",1)</f>
        <v>=DISPIMG("ID_08DEA944CCB84E22963C11C45A954510",1)</v>
      </c>
      <c r="C1547" s="76" t="s">
        <v>30</v>
      </c>
      <c r="D1547" s="76" t="s">
        <v>3074</v>
      </c>
      <c r="E1547" s="76" t="s">
        <v>3075</v>
      </c>
      <c r="H1547" s="94">
        <f>STOCK[[#This Row],[Precio Final]]</f>
        <v>30</v>
      </c>
      <c r="I1547" s="98">
        <f>STOCK[[#This Row],[Precio Venta Ideal (x1.5)]]</f>
        <v>16.5</v>
      </c>
      <c r="J1547" s="91">
        <v>1</v>
      </c>
      <c r="K1547" s="96">
        <f>SUMIFS(VENTAS[Cantidad],VENTAS[Código del producto Vendido],STOCK[[#This Row],[Code]])</f>
        <v>0</v>
      </c>
      <c r="L1547" s="96">
        <f>STOCK[[#This Row],[Entradas]]-STOCK[[#This Row],[Salidas]]</f>
        <v>1</v>
      </c>
      <c r="M1547" s="94">
        <f>STOCK[[#This Row],[Precio Final]]*10%</f>
        <v>3</v>
      </c>
      <c r="N1547" s="77">
        <v>0</v>
      </c>
      <c r="O1547" s="94">
        <v>0</v>
      </c>
      <c r="P1547" s="76">
        <v>8</v>
      </c>
      <c r="Q1547" s="91">
        <v>0</v>
      </c>
      <c r="R1547" s="76">
        <v>0</v>
      </c>
      <c r="S1547" s="76">
        <v>0</v>
      </c>
      <c r="T1547" s="94">
        <f>STOCK[[#This Row],[Costo Unitario (USD)]]+STOCK[[#This Row],[Costo Envío (USD)]]+STOCK[[#This Row],[Comisión 10%]]</f>
        <v>11</v>
      </c>
      <c r="U1547" s="76">
        <f>STOCK[[#This Row],[Costo total]]*1.5</f>
        <v>16.5</v>
      </c>
      <c r="V1547" s="76">
        <v>30</v>
      </c>
      <c r="W1547" s="94">
        <f>STOCK[[#This Row],[Precio Final]]-STOCK[[#This Row],[Costo total]]</f>
        <v>19</v>
      </c>
      <c r="X1547" s="94">
        <f>STOCK[[#This Row],[Ganancia Unitaria]]*STOCK[[#This Row],[Salidas]]</f>
        <v>0</v>
      </c>
      <c r="Y1547" s="94"/>
      <c r="Z1547" s="94"/>
      <c r="AA1547" s="94">
        <f>STOCK[[#This Row],[Costo total]]*STOCK[[#This Row],[Entradas]]</f>
        <v>11</v>
      </c>
      <c r="AB1547" s="94">
        <f>STOCK[[#This Row],[Stock Actual]]*STOCK[[#This Row],[Costo total]]</f>
        <v>11</v>
      </c>
      <c r="AC1547" s="94"/>
      <c r="AD1547" s="100"/>
    </row>
    <row r="1548" s="76" customFormat="1" ht="50" hidden="1" customHeight="1" spans="1:30">
      <c r="A1548" s="76" t="s">
        <v>3076</v>
      </c>
      <c r="B1548" s="91" t="str">
        <f>_xlfn.DISPIMG("ID_A91DFB2CBB434112A64908E008E8E85E",1)</f>
        <v>=DISPIMG("ID_A91DFB2CBB434112A64908E008E8E85E",1)</v>
      </c>
      <c r="C1548" s="76" t="s">
        <v>30</v>
      </c>
      <c r="D1548" s="76" t="s">
        <v>3074</v>
      </c>
      <c r="E1548" s="76" t="s">
        <v>3077</v>
      </c>
      <c r="H1548" s="94">
        <f>STOCK[[#This Row],[Precio Final]]</f>
        <v>35</v>
      </c>
      <c r="I1548" s="98">
        <f>STOCK[[#This Row],[Precio Venta Ideal (x1.5)]]</f>
        <v>17.25</v>
      </c>
      <c r="J1548" s="91">
        <v>1</v>
      </c>
      <c r="K1548" s="96">
        <f>SUMIFS(VENTAS[Cantidad],VENTAS[Código del producto Vendido],STOCK[[#This Row],[Code]])</f>
        <v>0</v>
      </c>
      <c r="L1548" s="96">
        <f>STOCK[[#This Row],[Entradas]]-STOCK[[#This Row],[Salidas]]</f>
        <v>1</v>
      </c>
      <c r="M1548" s="94">
        <f>STOCK[[#This Row],[Precio Final]]*10%</f>
        <v>3.5</v>
      </c>
      <c r="N1548" s="76">
        <v>0</v>
      </c>
      <c r="O1548" s="94">
        <v>0</v>
      </c>
      <c r="P1548" s="76">
        <v>8</v>
      </c>
      <c r="Q1548" s="91">
        <v>0</v>
      </c>
      <c r="R1548" s="77">
        <v>0</v>
      </c>
      <c r="S1548" s="77">
        <v>0</v>
      </c>
      <c r="T1548" s="94">
        <f>STOCK[[#This Row],[Costo Unitario (USD)]]+STOCK[[#This Row],[Costo Envío (USD)]]+STOCK[[#This Row],[Comisión 10%]]</f>
        <v>11.5</v>
      </c>
      <c r="U1548" s="76">
        <f>STOCK[[#This Row],[Costo total]]*1.5</f>
        <v>17.25</v>
      </c>
      <c r="V1548" s="76">
        <v>35</v>
      </c>
      <c r="W1548" s="94">
        <f>STOCK[[#This Row],[Precio Final]]-STOCK[[#This Row],[Costo total]]</f>
        <v>23.5</v>
      </c>
      <c r="X1548" s="94">
        <f>STOCK[[#This Row],[Ganancia Unitaria]]*STOCK[[#This Row],[Salidas]]</f>
        <v>0</v>
      </c>
      <c r="Y1548" s="94"/>
      <c r="Z1548" s="94"/>
      <c r="AA1548" s="94">
        <f>STOCK[[#This Row],[Costo total]]*STOCK[[#This Row],[Entradas]]</f>
        <v>11.5</v>
      </c>
      <c r="AB1548" s="94">
        <f>STOCK[[#This Row],[Stock Actual]]*STOCK[[#This Row],[Costo total]]</f>
        <v>11.5</v>
      </c>
      <c r="AC1548" s="94"/>
      <c r="AD1548" s="100"/>
    </row>
    <row r="1549" s="76" customFormat="1" ht="50" hidden="1" customHeight="1" spans="1:30">
      <c r="A1549" s="76" t="s">
        <v>3078</v>
      </c>
      <c r="B1549" s="91" t="str">
        <f>_xlfn.DISPIMG("ID_C05C05881E274DF5803BEC4F6C227727",1)</f>
        <v>=DISPIMG("ID_C05C05881E274DF5803BEC4F6C227727",1)</v>
      </c>
      <c r="C1549" s="76" t="s">
        <v>30</v>
      </c>
      <c r="D1549" s="76" t="s">
        <v>3074</v>
      </c>
      <c r="E1549" s="76" t="s">
        <v>3079</v>
      </c>
      <c r="H1549" s="94">
        <f>STOCK[[#This Row],[Precio Final]]</f>
        <v>30</v>
      </c>
      <c r="I1549" s="98">
        <f>STOCK[[#This Row],[Precio Venta Ideal (x1.5)]]</f>
        <v>16.5</v>
      </c>
      <c r="J1549" s="91">
        <v>1</v>
      </c>
      <c r="K1549" s="96">
        <f>SUMIFS(VENTAS[Cantidad],VENTAS[Código del producto Vendido],STOCK[[#This Row],[Code]])</f>
        <v>0</v>
      </c>
      <c r="L1549" s="96">
        <f>STOCK[[#This Row],[Entradas]]-STOCK[[#This Row],[Salidas]]</f>
        <v>1</v>
      </c>
      <c r="M1549" s="94">
        <f>STOCK[[#This Row],[Precio Final]]*10%</f>
        <v>3</v>
      </c>
      <c r="N1549" s="77">
        <v>0</v>
      </c>
      <c r="O1549" s="94">
        <v>0</v>
      </c>
      <c r="P1549" s="76">
        <v>8</v>
      </c>
      <c r="Q1549" s="92">
        <v>0</v>
      </c>
      <c r="R1549" s="76">
        <v>0</v>
      </c>
      <c r="S1549" s="77">
        <v>0</v>
      </c>
      <c r="T1549" s="94">
        <f>STOCK[[#This Row],[Costo Unitario (USD)]]+STOCK[[#This Row],[Costo Envío (USD)]]+STOCK[[#This Row],[Comisión 10%]]</f>
        <v>11</v>
      </c>
      <c r="U1549" s="76">
        <f>STOCK[[#This Row],[Costo total]]*1.5</f>
        <v>16.5</v>
      </c>
      <c r="V1549" s="76">
        <v>30</v>
      </c>
      <c r="W1549" s="94">
        <f>STOCK[[#This Row],[Precio Final]]-STOCK[[#This Row],[Costo total]]</f>
        <v>19</v>
      </c>
      <c r="X1549" s="94">
        <f>STOCK[[#This Row],[Ganancia Unitaria]]*STOCK[[#This Row],[Salidas]]</f>
        <v>0</v>
      </c>
      <c r="Y1549" s="94"/>
      <c r="Z1549" s="94"/>
      <c r="AA1549" s="94">
        <f>STOCK[[#This Row],[Costo total]]*STOCK[[#This Row],[Entradas]]</f>
        <v>11</v>
      </c>
      <c r="AB1549" s="94">
        <f>STOCK[[#This Row],[Stock Actual]]*STOCK[[#This Row],[Costo total]]</f>
        <v>11</v>
      </c>
      <c r="AC1549" s="94"/>
      <c r="AD1549" s="100"/>
    </row>
    <row r="1550" s="76" customFormat="1" ht="50" hidden="1" customHeight="1" spans="1:30">
      <c r="A1550" s="76" t="s">
        <v>3080</v>
      </c>
      <c r="B1550" s="91" t="str">
        <f>_xlfn.DISPIMG("ID_6C1C0962176A4D4BB45C4944FB24CA50",1)</f>
        <v>=DISPIMG("ID_6C1C0962176A4D4BB45C4944FB24CA50",1)</v>
      </c>
      <c r="C1550" s="76" t="s">
        <v>30</v>
      </c>
      <c r="D1550" s="76" t="s">
        <v>3074</v>
      </c>
      <c r="E1550" s="76" t="s">
        <v>3081</v>
      </c>
      <c r="F1550" s="76" t="s">
        <v>60</v>
      </c>
      <c r="H1550" s="94">
        <f>STOCK[[#This Row],[Precio Final]]</f>
        <v>20</v>
      </c>
      <c r="I1550" s="98">
        <f>STOCK[[#This Row],[Precio Venta Ideal (x1.5)]]</f>
        <v>15</v>
      </c>
      <c r="J1550" s="91">
        <v>1</v>
      </c>
      <c r="K1550" s="96">
        <f>SUMIFS(VENTAS[Cantidad],VENTAS[Código del producto Vendido],STOCK[[#This Row],[Code]])</f>
        <v>0</v>
      </c>
      <c r="L1550" s="96">
        <f>STOCK[[#This Row],[Entradas]]-STOCK[[#This Row],[Salidas]]</f>
        <v>1</v>
      </c>
      <c r="M1550" s="94">
        <f>STOCK[[#This Row],[Precio Final]]*10%</f>
        <v>2</v>
      </c>
      <c r="N1550" s="76">
        <v>0</v>
      </c>
      <c r="O1550" s="94">
        <v>0</v>
      </c>
      <c r="P1550" s="76">
        <v>8</v>
      </c>
      <c r="Q1550" s="91">
        <v>0</v>
      </c>
      <c r="R1550" s="77">
        <v>0</v>
      </c>
      <c r="S1550" s="76">
        <v>0</v>
      </c>
      <c r="T1550" s="94">
        <f>STOCK[[#This Row],[Costo Unitario (USD)]]+STOCK[[#This Row],[Costo Envío (USD)]]+STOCK[[#This Row],[Comisión 10%]]</f>
        <v>10</v>
      </c>
      <c r="U1550" s="76">
        <f>STOCK[[#This Row],[Costo total]]*1.5</f>
        <v>15</v>
      </c>
      <c r="V1550" s="76">
        <v>20</v>
      </c>
      <c r="W1550" s="94">
        <f>STOCK[[#This Row],[Precio Final]]-STOCK[[#This Row],[Costo total]]</f>
        <v>10</v>
      </c>
      <c r="X1550" s="94">
        <f>STOCK[[#This Row],[Ganancia Unitaria]]*STOCK[[#This Row],[Salidas]]</f>
        <v>0</v>
      </c>
      <c r="Y1550" s="94"/>
      <c r="Z1550" s="94"/>
      <c r="AA1550" s="94">
        <f>STOCK[[#This Row],[Costo total]]*STOCK[[#This Row],[Entradas]]</f>
        <v>10</v>
      </c>
      <c r="AB1550" s="94">
        <f>STOCK[[#This Row],[Stock Actual]]*STOCK[[#This Row],[Costo total]]</f>
        <v>10</v>
      </c>
      <c r="AC1550" s="94"/>
      <c r="AD1550" s="100"/>
    </row>
    <row r="1551" s="76" customFormat="1" ht="50" hidden="1" customHeight="1" spans="1:30">
      <c r="A1551" s="76" t="s">
        <v>3082</v>
      </c>
      <c r="B1551" s="76"/>
      <c r="C1551" s="76" t="s">
        <v>30</v>
      </c>
      <c r="D1551" s="76" t="s">
        <v>3074</v>
      </c>
      <c r="E1551" s="76" t="s">
        <v>3083</v>
      </c>
      <c r="F1551" s="76" t="s">
        <v>60</v>
      </c>
      <c r="H1551" s="94">
        <f>STOCK[[#This Row],[Precio Final]]</f>
        <v>20</v>
      </c>
      <c r="I1551" s="98">
        <f>STOCK[[#This Row],[Precio Venta Ideal (x1.5)]]</f>
        <v>15</v>
      </c>
      <c r="J1551" s="91">
        <v>1</v>
      </c>
      <c r="K1551" s="96">
        <f>SUMIFS(VENTAS[Cantidad],VENTAS[Código del producto Vendido],STOCK[[#This Row],[Code]])</f>
        <v>0</v>
      </c>
      <c r="L1551" s="96">
        <f>STOCK[[#This Row],[Entradas]]-STOCK[[#This Row],[Salidas]]</f>
        <v>1</v>
      </c>
      <c r="M1551" s="94">
        <f>STOCK[[#This Row],[Precio Final]]*10%</f>
        <v>2</v>
      </c>
      <c r="N1551" s="76">
        <v>0</v>
      </c>
      <c r="O1551" s="94">
        <v>0</v>
      </c>
      <c r="P1551" s="76">
        <v>8</v>
      </c>
      <c r="Q1551" s="91">
        <v>0</v>
      </c>
      <c r="R1551" s="76">
        <v>0</v>
      </c>
      <c r="S1551" s="76">
        <v>0</v>
      </c>
      <c r="T1551" s="94">
        <f>STOCK[[#This Row],[Costo Unitario (USD)]]+STOCK[[#This Row],[Costo Envío (USD)]]+STOCK[[#This Row],[Comisión 10%]]</f>
        <v>10</v>
      </c>
      <c r="U1551" s="76">
        <f>STOCK[[#This Row],[Costo total]]*1.5</f>
        <v>15</v>
      </c>
      <c r="V1551" s="76">
        <v>20</v>
      </c>
      <c r="W1551" s="94">
        <f>STOCK[[#This Row],[Precio Final]]-STOCK[[#This Row],[Costo total]]</f>
        <v>10</v>
      </c>
      <c r="X1551" s="94">
        <f>STOCK[[#This Row],[Ganancia Unitaria]]*STOCK[[#This Row],[Salidas]]</f>
        <v>0</v>
      </c>
      <c r="Y1551" s="94"/>
      <c r="Z1551" s="94"/>
      <c r="AA1551" s="94">
        <f>STOCK[[#This Row],[Costo total]]*STOCK[[#This Row],[Entradas]]</f>
        <v>10</v>
      </c>
      <c r="AB1551" s="94">
        <f>STOCK[[#This Row],[Stock Actual]]*STOCK[[#This Row],[Costo total]]</f>
        <v>10</v>
      </c>
      <c r="AC1551" s="94"/>
      <c r="AD1551" s="100"/>
    </row>
    <row r="1552" s="76" customFormat="1" ht="50" hidden="1" customHeight="1" spans="1:30">
      <c r="A1552" s="76" t="s">
        <v>3084</v>
      </c>
      <c r="B1552" s="91" t="str">
        <f>_xlfn.DISPIMG("ID_A226EDE5909E4F87B1E614E6A87D6A8A",1)</f>
        <v>=DISPIMG("ID_A226EDE5909E4F87B1E614E6A87D6A8A",1)</v>
      </c>
      <c r="C1552" s="76" t="s">
        <v>30</v>
      </c>
      <c r="D1552" s="76" t="s">
        <v>3074</v>
      </c>
      <c r="E1552" s="76" t="s">
        <v>3085</v>
      </c>
      <c r="H1552" s="94">
        <f>STOCK[[#This Row],[Precio Final]]</f>
        <v>25</v>
      </c>
      <c r="I1552" s="98">
        <f>STOCK[[#This Row],[Precio Venta Ideal (x1.5)]]</f>
        <v>15.75</v>
      </c>
      <c r="J1552" s="91">
        <v>1</v>
      </c>
      <c r="K1552" s="96">
        <f>SUMIFS(VENTAS[Cantidad],VENTAS[Código del producto Vendido],STOCK[[#This Row],[Code]])</f>
        <v>0</v>
      </c>
      <c r="L1552" s="96">
        <f>STOCK[[#This Row],[Entradas]]-STOCK[[#This Row],[Salidas]]</f>
        <v>1</v>
      </c>
      <c r="M1552" s="94">
        <f>STOCK[[#This Row],[Precio Final]]*10%</f>
        <v>2.5</v>
      </c>
      <c r="N1552" s="77">
        <v>0</v>
      </c>
      <c r="O1552" s="94">
        <v>0</v>
      </c>
      <c r="P1552" s="76">
        <v>8</v>
      </c>
      <c r="Q1552" s="91">
        <v>0</v>
      </c>
      <c r="R1552" s="77">
        <v>0</v>
      </c>
      <c r="S1552" s="77">
        <v>0</v>
      </c>
      <c r="T1552" s="94">
        <f>STOCK[[#This Row],[Costo Unitario (USD)]]+STOCK[[#This Row],[Costo Envío (USD)]]+STOCK[[#This Row],[Comisión 10%]]</f>
        <v>10.5</v>
      </c>
      <c r="U1552" s="76">
        <f>STOCK[[#This Row],[Costo total]]*1.5</f>
        <v>15.75</v>
      </c>
      <c r="V1552" s="76">
        <v>25</v>
      </c>
      <c r="W1552" s="94">
        <f>STOCK[[#This Row],[Precio Final]]-STOCK[[#This Row],[Costo total]]</f>
        <v>14.5</v>
      </c>
      <c r="X1552" s="94">
        <f>STOCK[[#This Row],[Ganancia Unitaria]]*STOCK[[#This Row],[Salidas]]</f>
        <v>0</v>
      </c>
      <c r="Y1552" s="94"/>
      <c r="Z1552" s="94"/>
      <c r="AA1552" s="94">
        <f>STOCK[[#This Row],[Costo total]]*STOCK[[#This Row],[Entradas]]</f>
        <v>10.5</v>
      </c>
      <c r="AB1552" s="94">
        <f>STOCK[[#This Row],[Stock Actual]]*STOCK[[#This Row],[Costo total]]</f>
        <v>10.5</v>
      </c>
      <c r="AC1552" s="94"/>
      <c r="AD1552" s="100"/>
    </row>
    <row r="1553" s="76" customFormat="1" ht="50" customHeight="1" spans="1:30">
      <c r="A1553" s="76" t="s">
        <v>3086</v>
      </c>
      <c r="B1553" s="91" t="str">
        <f>_xlfn.DISPIMG("ID_EED211429BA64BACA72B7F2FF9873304",1)</f>
        <v>=DISPIMG("ID_EED211429BA64BACA72B7F2FF9873304",1)</v>
      </c>
      <c r="C1553" s="76" t="s">
        <v>30</v>
      </c>
      <c r="D1553" s="76" t="s">
        <v>778</v>
      </c>
      <c r="E1553" s="76" t="s">
        <v>3087</v>
      </c>
      <c r="F1553" s="76" t="s">
        <v>44</v>
      </c>
      <c r="H1553" s="94">
        <f>STOCK[[#This Row],[Precio Final]]</f>
        <v>22</v>
      </c>
      <c r="I1553" s="98">
        <f>STOCK[[#This Row],[Precio Venta Ideal (x1.5)]]</f>
        <v>15.3</v>
      </c>
      <c r="J1553" s="91">
        <v>1</v>
      </c>
      <c r="K1553" s="96">
        <f>SUMIFS(VENTAS[Cantidad],VENTAS[Código del producto Vendido],STOCK[[#This Row],[Code]])</f>
        <v>0</v>
      </c>
      <c r="L1553" s="96">
        <f>STOCK[[#This Row],[Entradas]]-STOCK[[#This Row],[Salidas]]</f>
        <v>1</v>
      </c>
      <c r="M1553" s="94">
        <f>STOCK[[#This Row],[Precio Final]]*10%</f>
        <v>2.2</v>
      </c>
      <c r="N1553" s="76">
        <v>0</v>
      </c>
      <c r="O1553" s="94">
        <v>0</v>
      </c>
      <c r="P1553" s="76">
        <v>8</v>
      </c>
      <c r="Q1553" s="92">
        <v>0</v>
      </c>
      <c r="R1553" s="76">
        <v>0</v>
      </c>
      <c r="S1553" s="77">
        <v>0</v>
      </c>
      <c r="T1553" s="94">
        <f>STOCK[[#This Row],[Costo Unitario (USD)]]+STOCK[[#This Row],[Costo Envío (USD)]]+STOCK[[#This Row],[Comisión 10%]]</f>
        <v>10.2</v>
      </c>
      <c r="U1553" s="76">
        <f>STOCK[[#This Row],[Costo total]]*1.5</f>
        <v>15.3</v>
      </c>
      <c r="V1553" s="76">
        <v>22</v>
      </c>
      <c r="W1553" s="94">
        <f>STOCK[[#This Row],[Precio Final]]-STOCK[[#This Row],[Costo total]]</f>
        <v>11.8</v>
      </c>
      <c r="X1553" s="94">
        <f>STOCK[[#This Row],[Ganancia Unitaria]]*STOCK[[#This Row],[Salidas]]</f>
        <v>0</v>
      </c>
      <c r="Y1553" s="94"/>
      <c r="Z1553" s="94"/>
      <c r="AA1553" s="94">
        <f>STOCK[[#This Row],[Costo total]]*STOCK[[#This Row],[Entradas]]</f>
        <v>10.2</v>
      </c>
      <c r="AB1553" s="94">
        <f>STOCK[[#This Row],[Stock Actual]]*STOCK[[#This Row],[Costo total]]</f>
        <v>10.2</v>
      </c>
      <c r="AC1553" s="94"/>
      <c r="AD1553" s="100"/>
    </row>
    <row r="1554" s="76" customFormat="1" ht="50" customHeight="1" spans="1:30">
      <c r="A1554" s="76" t="s">
        <v>3088</v>
      </c>
      <c r="B1554" s="91" t="str">
        <f>_xlfn.DISPIMG("ID_D60116D6E0C0406A8C0F939D86334CF9",1)</f>
        <v>=DISPIMG("ID_D60116D6E0C0406A8C0F939D86334CF9",1)</v>
      </c>
      <c r="C1554" s="76" t="s">
        <v>30</v>
      </c>
      <c r="D1554" s="76" t="s">
        <v>778</v>
      </c>
      <c r="E1554" s="76" t="s">
        <v>3089</v>
      </c>
      <c r="F1554" s="76" t="s">
        <v>44</v>
      </c>
      <c r="H1554" s="94">
        <f>STOCK[[#This Row],[Precio Final]]</f>
        <v>22</v>
      </c>
      <c r="I1554" s="98">
        <f>STOCK[[#This Row],[Precio Venta Ideal (x1.5)]]</f>
        <v>15.3</v>
      </c>
      <c r="J1554" s="91">
        <v>1</v>
      </c>
      <c r="K1554" s="96">
        <f>SUMIFS(VENTAS[Cantidad],VENTAS[Código del producto Vendido],STOCK[[#This Row],[Code]])</f>
        <v>0</v>
      </c>
      <c r="L1554" s="96">
        <f>STOCK[[#This Row],[Entradas]]-STOCK[[#This Row],[Salidas]]</f>
        <v>1</v>
      </c>
      <c r="M1554" s="94">
        <f>STOCK[[#This Row],[Precio Final]]*10%</f>
        <v>2.2</v>
      </c>
      <c r="N1554" s="77">
        <v>0</v>
      </c>
      <c r="O1554" s="94">
        <v>0</v>
      </c>
      <c r="P1554" s="76">
        <v>8</v>
      </c>
      <c r="Q1554" s="91">
        <v>0</v>
      </c>
      <c r="R1554" s="77">
        <v>0</v>
      </c>
      <c r="S1554" s="76">
        <v>0</v>
      </c>
      <c r="T1554" s="94">
        <f>STOCK[[#This Row],[Costo Unitario (USD)]]+STOCK[[#This Row],[Costo Envío (USD)]]+STOCK[[#This Row],[Comisión 10%]]</f>
        <v>10.2</v>
      </c>
      <c r="U1554" s="76">
        <f>STOCK[[#This Row],[Costo total]]*1.5</f>
        <v>15.3</v>
      </c>
      <c r="V1554" s="76">
        <v>22</v>
      </c>
      <c r="W1554" s="94">
        <f>STOCK[[#This Row],[Precio Final]]-STOCK[[#This Row],[Costo total]]</f>
        <v>11.8</v>
      </c>
      <c r="X1554" s="94">
        <f>STOCK[[#This Row],[Ganancia Unitaria]]*STOCK[[#This Row],[Salidas]]</f>
        <v>0</v>
      </c>
      <c r="Y1554" s="94"/>
      <c r="Z1554" s="94"/>
      <c r="AA1554" s="94">
        <f>STOCK[[#This Row],[Costo total]]*STOCK[[#This Row],[Entradas]]</f>
        <v>10.2</v>
      </c>
      <c r="AB1554" s="94">
        <f>STOCK[[#This Row],[Stock Actual]]*STOCK[[#This Row],[Costo total]]</f>
        <v>10.2</v>
      </c>
      <c r="AC1554" s="94"/>
      <c r="AD1554" s="100"/>
    </row>
    <row r="1555" s="76" customFormat="1" ht="50" customHeight="1" spans="1:30">
      <c r="A1555" s="76" t="s">
        <v>3090</v>
      </c>
      <c r="B1555" s="91" t="str">
        <f>_xlfn.DISPIMG("ID_611E317D4601404D973F1AA71F19BB1B",1)</f>
        <v>=DISPIMG("ID_611E317D4601404D973F1AA71F19BB1B",1)</v>
      </c>
      <c r="C1555" s="76" t="s">
        <v>30</v>
      </c>
      <c r="D1555" s="76" t="s">
        <v>778</v>
      </c>
      <c r="E1555" s="76" t="s">
        <v>3089</v>
      </c>
      <c r="F1555" s="76" t="s">
        <v>40</v>
      </c>
      <c r="H1555" s="94">
        <f>STOCK[[#This Row],[Precio Final]]</f>
        <v>22</v>
      </c>
      <c r="I1555" s="98">
        <f>STOCK[[#This Row],[Precio Venta Ideal (x1.5)]]</f>
        <v>15.3</v>
      </c>
      <c r="J1555" s="91">
        <v>1</v>
      </c>
      <c r="K1555" s="96">
        <f>SUMIFS(VENTAS[Cantidad],VENTAS[Código del producto Vendido],STOCK[[#This Row],[Code]])</f>
        <v>0</v>
      </c>
      <c r="L1555" s="96">
        <f>STOCK[[#This Row],[Entradas]]-STOCK[[#This Row],[Salidas]]</f>
        <v>1</v>
      </c>
      <c r="M1555" s="94">
        <f>STOCK[[#This Row],[Precio Final]]*10%</f>
        <v>2.2</v>
      </c>
      <c r="N1555" s="77">
        <v>0</v>
      </c>
      <c r="O1555" s="94">
        <v>0</v>
      </c>
      <c r="P1555" s="76">
        <v>8</v>
      </c>
      <c r="Q1555" s="91">
        <v>0</v>
      </c>
      <c r="R1555" s="76">
        <v>0</v>
      </c>
      <c r="S1555" s="77">
        <v>0</v>
      </c>
      <c r="T1555" s="94">
        <f>STOCK[[#This Row],[Costo Unitario (USD)]]+STOCK[[#This Row],[Costo Envío (USD)]]+STOCK[[#This Row],[Comisión 10%]]</f>
        <v>10.2</v>
      </c>
      <c r="U1555" s="76">
        <f>STOCK[[#This Row],[Costo total]]*1.5</f>
        <v>15.3</v>
      </c>
      <c r="V1555" s="76">
        <v>22</v>
      </c>
      <c r="W1555" s="94">
        <f>STOCK[[#This Row],[Precio Final]]-STOCK[[#This Row],[Costo total]]</f>
        <v>11.8</v>
      </c>
      <c r="X1555" s="94">
        <f>STOCK[[#This Row],[Ganancia Unitaria]]*STOCK[[#This Row],[Salidas]]</f>
        <v>0</v>
      </c>
      <c r="Y1555" s="94"/>
      <c r="Z1555" s="94"/>
      <c r="AA1555" s="94">
        <f>STOCK[[#This Row],[Costo total]]*STOCK[[#This Row],[Entradas]]</f>
        <v>10.2</v>
      </c>
      <c r="AB1555" s="94">
        <f>STOCK[[#This Row],[Stock Actual]]*STOCK[[#This Row],[Costo total]]</f>
        <v>10.2</v>
      </c>
      <c r="AC1555" s="94"/>
      <c r="AD1555" s="100"/>
    </row>
    <row r="1556" s="76" customFormat="1" ht="50" customHeight="1" spans="1:30">
      <c r="A1556" s="76" t="s">
        <v>3091</v>
      </c>
      <c r="B1556" s="91" t="str">
        <f>_xlfn.DISPIMG("ID_2F46D2B8CA1649B9AE80B0FC68C14A3A",1)</f>
        <v>=DISPIMG("ID_2F46D2B8CA1649B9AE80B0FC68C14A3A",1)</v>
      </c>
      <c r="C1556" s="76" t="s">
        <v>30</v>
      </c>
      <c r="D1556" s="76" t="s">
        <v>778</v>
      </c>
      <c r="E1556" s="76" t="s">
        <v>3092</v>
      </c>
      <c r="F1556" s="76" t="s">
        <v>47</v>
      </c>
      <c r="H1556" s="94">
        <f>STOCK[[#This Row],[Precio Final]]</f>
        <v>22</v>
      </c>
      <c r="I1556" s="98">
        <f>STOCK[[#This Row],[Precio Venta Ideal (x1.5)]]</f>
        <v>15.3</v>
      </c>
      <c r="J1556" s="91">
        <v>1</v>
      </c>
      <c r="K1556" s="96">
        <f>SUMIFS(VENTAS[Cantidad],VENTAS[Código del producto Vendido],STOCK[[#This Row],[Code]])</f>
        <v>0</v>
      </c>
      <c r="L1556" s="96">
        <f>STOCK[[#This Row],[Entradas]]-STOCK[[#This Row],[Salidas]]</f>
        <v>1</v>
      </c>
      <c r="M1556" s="94">
        <f>STOCK[[#This Row],[Precio Final]]*10%</f>
        <v>2.2</v>
      </c>
      <c r="N1556" s="76">
        <v>0</v>
      </c>
      <c r="O1556" s="94">
        <v>0</v>
      </c>
      <c r="P1556" s="76">
        <v>8</v>
      </c>
      <c r="Q1556" s="92">
        <v>0</v>
      </c>
      <c r="R1556" s="77">
        <v>0</v>
      </c>
      <c r="S1556" s="77">
        <v>0</v>
      </c>
      <c r="T1556" s="94">
        <f>STOCK[[#This Row],[Costo Unitario (USD)]]+STOCK[[#This Row],[Costo Envío (USD)]]+STOCK[[#This Row],[Comisión 10%]]</f>
        <v>10.2</v>
      </c>
      <c r="U1556" s="76">
        <f>STOCK[[#This Row],[Costo total]]*1.5</f>
        <v>15.3</v>
      </c>
      <c r="V1556" s="76">
        <v>22</v>
      </c>
      <c r="W1556" s="94">
        <f>STOCK[[#This Row],[Precio Final]]-STOCK[[#This Row],[Costo total]]</f>
        <v>11.8</v>
      </c>
      <c r="X1556" s="94">
        <f>STOCK[[#This Row],[Ganancia Unitaria]]*STOCK[[#This Row],[Salidas]]</f>
        <v>0</v>
      </c>
      <c r="Y1556" s="94"/>
      <c r="Z1556" s="94"/>
      <c r="AA1556" s="94">
        <f>STOCK[[#This Row],[Costo total]]*STOCK[[#This Row],[Entradas]]</f>
        <v>10.2</v>
      </c>
      <c r="AB1556" s="94">
        <f>STOCK[[#This Row],[Stock Actual]]*STOCK[[#This Row],[Costo total]]</f>
        <v>10.2</v>
      </c>
      <c r="AC1556" s="94"/>
      <c r="AD1556" s="100"/>
    </row>
    <row r="1557" s="76" customFormat="1" ht="50" customHeight="1" spans="1:30">
      <c r="A1557" s="76" t="s">
        <v>3093</v>
      </c>
      <c r="B1557" s="91" t="str">
        <f>_xlfn.DISPIMG("ID_FBD24FC94EB94F35BE3094CDBAF42CDD",1)</f>
        <v>=DISPIMG("ID_FBD24FC94EB94F35BE3094CDBAF42CDD",1)</v>
      </c>
      <c r="C1557" s="76" t="s">
        <v>30</v>
      </c>
      <c r="D1557" s="76" t="s">
        <v>778</v>
      </c>
      <c r="E1557" s="76" t="s">
        <v>3094</v>
      </c>
      <c r="F1557" s="76" t="s">
        <v>44</v>
      </c>
      <c r="H1557" s="94">
        <f>STOCK[[#This Row],[Precio Final]]</f>
        <v>22</v>
      </c>
      <c r="I1557" s="98">
        <f>STOCK[[#This Row],[Precio Venta Ideal (x1.5)]]</f>
        <v>15.3</v>
      </c>
      <c r="J1557" s="91">
        <v>1</v>
      </c>
      <c r="K1557" s="96">
        <f>SUMIFS(VENTAS[Cantidad],VENTAS[Código del producto Vendido],STOCK[[#This Row],[Code]])</f>
        <v>0</v>
      </c>
      <c r="L1557" s="96">
        <f>STOCK[[#This Row],[Entradas]]-STOCK[[#This Row],[Salidas]]</f>
        <v>1</v>
      </c>
      <c r="M1557" s="94">
        <f>STOCK[[#This Row],[Precio Final]]*10%</f>
        <v>2.2</v>
      </c>
      <c r="N1557" s="77">
        <v>0</v>
      </c>
      <c r="O1557" s="94">
        <v>0</v>
      </c>
      <c r="P1557" s="76">
        <v>8</v>
      </c>
      <c r="Q1557" s="91">
        <v>0</v>
      </c>
      <c r="R1557" s="76">
        <v>0</v>
      </c>
      <c r="S1557" s="76">
        <v>0</v>
      </c>
      <c r="T1557" s="94">
        <f>STOCK[[#This Row],[Costo Unitario (USD)]]+STOCK[[#This Row],[Costo Envío (USD)]]+STOCK[[#This Row],[Comisión 10%]]</f>
        <v>10.2</v>
      </c>
      <c r="U1557" s="76">
        <f>STOCK[[#This Row],[Costo total]]*1.5</f>
        <v>15.3</v>
      </c>
      <c r="V1557" s="76">
        <v>22</v>
      </c>
      <c r="W1557" s="94">
        <f>STOCK[[#This Row],[Precio Final]]-STOCK[[#This Row],[Costo total]]</f>
        <v>11.8</v>
      </c>
      <c r="X1557" s="94">
        <f>STOCK[[#This Row],[Ganancia Unitaria]]*STOCK[[#This Row],[Salidas]]</f>
        <v>0</v>
      </c>
      <c r="Y1557" s="94"/>
      <c r="Z1557" s="94"/>
      <c r="AA1557" s="94">
        <f>STOCK[[#This Row],[Costo total]]*STOCK[[#This Row],[Entradas]]</f>
        <v>10.2</v>
      </c>
      <c r="AB1557" s="94">
        <f>STOCK[[#This Row],[Stock Actual]]*STOCK[[#This Row],[Costo total]]</f>
        <v>10.2</v>
      </c>
      <c r="AC1557" s="94"/>
      <c r="AD1557" s="100"/>
    </row>
    <row r="1558" s="76" customFormat="1" ht="50" customHeight="1" spans="1:30">
      <c r="A1558" s="76" t="s">
        <v>3095</v>
      </c>
      <c r="B1558" s="91" t="str">
        <f>_xlfn.DISPIMG("ID_07AD7DA15D69462BADBED3B2588A0DA3",1)</f>
        <v>=DISPIMG("ID_07AD7DA15D69462BADBED3B2588A0DA3",1)</v>
      </c>
      <c r="C1558" s="76" t="s">
        <v>30</v>
      </c>
      <c r="D1558" s="76" t="s">
        <v>778</v>
      </c>
      <c r="E1558" s="76" t="s">
        <v>3096</v>
      </c>
      <c r="F1558" s="76" t="s">
        <v>47</v>
      </c>
      <c r="H1558" s="94">
        <f>STOCK[[#This Row],[Precio Final]]</f>
        <v>22</v>
      </c>
      <c r="I1558" s="98">
        <f>STOCK[[#This Row],[Precio Venta Ideal (x1.5)]]</f>
        <v>15.3</v>
      </c>
      <c r="J1558" s="91">
        <v>1</v>
      </c>
      <c r="K1558" s="96">
        <f>SUMIFS(VENTAS[Cantidad],VENTAS[Código del producto Vendido],STOCK[[#This Row],[Code]])</f>
        <v>0</v>
      </c>
      <c r="L1558" s="96">
        <f>STOCK[[#This Row],[Entradas]]-STOCK[[#This Row],[Salidas]]</f>
        <v>1</v>
      </c>
      <c r="M1558" s="94">
        <f>STOCK[[#This Row],[Precio Final]]*10%</f>
        <v>2.2</v>
      </c>
      <c r="N1558" s="101">
        <v>0</v>
      </c>
      <c r="O1558" s="94">
        <v>0</v>
      </c>
      <c r="P1558" s="76">
        <v>8</v>
      </c>
      <c r="Q1558" s="91">
        <v>0</v>
      </c>
      <c r="R1558" s="101">
        <v>0</v>
      </c>
      <c r="S1558" s="101">
        <v>0</v>
      </c>
      <c r="T1558" s="94">
        <f>STOCK[[#This Row],[Costo Unitario (USD)]]+STOCK[[#This Row],[Costo Envío (USD)]]+STOCK[[#This Row],[Comisión 10%]]</f>
        <v>10.2</v>
      </c>
      <c r="U1558" s="76">
        <f>STOCK[[#This Row],[Costo total]]*1.5</f>
        <v>15.3</v>
      </c>
      <c r="V1558" s="76">
        <v>22</v>
      </c>
      <c r="W1558" s="94">
        <f>STOCK[[#This Row],[Precio Final]]-STOCK[[#This Row],[Costo total]]</f>
        <v>11.8</v>
      </c>
      <c r="X1558" s="94">
        <f>STOCK[[#This Row],[Ganancia Unitaria]]*STOCK[[#This Row],[Salidas]]</f>
        <v>0</v>
      </c>
      <c r="Y1558" s="94"/>
      <c r="Z1558" s="94"/>
      <c r="AA1558" s="94">
        <f>STOCK[[#This Row],[Costo total]]*STOCK[[#This Row],[Entradas]]</f>
        <v>10.2</v>
      </c>
      <c r="AB1558" s="94">
        <f>STOCK[[#This Row],[Stock Actual]]*STOCK[[#This Row],[Costo total]]</f>
        <v>10.2</v>
      </c>
      <c r="AC1558" s="94"/>
      <c r="AD1558" s="100"/>
    </row>
    <row r="1559" s="76" customFormat="1" ht="50" customHeight="1" spans="1:30">
      <c r="A1559" s="76" t="s">
        <v>3097</v>
      </c>
      <c r="C1559" s="76" t="s">
        <v>30</v>
      </c>
      <c r="D1559" s="76" t="s">
        <v>778</v>
      </c>
      <c r="E1559" s="76" t="s">
        <v>3098</v>
      </c>
      <c r="H1559" s="94">
        <f>STOCK[[#This Row],[Precio Final]]</f>
        <v>15</v>
      </c>
      <c r="I1559" s="98">
        <f>STOCK[[#This Row],[Precio Venta Ideal (x1.5)]]</f>
        <v>14.25</v>
      </c>
      <c r="J1559" s="91">
        <v>1</v>
      </c>
      <c r="K1559" s="96">
        <f>SUMIFS(VENTAS[Cantidad],VENTAS[Código del producto Vendido],STOCK[[#This Row],[Code]])</f>
        <v>1</v>
      </c>
      <c r="L1559" s="96">
        <f>STOCK[[#This Row],[Entradas]]-STOCK[[#This Row],[Salidas]]</f>
        <v>0</v>
      </c>
      <c r="M1559" s="94">
        <f>STOCK[[#This Row],[Precio Final]]*10%</f>
        <v>1.5</v>
      </c>
      <c r="N1559" s="76">
        <v>0</v>
      </c>
      <c r="O1559" s="94">
        <v>0</v>
      </c>
      <c r="P1559" s="76">
        <v>8</v>
      </c>
      <c r="Q1559" s="91">
        <v>0</v>
      </c>
      <c r="R1559" s="77">
        <v>0</v>
      </c>
      <c r="S1559" s="77">
        <v>0</v>
      </c>
      <c r="T1559" s="94">
        <f>STOCK[[#This Row],[Costo Unitario (USD)]]+STOCK[[#This Row],[Costo Envío (USD)]]+STOCK[[#This Row],[Comisión 10%]]</f>
        <v>9.5</v>
      </c>
      <c r="U1559" s="76">
        <f>STOCK[[#This Row],[Costo total]]*1.5</f>
        <v>14.25</v>
      </c>
      <c r="V1559" s="76">
        <v>15</v>
      </c>
      <c r="W1559" s="94">
        <f>STOCK[[#This Row],[Precio Final]]-STOCK[[#This Row],[Costo total]]</f>
        <v>5.5</v>
      </c>
      <c r="X1559" s="94">
        <f>STOCK[[#This Row],[Ganancia Unitaria]]*STOCK[[#This Row],[Salidas]]</f>
        <v>5.5</v>
      </c>
      <c r="Y1559" s="94"/>
      <c r="Z1559" s="94"/>
      <c r="AA1559" s="94">
        <f>STOCK[[#This Row],[Costo total]]*STOCK[[#This Row],[Entradas]]</f>
        <v>9.5</v>
      </c>
      <c r="AB1559" s="94">
        <f>STOCK[[#This Row],[Stock Actual]]*STOCK[[#This Row],[Costo total]]</f>
        <v>0</v>
      </c>
      <c r="AC1559" s="94"/>
      <c r="AD1559" s="100"/>
    </row>
    <row r="1560" s="76" customFormat="1" ht="50" customHeight="1" spans="1:30">
      <c r="A1560" s="76" t="s">
        <v>3099</v>
      </c>
      <c r="C1560" s="76" t="s">
        <v>30</v>
      </c>
      <c r="D1560" s="76" t="s">
        <v>778</v>
      </c>
      <c r="E1560" s="76" t="s">
        <v>3100</v>
      </c>
      <c r="F1560" s="76" t="s">
        <v>47</v>
      </c>
      <c r="H1560" s="94">
        <f>STOCK[[#This Row],[Precio Final]]</f>
        <v>12</v>
      </c>
      <c r="I1560" s="98">
        <f>STOCK[[#This Row],[Precio Venta Ideal (x1.5)]]</f>
        <v>13.8</v>
      </c>
      <c r="J1560" s="91">
        <v>3</v>
      </c>
      <c r="K1560" s="96">
        <f>SUMIFS(VENTAS[Cantidad],VENTAS[Código del producto Vendido],STOCK[[#This Row],[Code]])</f>
        <v>0</v>
      </c>
      <c r="L1560" s="96">
        <f>STOCK[[#This Row],[Entradas]]-STOCK[[#This Row],[Salidas]]</f>
        <v>3</v>
      </c>
      <c r="M1560" s="94">
        <f>STOCK[[#This Row],[Precio Final]]*10%</f>
        <v>1.2</v>
      </c>
      <c r="N1560" s="77">
        <v>0</v>
      </c>
      <c r="O1560" s="94">
        <v>0</v>
      </c>
      <c r="P1560" s="76">
        <v>8</v>
      </c>
      <c r="Q1560" s="92">
        <v>0</v>
      </c>
      <c r="R1560" s="76">
        <v>0</v>
      </c>
      <c r="S1560" s="77">
        <v>0</v>
      </c>
      <c r="T1560" s="94">
        <f>STOCK[[#This Row],[Costo Unitario (USD)]]+STOCK[[#This Row],[Costo Envío (USD)]]+STOCK[[#This Row],[Comisión 10%]]</f>
        <v>9.2</v>
      </c>
      <c r="U1560" s="76">
        <f>STOCK[[#This Row],[Costo total]]*1.5</f>
        <v>13.8</v>
      </c>
      <c r="V1560" s="76">
        <v>12</v>
      </c>
      <c r="W1560" s="94">
        <f>STOCK[[#This Row],[Precio Final]]-STOCK[[#This Row],[Costo total]]</f>
        <v>2.8</v>
      </c>
      <c r="X1560" s="94">
        <f>STOCK[[#This Row],[Ganancia Unitaria]]*STOCK[[#This Row],[Salidas]]</f>
        <v>0</v>
      </c>
      <c r="Y1560" s="94"/>
      <c r="Z1560" s="94"/>
      <c r="AA1560" s="94">
        <f>STOCK[[#This Row],[Costo total]]*STOCK[[#This Row],[Entradas]]</f>
        <v>27.6</v>
      </c>
      <c r="AB1560" s="94">
        <f>STOCK[[#This Row],[Stock Actual]]*STOCK[[#This Row],[Costo total]]</f>
        <v>27.6</v>
      </c>
      <c r="AC1560" s="94"/>
      <c r="AD1560" s="100"/>
    </row>
    <row r="1561" s="76" customFormat="1" ht="50" customHeight="1" spans="1:30">
      <c r="A1561" s="76" t="s">
        <v>3101</v>
      </c>
      <c r="C1561" s="76" t="s">
        <v>30</v>
      </c>
      <c r="D1561" s="76" t="s">
        <v>778</v>
      </c>
      <c r="E1561" s="76" t="s">
        <v>3102</v>
      </c>
      <c r="F1561" s="76" t="s">
        <v>60</v>
      </c>
      <c r="H1561" s="94">
        <f>STOCK[[#This Row],[Precio Final]]</f>
        <v>12</v>
      </c>
      <c r="I1561" s="98">
        <f>STOCK[[#This Row],[Precio Venta Ideal (x1.5)]]</f>
        <v>13.8</v>
      </c>
      <c r="J1561" s="91">
        <v>1</v>
      </c>
      <c r="K1561" s="96">
        <f>SUMIFS(VENTAS[Cantidad],VENTAS[Código del producto Vendido],STOCK[[#This Row],[Code]])</f>
        <v>0</v>
      </c>
      <c r="L1561" s="96">
        <f>STOCK[[#This Row],[Entradas]]-STOCK[[#This Row],[Salidas]]</f>
        <v>1</v>
      </c>
      <c r="M1561" s="94">
        <f>STOCK[[#This Row],[Precio Final]]*10%</f>
        <v>1.2</v>
      </c>
      <c r="N1561" s="77">
        <v>0</v>
      </c>
      <c r="O1561" s="94">
        <v>0</v>
      </c>
      <c r="P1561" s="76">
        <v>8</v>
      </c>
      <c r="Q1561" s="91">
        <v>0</v>
      </c>
      <c r="R1561" s="77">
        <v>0</v>
      </c>
      <c r="S1561" s="76">
        <v>0</v>
      </c>
      <c r="T1561" s="94">
        <f>STOCK[[#This Row],[Costo Unitario (USD)]]+STOCK[[#This Row],[Costo Envío (USD)]]+STOCK[[#This Row],[Comisión 10%]]</f>
        <v>9.2</v>
      </c>
      <c r="U1561" s="76">
        <f>STOCK[[#This Row],[Costo total]]*1.5</f>
        <v>13.8</v>
      </c>
      <c r="V1561" s="76">
        <v>12</v>
      </c>
      <c r="W1561" s="94">
        <f>STOCK[[#This Row],[Precio Final]]-STOCK[[#This Row],[Costo total]]</f>
        <v>2.8</v>
      </c>
      <c r="X1561" s="94">
        <f>STOCK[[#This Row],[Ganancia Unitaria]]*STOCK[[#This Row],[Salidas]]</f>
        <v>0</v>
      </c>
      <c r="Y1561" s="94"/>
      <c r="Z1561" s="94"/>
      <c r="AA1561" s="94">
        <f>STOCK[[#This Row],[Costo total]]*STOCK[[#This Row],[Entradas]]</f>
        <v>9.2</v>
      </c>
      <c r="AB1561" s="94">
        <f>STOCK[[#This Row],[Stock Actual]]*STOCK[[#This Row],[Costo total]]</f>
        <v>9.2</v>
      </c>
      <c r="AC1561" s="94"/>
      <c r="AD1561" s="100"/>
    </row>
    <row r="1562" s="76" customFormat="1" ht="50" customHeight="1" spans="1:30">
      <c r="A1562" s="76" t="s">
        <v>3103</v>
      </c>
      <c r="C1562" s="76" t="s">
        <v>30</v>
      </c>
      <c r="D1562" s="76" t="s">
        <v>778</v>
      </c>
      <c r="E1562" s="76" t="s">
        <v>3104</v>
      </c>
      <c r="F1562" s="76" t="s">
        <v>40</v>
      </c>
      <c r="H1562" s="94">
        <f>STOCK[[#This Row],[Precio Final]]</f>
        <v>15</v>
      </c>
      <c r="I1562" s="98">
        <f>STOCK[[#This Row],[Precio Venta Ideal (x1.5)]]</f>
        <v>14.25</v>
      </c>
      <c r="J1562" s="91">
        <v>1</v>
      </c>
      <c r="K1562" s="96">
        <f>SUMIFS(VENTAS[Cantidad],VENTAS[Código del producto Vendido],STOCK[[#This Row],[Code]])</f>
        <v>0</v>
      </c>
      <c r="L1562" s="96">
        <f>STOCK[[#This Row],[Entradas]]-STOCK[[#This Row],[Salidas]]</f>
        <v>1</v>
      </c>
      <c r="M1562" s="94">
        <f>STOCK[[#This Row],[Precio Final]]*10%</f>
        <v>1.5</v>
      </c>
      <c r="N1562" s="76">
        <v>0</v>
      </c>
      <c r="O1562" s="94">
        <v>0</v>
      </c>
      <c r="P1562" s="76">
        <v>8</v>
      </c>
      <c r="Q1562" s="91">
        <v>0</v>
      </c>
      <c r="R1562" s="76">
        <v>0</v>
      </c>
      <c r="S1562" s="77">
        <v>0</v>
      </c>
      <c r="T1562" s="94">
        <f>STOCK[[#This Row],[Costo Unitario (USD)]]+STOCK[[#This Row],[Costo Envío (USD)]]+STOCK[[#This Row],[Comisión 10%]]</f>
        <v>9.5</v>
      </c>
      <c r="U1562" s="76">
        <f>STOCK[[#This Row],[Costo total]]*1.5</f>
        <v>14.25</v>
      </c>
      <c r="V1562" s="76">
        <v>15</v>
      </c>
      <c r="W1562" s="94">
        <f>STOCK[[#This Row],[Precio Final]]-STOCK[[#This Row],[Costo total]]</f>
        <v>5.5</v>
      </c>
      <c r="X1562" s="94">
        <f>STOCK[[#This Row],[Ganancia Unitaria]]*STOCK[[#This Row],[Salidas]]</f>
        <v>0</v>
      </c>
      <c r="Y1562" s="94"/>
      <c r="Z1562" s="94"/>
      <c r="AA1562" s="94">
        <f>STOCK[[#This Row],[Costo total]]*STOCK[[#This Row],[Entradas]]</f>
        <v>9.5</v>
      </c>
      <c r="AB1562" s="94">
        <f>STOCK[[#This Row],[Stock Actual]]*STOCK[[#This Row],[Costo total]]</f>
        <v>9.5</v>
      </c>
      <c r="AC1562" s="94"/>
      <c r="AD1562" s="100"/>
    </row>
    <row r="1563" s="76" customFormat="1" ht="50" customHeight="1" spans="1:30">
      <c r="A1563" s="76" t="s">
        <v>3105</v>
      </c>
      <c r="C1563" s="76" t="s">
        <v>30</v>
      </c>
      <c r="D1563" s="76" t="s">
        <v>778</v>
      </c>
      <c r="E1563" s="76" t="s">
        <v>3106</v>
      </c>
      <c r="F1563" s="76" t="s">
        <v>60</v>
      </c>
      <c r="H1563" s="94">
        <f>STOCK[[#This Row],[Precio Final]]</f>
        <v>15</v>
      </c>
      <c r="I1563" s="98">
        <f>STOCK[[#This Row],[Precio Venta Ideal (x1.5)]]</f>
        <v>14.25</v>
      </c>
      <c r="J1563" s="91">
        <v>1</v>
      </c>
      <c r="K1563" s="96">
        <f>SUMIFS(VENTAS[Cantidad],VENTAS[Código del producto Vendido],STOCK[[#This Row],[Code]])</f>
        <v>0</v>
      </c>
      <c r="L1563" s="96">
        <f>STOCK[[#This Row],[Entradas]]-STOCK[[#This Row],[Salidas]]</f>
        <v>1</v>
      </c>
      <c r="M1563" s="94">
        <f>STOCK[[#This Row],[Precio Final]]*10%</f>
        <v>1.5</v>
      </c>
      <c r="N1563" s="77">
        <v>0</v>
      </c>
      <c r="O1563" s="94">
        <v>0</v>
      </c>
      <c r="P1563" s="76">
        <v>8</v>
      </c>
      <c r="Q1563" s="92">
        <v>0</v>
      </c>
      <c r="R1563" s="77">
        <v>0</v>
      </c>
      <c r="S1563" s="77">
        <v>0</v>
      </c>
      <c r="T1563" s="94">
        <f>STOCK[[#This Row],[Costo Unitario (USD)]]+STOCK[[#This Row],[Costo Envío (USD)]]+STOCK[[#This Row],[Comisión 10%]]</f>
        <v>9.5</v>
      </c>
      <c r="U1563" s="76">
        <f>STOCK[[#This Row],[Costo total]]*1.5</f>
        <v>14.25</v>
      </c>
      <c r="V1563" s="76">
        <v>15</v>
      </c>
      <c r="W1563" s="94">
        <f>STOCK[[#This Row],[Precio Final]]-STOCK[[#This Row],[Costo total]]</f>
        <v>5.5</v>
      </c>
      <c r="X1563" s="94">
        <f>STOCK[[#This Row],[Ganancia Unitaria]]*STOCK[[#This Row],[Salidas]]</f>
        <v>0</v>
      </c>
      <c r="Y1563" s="94"/>
      <c r="Z1563" s="94"/>
      <c r="AA1563" s="94">
        <f>STOCK[[#This Row],[Costo total]]*STOCK[[#This Row],[Entradas]]</f>
        <v>9.5</v>
      </c>
      <c r="AB1563" s="94">
        <f>STOCK[[#This Row],[Stock Actual]]*STOCK[[#This Row],[Costo total]]</f>
        <v>9.5</v>
      </c>
      <c r="AC1563" s="94"/>
      <c r="AD1563" s="100"/>
    </row>
    <row r="1564" s="76" customFormat="1" ht="50" customHeight="1" spans="1:30">
      <c r="A1564" s="76" t="s">
        <v>3107</v>
      </c>
      <c r="C1564" s="76" t="s">
        <v>30</v>
      </c>
      <c r="D1564" s="76" t="s">
        <v>778</v>
      </c>
      <c r="E1564" s="76" t="s">
        <v>3108</v>
      </c>
      <c r="F1564" s="76" t="s">
        <v>47</v>
      </c>
      <c r="H1564" s="94">
        <f>STOCK[[#This Row],[Precio Final]]</f>
        <v>15</v>
      </c>
      <c r="I1564" s="98">
        <f>STOCK[[#This Row],[Precio Venta Ideal (x1.5)]]</f>
        <v>14.25</v>
      </c>
      <c r="J1564" s="91">
        <v>1</v>
      </c>
      <c r="K1564" s="96">
        <f>SUMIFS(VENTAS[Cantidad],VENTAS[Código del producto Vendido],STOCK[[#This Row],[Code]])</f>
        <v>0</v>
      </c>
      <c r="L1564" s="96">
        <f>STOCK[[#This Row],[Entradas]]-STOCK[[#This Row],[Salidas]]</f>
        <v>1</v>
      </c>
      <c r="M1564" s="94">
        <f>STOCK[[#This Row],[Precio Final]]*10%</f>
        <v>1.5</v>
      </c>
      <c r="N1564" s="76">
        <v>0</v>
      </c>
      <c r="O1564" s="94">
        <v>0</v>
      </c>
      <c r="P1564" s="76">
        <v>8</v>
      </c>
      <c r="Q1564" s="91">
        <v>0</v>
      </c>
      <c r="R1564" s="76">
        <v>0</v>
      </c>
      <c r="S1564" s="76">
        <v>0</v>
      </c>
      <c r="T1564" s="94">
        <f>STOCK[[#This Row],[Costo Unitario (USD)]]+STOCK[[#This Row],[Costo Envío (USD)]]+STOCK[[#This Row],[Comisión 10%]]</f>
        <v>9.5</v>
      </c>
      <c r="U1564" s="76">
        <f>STOCK[[#This Row],[Costo total]]*1.5</f>
        <v>14.25</v>
      </c>
      <c r="V1564" s="76">
        <v>15</v>
      </c>
      <c r="W1564" s="94">
        <f>STOCK[[#This Row],[Precio Final]]-STOCK[[#This Row],[Costo total]]</f>
        <v>5.5</v>
      </c>
      <c r="X1564" s="94">
        <f>STOCK[[#This Row],[Ganancia Unitaria]]*STOCK[[#This Row],[Salidas]]</f>
        <v>0</v>
      </c>
      <c r="Y1564" s="94"/>
      <c r="Z1564" s="94"/>
      <c r="AA1564" s="94">
        <f>STOCK[[#This Row],[Costo total]]*STOCK[[#This Row],[Entradas]]</f>
        <v>9.5</v>
      </c>
      <c r="AB1564" s="94">
        <f>STOCK[[#This Row],[Stock Actual]]*STOCK[[#This Row],[Costo total]]</f>
        <v>9.5</v>
      </c>
      <c r="AC1564" s="94"/>
      <c r="AD1564" s="100"/>
    </row>
    <row r="1565" s="76" customFormat="1" ht="50" customHeight="1" spans="1:30">
      <c r="A1565" s="76" t="s">
        <v>3109</v>
      </c>
      <c r="C1565" s="76" t="s">
        <v>30</v>
      </c>
      <c r="D1565" s="76" t="s">
        <v>778</v>
      </c>
      <c r="E1565" s="76" t="s">
        <v>3110</v>
      </c>
      <c r="F1565" s="76" t="s">
        <v>44</v>
      </c>
      <c r="H1565" s="94">
        <f>STOCK[[#This Row],[Precio Final]]</f>
        <v>15</v>
      </c>
      <c r="I1565" s="98">
        <f>STOCK[[#This Row],[Precio Venta Ideal (x1.5)]]</f>
        <v>14.25</v>
      </c>
      <c r="J1565" s="91">
        <v>2</v>
      </c>
      <c r="K1565" s="96">
        <f>SUMIFS(VENTAS[Cantidad],VENTAS[Código del producto Vendido],STOCK[[#This Row],[Code]])</f>
        <v>0</v>
      </c>
      <c r="L1565" s="96">
        <f>STOCK[[#This Row],[Entradas]]-STOCK[[#This Row],[Salidas]]</f>
        <v>2</v>
      </c>
      <c r="M1565" s="94">
        <f>STOCK[[#This Row],[Precio Final]]*10%</f>
        <v>1.5</v>
      </c>
      <c r="N1565" s="77">
        <v>0</v>
      </c>
      <c r="O1565" s="94">
        <v>0</v>
      </c>
      <c r="P1565" s="76">
        <v>8</v>
      </c>
      <c r="Q1565" s="91">
        <v>0</v>
      </c>
      <c r="R1565" s="77">
        <v>0</v>
      </c>
      <c r="S1565" s="77">
        <v>0</v>
      </c>
      <c r="T1565" s="94">
        <f>STOCK[[#This Row],[Costo Unitario (USD)]]+STOCK[[#This Row],[Costo Envío (USD)]]+STOCK[[#This Row],[Comisión 10%]]</f>
        <v>9.5</v>
      </c>
      <c r="U1565" s="76">
        <f>STOCK[[#This Row],[Costo total]]*1.5</f>
        <v>14.25</v>
      </c>
      <c r="V1565" s="76">
        <v>15</v>
      </c>
      <c r="W1565" s="94">
        <f>STOCK[[#This Row],[Precio Final]]-STOCK[[#This Row],[Costo total]]</f>
        <v>5.5</v>
      </c>
      <c r="X1565" s="94">
        <f>STOCK[[#This Row],[Ganancia Unitaria]]*STOCK[[#This Row],[Salidas]]</f>
        <v>0</v>
      </c>
      <c r="Y1565" s="94"/>
      <c r="Z1565" s="94"/>
      <c r="AA1565" s="94">
        <f>STOCK[[#This Row],[Costo total]]*STOCK[[#This Row],[Entradas]]</f>
        <v>19</v>
      </c>
      <c r="AB1565" s="94">
        <f>STOCK[[#This Row],[Stock Actual]]*STOCK[[#This Row],[Costo total]]</f>
        <v>19</v>
      </c>
      <c r="AC1565" s="94"/>
      <c r="AD1565" s="100"/>
    </row>
    <row r="1566" s="76" customFormat="1" ht="50" customHeight="1" spans="1:30">
      <c r="A1566" s="76" t="s">
        <v>3111</v>
      </c>
      <c r="C1566" s="76" t="s">
        <v>30</v>
      </c>
      <c r="D1566" s="76" t="s">
        <v>778</v>
      </c>
      <c r="E1566" s="76" t="s">
        <v>3112</v>
      </c>
      <c r="F1566" s="76" t="s">
        <v>47</v>
      </c>
      <c r="H1566" s="94">
        <f>STOCK[[#This Row],[Precio Final]]</f>
        <v>15</v>
      </c>
      <c r="I1566" s="98">
        <f>STOCK[[#This Row],[Precio Venta Ideal (x1.5)]]</f>
        <v>14.25</v>
      </c>
      <c r="J1566" s="91">
        <v>1</v>
      </c>
      <c r="K1566" s="96">
        <f>SUMIFS(VENTAS[Cantidad],VENTAS[Código del producto Vendido],STOCK[[#This Row],[Code]])</f>
        <v>0</v>
      </c>
      <c r="L1566" s="96">
        <f>STOCK[[#This Row],[Entradas]]-STOCK[[#This Row],[Salidas]]</f>
        <v>1</v>
      </c>
      <c r="M1566" s="94">
        <f>STOCK[[#This Row],[Precio Final]]*10%</f>
        <v>1.5</v>
      </c>
      <c r="N1566" s="77">
        <v>0</v>
      </c>
      <c r="O1566" s="94">
        <v>0</v>
      </c>
      <c r="P1566" s="76">
        <v>8</v>
      </c>
      <c r="Q1566" s="92">
        <v>0</v>
      </c>
      <c r="R1566" s="76">
        <v>0</v>
      </c>
      <c r="S1566" s="77">
        <v>0</v>
      </c>
      <c r="T1566" s="94">
        <f>STOCK[[#This Row],[Costo Unitario (USD)]]+STOCK[[#This Row],[Costo Envío (USD)]]+STOCK[[#This Row],[Comisión 10%]]</f>
        <v>9.5</v>
      </c>
      <c r="U1566" s="76">
        <f>STOCK[[#This Row],[Costo total]]*1.5</f>
        <v>14.25</v>
      </c>
      <c r="V1566" s="76">
        <v>15</v>
      </c>
      <c r="W1566" s="94">
        <f>STOCK[[#This Row],[Precio Final]]-STOCK[[#This Row],[Costo total]]</f>
        <v>5.5</v>
      </c>
      <c r="X1566" s="94">
        <f>STOCK[[#This Row],[Ganancia Unitaria]]*STOCK[[#This Row],[Salidas]]</f>
        <v>0</v>
      </c>
      <c r="Y1566" s="94"/>
      <c r="Z1566" s="94"/>
      <c r="AA1566" s="94">
        <f>STOCK[[#This Row],[Costo total]]*STOCK[[#This Row],[Entradas]]</f>
        <v>9.5</v>
      </c>
      <c r="AB1566" s="94">
        <f>STOCK[[#This Row],[Stock Actual]]*STOCK[[#This Row],[Costo total]]</f>
        <v>9.5</v>
      </c>
      <c r="AC1566" s="94"/>
      <c r="AD1566" s="100"/>
    </row>
    <row r="1567" s="76" customFormat="1" ht="50" customHeight="1" spans="1:30">
      <c r="A1567" s="76" t="s">
        <v>3113</v>
      </c>
      <c r="C1567" s="76" t="s">
        <v>30</v>
      </c>
      <c r="D1567" s="76" t="s">
        <v>778</v>
      </c>
      <c r="E1567" s="76" t="s">
        <v>3114</v>
      </c>
      <c r="F1567" s="76" t="s">
        <v>60</v>
      </c>
      <c r="H1567" s="94">
        <f>STOCK[[#This Row],[Precio Final]]</f>
        <v>15</v>
      </c>
      <c r="I1567" s="98">
        <f>STOCK[[#This Row],[Precio Venta Ideal (x1.5)]]</f>
        <v>14.25</v>
      </c>
      <c r="J1567" s="91">
        <v>1</v>
      </c>
      <c r="K1567" s="96">
        <f>SUMIFS(VENTAS[Cantidad],VENTAS[Código del producto Vendido],STOCK[[#This Row],[Code]])</f>
        <v>0</v>
      </c>
      <c r="L1567" s="96">
        <f>STOCK[[#This Row],[Entradas]]-STOCK[[#This Row],[Salidas]]</f>
        <v>1</v>
      </c>
      <c r="M1567" s="94">
        <f>STOCK[[#This Row],[Precio Final]]*10%</f>
        <v>1.5</v>
      </c>
      <c r="N1567" s="76">
        <v>0</v>
      </c>
      <c r="O1567" s="94">
        <v>0</v>
      </c>
      <c r="P1567" s="76">
        <v>8</v>
      </c>
      <c r="Q1567" s="91">
        <v>0</v>
      </c>
      <c r="R1567" s="77">
        <v>0</v>
      </c>
      <c r="S1567" s="76">
        <v>0</v>
      </c>
      <c r="T1567" s="94">
        <f>STOCK[[#This Row],[Costo Unitario (USD)]]+STOCK[[#This Row],[Costo Envío (USD)]]+STOCK[[#This Row],[Comisión 10%]]</f>
        <v>9.5</v>
      </c>
      <c r="U1567" s="76">
        <f>STOCK[[#This Row],[Costo total]]*1.5</f>
        <v>14.25</v>
      </c>
      <c r="V1567" s="76">
        <v>15</v>
      </c>
      <c r="W1567" s="94">
        <f>STOCK[[#This Row],[Precio Final]]-STOCK[[#This Row],[Costo total]]</f>
        <v>5.5</v>
      </c>
      <c r="X1567" s="94">
        <f>STOCK[[#This Row],[Ganancia Unitaria]]*STOCK[[#This Row],[Salidas]]</f>
        <v>0</v>
      </c>
      <c r="Y1567" s="94"/>
      <c r="Z1567" s="94"/>
      <c r="AA1567" s="94">
        <f>STOCK[[#This Row],[Costo total]]*STOCK[[#This Row],[Entradas]]</f>
        <v>9.5</v>
      </c>
      <c r="AB1567" s="94">
        <f>STOCK[[#This Row],[Stock Actual]]*STOCK[[#This Row],[Costo total]]</f>
        <v>9.5</v>
      </c>
      <c r="AC1567" s="94"/>
      <c r="AD1567" s="100"/>
    </row>
    <row r="1568" s="76" customFormat="1" ht="50" customHeight="1" spans="1:30">
      <c r="A1568" s="76" t="s">
        <v>3115</v>
      </c>
      <c r="C1568" s="76" t="s">
        <v>30</v>
      </c>
      <c r="D1568" s="76" t="s">
        <v>778</v>
      </c>
      <c r="E1568" s="76" t="s">
        <v>3114</v>
      </c>
      <c r="F1568" s="76" t="s">
        <v>47</v>
      </c>
      <c r="H1568" s="94">
        <f>STOCK[[#This Row],[Precio Final]]</f>
        <v>15</v>
      </c>
      <c r="I1568" s="98">
        <f>STOCK[[#This Row],[Precio Venta Ideal (x1.5)]]</f>
        <v>14.25</v>
      </c>
      <c r="J1568" s="91">
        <v>1</v>
      </c>
      <c r="K1568" s="96">
        <f>SUMIFS(VENTAS[Cantidad],VENTAS[Código del producto Vendido],STOCK[[#This Row],[Code]])</f>
        <v>0</v>
      </c>
      <c r="L1568" s="96">
        <f>STOCK[[#This Row],[Entradas]]-STOCK[[#This Row],[Salidas]]</f>
        <v>1</v>
      </c>
      <c r="M1568" s="94">
        <f>STOCK[[#This Row],[Precio Final]]*10%</f>
        <v>1.5</v>
      </c>
      <c r="N1568" s="77">
        <v>0</v>
      </c>
      <c r="O1568" s="94">
        <v>0</v>
      </c>
      <c r="P1568" s="76">
        <v>8</v>
      </c>
      <c r="Q1568" s="91">
        <v>0</v>
      </c>
      <c r="R1568" s="76">
        <v>0</v>
      </c>
      <c r="S1568" s="77">
        <v>0</v>
      </c>
      <c r="T1568" s="94">
        <f>STOCK[[#This Row],[Costo Unitario (USD)]]+STOCK[[#This Row],[Costo Envío (USD)]]+STOCK[[#This Row],[Comisión 10%]]</f>
        <v>9.5</v>
      </c>
      <c r="U1568" s="76">
        <f>STOCK[[#This Row],[Costo total]]*1.5</f>
        <v>14.25</v>
      </c>
      <c r="V1568" s="76">
        <v>15</v>
      </c>
      <c r="W1568" s="94">
        <f>STOCK[[#This Row],[Precio Final]]-STOCK[[#This Row],[Costo total]]</f>
        <v>5.5</v>
      </c>
      <c r="X1568" s="94">
        <f>STOCK[[#This Row],[Ganancia Unitaria]]*STOCK[[#This Row],[Salidas]]</f>
        <v>0</v>
      </c>
      <c r="Y1568" s="94"/>
      <c r="Z1568" s="94"/>
      <c r="AA1568" s="94">
        <f>STOCK[[#This Row],[Costo total]]*STOCK[[#This Row],[Entradas]]</f>
        <v>9.5</v>
      </c>
      <c r="AB1568" s="94">
        <f>STOCK[[#This Row],[Stock Actual]]*STOCK[[#This Row],[Costo total]]</f>
        <v>9.5</v>
      </c>
      <c r="AC1568" s="94"/>
      <c r="AD1568" s="100"/>
    </row>
    <row r="1569" s="76" customFormat="1" ht="50" customHeight="1" spans="1:30">
      <c r="A1569" s="76" t="s">
        <v>3116</v>
      </c>
      <c r="C1569" s="76" t="s">
        <v>30</v>
      </c>
      <c r="D1569" s="76" t="s">
        <v>778</v>
      </c>
      <c r="E1569" s="76" t="s">
        <v>3117</v>
      </c>
      <c r="F1569" s="76" t="s">
        <v>44</v>
      </c>
      <c r="H1569" s="94">
        <f>STOCK[[#This Row],[Precio Final]]</f>
        <v>15</v>
      </c>
      <c r="I1569" s="98">
        <f>STOCK[[#This Row],[Precio Venta Ideal (x1.5)]]</f>
        <v>14.25</v>
      </c>
      <c r="J1569" s="91">
        <v>1</v>
      </c>
      <c r="K1569" s="96">
        <f>SUMIFS(VENTAS[Cantidad],VENTAS[Código del producto Vendido],STOCK[[#This Row],[Code]])</f>
        <v>0</v>
      </c>
      <c r="L1569" s="96">
        <f>STOCK[[#This Row],[Entradas]]-STOCK[[#This Row],[Salidas]]</f>
        <v>1</v>
      </c>
      <c r="M1569" s="94">
        <f>STOCK[[#This Row],[Precio Final]]*10%</f>
        <v>1.5</v>
      </c>
      <c r="N1569" s="76">
        <v>0</v>
      </c>
      <c r="O1569" s="94">
        <v>0</v>
      </c>
      <c r="P1569" s="76">
        <v>8</v>
      </c>
      <c r="Q1569" s="92">
        <v>0</v>
      </c>
      <c r="R1569" s="77">
        <v>0</v>
      </c>
      <c r="S1569" s="77">
        <v>0</v>
      </c>
      <c r="T1569" s="94">
        <f>STOCK[[#This Row],[Costo Unitario (USD)]]+STOCK[[#This Row],[Costo Envío (USD)]]+STOCK[[#This Row],[Comisión 10%]]</f>
        <v>9.5</v>
      </c>
      <c r="U1569" s="76">
        <f>STOCK[[#This Row],[Costo total]]*1.5</f>
        <v>14.25</v>
      </c>
      <c r="V1569" s="76">
        <v>15</v>
      </c>
      <c r="W1569" s="94">
        <f>STOCK[[#This Row],[Precio Final]]-STOCK[[#This Row],[Costo total]]</f>
        <v>5.5</v>
      </c>
      <c r="X1569" s="94">
        <f>STOCK[[#This Row],[Ganancia Unitaria]]*STOCK[[#This Row],[Salidas]]</f>
        <v>0</v>
      </c>
      <c r="Y1569" s="94"/>
      <c r="Z1569" s="94"/>
      <c r="AA1569" s="94">
        <f>STOCK[[#This Row],[Costo total]]*STOCK[[#This Row],[Entradas]]</f>
        <v>9.5</v>
      </c>
      <c r="AB1569" s="94">
        <f>STOCK[[#This Row],[Stock Actual]]*STOCK[[#This Row],[Costo total]]</f>
        <v>9.5</v>
      </c>
      <c r="AC1569" s="94"/>
      <c r="AD1569" s="100"/>
    </row>
    <row r="1570" s="76" customFormat="1" ht="50" customHeight="1" spans="1:30">
      <c r="A1570" s="76" t="s">
        <v>3118</v>
      </c>
      <c r="C1570" s="76" t="s">
        <v>30</v>
      </c>
      <c r="D1570" s="76" t="s">
        <v>778</v>
      </c>
      <c r="E1570" s="76" t="s">
        <v>3119</v>
      </c>
      <c r="F1570" s="76" t="s">
        <v>47</v>
      </c>
      <c r="H1570" s="94">
        <f>STOCK[[#This Row],[Precio Final]]</f>
        <v>15</v>
      </c>
      <c r="I1570" s="98">
        <f>STOCK[[#This Row],[Precio Venta Ideal (x1.5)]]</f>
        <v>14.25</v>
      </c>
      <c r="J1570" s="91">
        <v>2</v>
      </c>
      <c r="K1570" s="96">
        <f>SUMIFS(VENTAS[Cantidad],VENTAS[Código del producto Vendido],STOCK[[#This Row],[Code]])</f>
        <v>0</v>
      </c>
      <c r="L1570" s="96">
        <f>STOCK[[#This Row],[Entradas]]-STOCK[[#This Row],[Salidas]]</f>
        <v>2</v>
      </c>
      <c r="M1570" s="94">
        <f>STOCK[[#This Row],[Precio Final]]*10%</f>
        <v>1.5</v>
      </c>
      <c r="N1570" s="77">
        <v>0</v>
      </c>
      <c r="O1570" s="94">
        <v>0</v>
      </c>
      <c r="P1570" s="76">
        <v>8</v>
      </c>
      <c r="Q1570" s="91">
        <v>0</v>
      </c>
      <c r="R1570" s="76">
        <v>0</v>
      </c>
      <c r="S1570" s="76">
        <v>0</v>
      </c>
      <c r="T1570" s="94">
        <f>STOCK[[#This Row],[Costo Unitario (USD)]]+STOCK[[#This Row],[Costo Envío (USD)]]+STOCK[[#This Row],[Comisión 10%]]</f>
        <v>9.5</v>
      </c>
      <c r="U1570" s="76">
        <f>STOCK[[#This Row],[Costo total]]*1.5</f>
        <v>14.25</v>
      </c>
      <c r="V1570" s="76">
        <v>15</v>
      </c>
      <c r="W1570" s="94">
        <f>STOCK[[#This Row],[Precio Final]]-STOCK[[#This Row],[Costo total]]</f>
        <v>5.5</v>
      </c>
      <c r="X1570" s="94">
        <f>STOCK[[#This Row],[Ganancia Unitaria]]*STOCK[[#This Row],[Salidas]]</f>
        <v>0</v>
      </c>
      <c r="Y1570" s="94"/>
      <c r="Z1570" s="94"/>
      <c r="AA1570" s="94">
        <f>STOCK[[#This Row],[Costo total]]*STOCK[[#This Row],[Entradas]]</f>
        <v>19</v>
      </c>
      <c r="AB1570" s="94">
        <f>STOCK[[#This Row],[Stock Actual]]*STOCK[[#This Row],[Costo total]]</f>
        <v>19</v>
      </c>
      <c r="AC1570" s="94"/>
      <c r="AD1570" s="100"/>
    </row>
    <row r="1571" s="76" customFormat="1" ht="50" customHeight="1" spans="1:30">
      <c r="A1571" s="76" t="s">
        <v>3120</v>
      </c>
      <c r="C1571" s="76" t="s">
        <v>30</v>
      </c>
      <c r="D1571" s="76" t="s">
        <v>778</v>
      </c>
      <c r="E1571" s="76" t="s">
        <v>3119</v>
      </c>
      <c r="F1571" s="76" t="s">
        <v>60</v>
      </c>
      <c r="H1571" s="94">
        <f>STOCK[[#This Row],[Precio Final]]</f>
        <v>15</v>
      </c>
      <c r="I1571" s="98">
        <f>STOCK[[#This Row],[Precio Venta Ideal (x1.5)]]</f>
        <v>14.25</v>
      </c>
      <c r="J1571" s="91">
        <v>1</v>
      </c>
      <c r="K1571" s="96">
        <f>SUMIFS(VENTAS[Cantidad],VENTAS[Código del producto Vendido],STOCK[[#This Row],[Code]])</f>
        <v>0</v>
      </c>
      <c r="L1571" s="96">
        <f>STOCK[[#This Row],[Entradas]]-STOCK[[#This Row],[Salidas]]</f>
        <v>1</v>
      </c>
      <c r="M1571" s="94">
        <f>STOCK[[#This Row],[Precio Final]]*10%</f>
        <v>1.5</v>
      </c>
      <c r="N1571" s="77">
        <v>0</v>
      </c>
      <c r="O1571" s="94">
        <v>0</v>
      </c>
      <c r="P1571" s="76">
        <v>8</v>
      </c>
      <c r="Q1571" s="91">
        <v>0</v>
      </c>
      <c r="R1571" s="77">
        <v>0</v>
      </c>
      <c r="S1571" s="77">
        <v>0</v>
      </c>
      <c r="T1571" s="94">
        <f>STOCK[[#This Row],[Costo Unitario (USD)]]+STOCK[[#This Row],[Costo Envío (USD)]]+STOCK[[#This Row],[Comisión 10%]]</f>
        <v>9.5</v>
      </c>
      <c r="U1571" s="76">
        <f>STOCK[[#This Row],[Costo total]]*1.5</f>
        <v>14.25</v>
      </c>
      <c r="V1571" s="76">
        <v>15</v>
      </c>
      <c r="W1571" s="94">
        <f>STOCK[[#This Row],[Precio Final]]-STOCK[[#This Row],[Costo total]]</f>
        <v>5.5</v>
      </c>
      <c r="X1571" s="94">
        <f>STOCK[[#This Row],[Ganancia Unitaria]]*STOCK[[#This Row],[Salidas]]</f>
        <v>0</v>
      </c>
      <c r="Y1571" s="94"/>
      <c r="Z1571" s="94"/>
      <c r="AA1571" s="94">
        <f>STOCK[[#This Row],[Costo total]]*STOCK[[#This Row],[Entradas]]</f>
        <v>9.5</v>
      </c>
      <c r="AB1571" s="94">
        <f>STOCK[[#This Row],[Stock Actual]]*STOCK[[#This Row],[Costo total]]</f>
        <v>9.5</v>
      </c>
      <c r="AC1571" s="94"/>
      <c r="AD1571" s="100"/>
    </row>
    <row r="1572" s="76" customFormat="1" ht="50" customHeight="1" spans="1:30">
      <c r="A1572" s="76" t="s">
        <v>3121</v>
      </c>
      <c r="C1572" s="76" t="s">
        <v>30</v>
      </c>
      <c r="D1572" s="76" t="s">
        <v>778</v>
      </c>
      <c r="E1572" s="76" t="s">
        <v>3122</v>
      </c>
      <c r="F1572" s="76" t="s">
        <v>44</v>
      </c>
      <c r="H1572" s="94">
        <f>STOCK[[#This Row],[Precio Final]]</f>
        <v>15</v>
      </c>
      <c r="I1572" s="98">
        <f>STOCK[[#This Row],[Precio Venta Ideal (x1.5)]]</f>
        <v>14.25</v>
      </c>
      <c r="J1572" s="91">
        <v>1</v>
      </c>
      <c r="K1572" s="96">
        <f>SUMIFS(VENTAS[Cantidad],VENTAS[Código del producto Vendido],STOCK[[#This Row],[Code]])</f>
        <v>0</v>
      </c>
      <c r="L1572" s="96">
        <f>STOCK[[#This Row],[Entradas]]-STOCK[[#This Row],[Salidas]]</f>
        <v>1</v>
      </c>
      <c r="M1572" s="94">
        <f>STOCK[[#This Row],[Precio Final]]*10%</f>
        <v>1.5</v>
      </c>
      <c r="N1572" s="76">
        <v>0</v>
      </c>
      <c r="O1572" s="94">
        <v>0</v>
      </c>
      <c r="P1572" s="76">
        <v>8</v>
      </c>
      <c r="Q1572" s="92">
        <v>0</v>
      </c>
      <c r="R1572" s="76">
        <v>0</v>
      </c>
      <c r="S1572" s="77">
        <v>0</v>
      </c>
      <c r="T1572" s="94">
        <f>STOCK[[#This Row],[Costo Unitario (USD)]]+STOCK[[#This Row],[Costo Envío (USD)]]+STOCK[[#This Row],[Comisión 10%]]</f>
        <v>9.5</v>
      </c>
      <c r="U1572" s="76">
        <f>STOCK[[#This Row],[Costo total]]*1.5</f>
        <v>14.25</v>
      </c>
      <c r="V1572" s="76">
        <v>15</v>
      </c>
      <c r="W1572" s="94">
        <f>STOCK[[#This Row],[Precio Final]]-STOCK[[#This Row],[Costo total]]</f>
        <v>5.5</v>
      </c>
      <c r="X1572" s="94">
        <f>STOCK[[#This Row],[Ganancia Unitaria]]*STOCK[[#This Row],[Salidas]]</f>
        <v>0</v>
      </c>
      <c r="Y1572" s="94"/>
      <c r="Z1572" s="94"/>
      <c r="AA1572" s="94">
        <f>STOCK[[#This Row],[Costo total]]*STOCK[[#This Row],[Entradas]]</f>
        <v>9.5</v>
      </c>
      <c r="AB1572" s="94">
        <f>STOCK[[#This Row],[Stock Actual]]*STOCK[[#This Row],[Costo total]]</f>
        <v>9.5</v>
      </c>
      <c r="AC1572" s="94"/>
      <c r="AD1572" s="100"/>
    </row>
    <row r="1573" s="76" customFormat="1" ht="50" customHeight="1" spans="1:30">
      <c r="A1573" s="76" t="s">
        <v>3123</v>
      </c>
      <c r="C1573" s="76" t="s">
        <v>30</v>
      </c>
      <c r="D1573" s="76" t="s">
        <v>778</v>
      </c>
      <c r="E1573" s="76" t="s">
        <v>3124</v>
      </c>
      <c r="F1573" s="76" t="s">
        <v>47</v>
      </c>
      <c r="H1573" s="94">
        <f>STOCK[[#This Row],[Precio Final]]</f>
        <v>15</v>
      </c>
      <c r="I1573" s="98">
        <f>STOCK[[#This Row],[Precio Venta Ideal (x1.5)]]</f>
        <v>14.25</v>
      </c>
      <c r="J1573" s="91">
        <v>1</v>
      </c>
      <c r="K1573" s="96">
        <f>SUMIFS(VENTAS[Cantidad],VENTAS[Código del producto Vendido],STOCK[[#This Row],[Code]])</f>
        <v>0</v>
      </c>
      <c r="L1573" s="96">
        <f>STOCK[[#This Row],[Entradas]]-STOCK[[#This Row],[Salidas]]</f>
        <v>1</v>
      </c>
      <c r="M1573" s="94">
        <f>STOCK[[#This Row],[Precio Final]]*10%</f>
        <v>1.5</v>
      </c>
      <c r="N1573" s="77">
        <v>0</v>
      </c>
      <c r="O1573" s="94">
        <v>0</v>
      </c>
      <c r="P1573" s="76">
        <v>8</v>
      </c>
      <c r="Q1573" s="91">
        <v>0</v>
      </c>
      <c r="R1573" s="77">
        <v>0</v>
      </c>
      <c r="S1573" s="76">
        <v>0</v>
      </c>
      <c r="T1573" s="94">
        <f>STOCK[[#This Row],[Costo Unitario (USD)]]+STOCK[[#This Row],[Costo Envío (USD)]]+STOCK[[#This Row],[Comisión 10%]]</f>
        <v>9.5</v>
      </c>
      <c r="U1573" s="76">
        <f>STOCK[[#This Row],[Costo total]]*1.5</f>
        <v>14.25</v>
      </c>
      <c r="V1573" s="76">
        <v>15</v>
      </c>
      <c r="W1573" s="94">
        <f>STOCK[[#This Row],[Precio Final]]-STOCK[[#This Row],[Costo total]]</f>
        <v>5.5</v>
      </c>
      <c r="X1573" s="94">
        <f>STOCK[[#This Row],[Ganancia Unitaria]]*STOCK[[#This Row],[Salidas]]</f>
        <v>0</v>
      </c>
      <c r="Y1573" s="94"/>
      <c r="Z1573" s="94"/>
      <c r="AA1573" s="94">
        <f>STOCK[[#This Row],[Costo total]]*STOCK[[#This Row],[Entradas]]</f>
        <v>9.5</v>
      </c>
      <c r="AB1573" s="94">
        <f>STOCK[[#This Row],[Stock Actual]]*STOCK[[#This Row],[Costo total]]</f>
        <v>9.5</v>
      </c>
      <c r="AC1573" s="94"/>
      <c r="AD1573" s="100"/>
    </row>
    <row r="1574" s="76" customFormat="1" ht="50" customHeight="1" spans="1:30">
      <c r="A1574" s="76" t="s">
        <v>3125</v>
      </c>
      <c r="C1574" s="76" t="s">
        <v>30</v>
      </c>
      <c r="D1574" s="76" t="s">
        <v>778</v>
      </c>
      <c r="E1574" s="76" t="s">
        <v>3126</v>
      </c>
      <c r="F1574" s="76" t="s">
        <v>47</v>
      </c>
      <c r="H1574" s="94">
        <f>STOCK[[#This Row],[Precio Final]]</f>
        <v>15</v>
      </c>
      <c r="I1574" s="98">
        <f>STOCK[[#This Row],[Precio Venta Ideal (x1.5)]]</f>
        <v>14.25</v>
      </c>
      <c r="J1574" s="91">
        <v>1</v>
      </c>
      <c r="K1574" s="96">
        <f>SUMIFS(VENTAS[Cantidad],VENTAS[Código del producto Vendido],STOCK[[#This Row],[Code]])</f>
        <v>0</v>
      </c>
      <c r="L1574" s="96">
        <f>STOCK[[#This Row],[Entradas]]-STOCK[[#This Row],[Salidas]]</f>
        <v>1</v>
      </c>
      <c r="M1574" s="94">
        <f>STOCK[[#This Row],[Precio Final]]*10%</f>
        <v>1.5</v>
      </c>
      <c r="N1574" s="77">
        <v>0</v>
      </c>
      <c r="O1574" s="94">
        <v>0</v>
      </c>
      <c r="P1574" s="76">
        <v>8</v>
      </c>
      <c r="Q1574" s="91">
        <v>0</v>
      </c>
      <c r="R1574" s="76">
        <v>0</v>
      </c>
      <c r="S1574" s="77">
        <v>0</v>
      </c>
      <c r="T1574" s="94">
        <f>STOCK[[#This Row],[Costo Unitario (USD)]]+STOCK[[#This Row],[Costo Envío (USD)]]+STOCK[[#This Row],[Comisión 10%]]</f>
        <v>9.5</v>
      </c>
      <c r="U1574" s="76">
        <f>STOCK[[#This Row],[Costo total]]*1.5</f>
        <v>14.25</v>
      </c>
      <c r="V1574" s="76">
        <v>15</v>
      </c>
      <c r="W1574" s="94">
        <f>STOCK[[#This Row],[Precio Final]]-STOCK[[#This Row],[Costo total]]</f>
        <v>5.5</v>
      </c>
      <c r="X1574" s="94">
        <f>STOCK[[#This Row],[Ganancia Unitaria]]*STOCK[[#This Row],[Salidas]]</f>
        <v>0</v>
      </c>
      <c r="Y1574" s="94"/>
      <c r="Z1574" s="94"/>
      <c r="AA1574" s="94">
        <f>STOCK[[#This Row],[Costo total]]*STOCK[[#This Row],[Entradas]]</f>
        <v>9.5</v>
      </c>
      <c r="AB1574" s="94">
        <f>STOCK[[#This Row],[Stock Actual]]*STOCK[[#This Row],[Costo total]]</f>
        <v>9.5</v>
      </c>
      <c r="AC1574" s="94"/>
      <c r="AD1574" s="100"/>
    </row>
    <row r="1575" s="76" customFormat="1" ht="50" customHeight="1" spans="1:30">
      <c r="A1575" s="76" t="s">
        <v>3127</v>
      </c>
      <c r="C1575" s="76" t="s">
        <v>30</v>
      </c>
      <c r="D1575" s="76" t="s">
        <v>778</v>
      </c>
      <c r="E1575" s="76" t="s">
        <v>3128</v>
      </c>
      <c r="F1575" s="76" t="s">
        <v>47</v>
      </c>
      <c r="H1575" s="94">
        <f>STOCK[[#This Row],[Precio Final]]</f>
        <v>15</v>
      </c>
      <c r="I1575" s="98">
        <f>STOCK[[#This Row],[Precio Venta Ideal (x1.5)]]</f>
        <v>14.25</v>
      </c>
      <c r="J1575" s="91">
        <v>1</v>
      </c>
      <c r="K1575" s="96">
        <f>SUMIFS(VENTAS[Cantidad],VENTAS[Código del producto Vendido],STOCK[[#This Row],[Code]])</f>
        <v>0</v>
      </c>
      <c r="L1575" s="96">
        <f>STOCK[[#This Row],[Entradas]]-STOCK[[#This Row],[Salidas]]</f>
        <v>1</v>
      </c>
      <c r="M1575" s="94">
        <f>STOCK[[#This Row],[Precio Final]]*10%</f>
        <v>1.5</v>
      </c>
      <c r="N1575" s="76">
        <v>0</v>
      </c>
      <c r="O1575" s="94">
        <v>0</v>
      </c>
      <c r="P1575" s="76">
        <v>8</v>
      </c>
      <c r="Q1575" s="92">
        <v>0</v>
      </c>
      <c r="R1575" s="77">
        <v>0</v>
      </c>
      <c r="S1575" s="77">
        <v>0</v>
      </c>
      <c r="T1575" s="94">
        <f>STOCK[[#This Row],[Costo Unitario (USD)]]+STOCK[[#This Row],[Costo Envío (USD)]]+STOCK[[#This Row],[Comisión 10%]]</f>
        <v>9.5</v>
      </c>
      <c r="U1575" s="76">
        <f>STOCK[[#This Row],[Costo total]]*1.5</f>
        <v>14.25</v>
      </c>
      <c r="V1575" s="76">
        <v>15</v>
      </c>
      <c r="W1575" s="94">
        <f>STOCK[[#This Row],[Precio Final]]-STOCK[[#This Row],[Costo total]]</f>
        <v>5.5</v>
      </c>
      <c r="X1575" s="94">
        <f>STOCK[[#This Row],[Ganancia Unitaria]]*STOCK[[#This Row],[Salidas]]</f>
        <v>0</v>
      </c>
      <c r="Y1575" s="94"/>
      <c r="Z1575" s="94"/>
      <c r="AA1575" s="94">
        <f>STOCK[[#This Row],[Costo total]]*STOCK[[#This Row],[Entradas]]</f>
        <v>9.5</v>
      </c>
      <c r="AB1575" s="94">
        <f>STOCK[[#This Row],[Stock Actual]]*STOCK[[#This Row],[Costo total]]</f>
        <v>9.5</v>
      </c>
      <c r="AC1575" s="94"/>
      <c r="AD1575" s="100"/>
    </row>
    <row r="1576" s="76" customFormat="1" ht="50" customHeight="1" spans="1:30">
      <c r="A1576" s="76" t="s">
        <v>3129</v>
      </c>
      <c r="C1576" s="76" t="s">
        <v>30</v>
      </c>
      <c r="D1576" s="76" t="s">
        <v>778</v>
      </c>
      <c r="E1576" s="76" t="s">
        <v>3130</v>
      </c>
      <c r="F1576" s="76" t="s">
        <v>44</v>
      </c>
      <c r="H1576" s="94">
        <f>STOCK[[#This Row],[Precio Final]]</f>
        <v>15</v>
      </c>
      <c r="I1576" s="98">
        <f>STOCK[[#This Row],[Precio Venta Ideal (x1.5)]]</f>
        <v>14.25</v>
      </c>
      <c r="J1576" s="91">
        <v>1</v>
      </c>
      <c r="K1576" s="96">
        <f>SUMIFS(VENTAS[Cantidad],VENTAS[Código del producto Vendido],STOCK[[#This Row],[Code]])</f>
        <v>0</v>
      </c>
      <c r="L1576" s="96">
        <f>STOCK[[#This Row],[Entradas]]-STOCK[[#This Row],[Salidas]]</f>
        <v>1</v>
      </c>
      <c r="M1576" s="94">
        <f>STOCK[[#This Row],[Precio Final]]*10%</f>
        <v>1.5</v>
      </c>
      <c r="N1576" s="77">
        <v>0</v>
      </c>
      <c r="O1576" s="94">
        <v>0</v>
      </c>
      <c r="P1576" s="76">
        <v>8</v>
      </c>
      <c r="Q1576" s="91">
        <v>0</v>
      </c>
      <c r="R1576" s="76">
        <v>0</v>
      </c>
      <c r="S1576" s="76">
        <v>0</v>
      </c>
      <c r="T1576" s="94">
        <f>STOCK[[#This Row],[Costo Unitario (USD)]]+STOCK[[#This Row],[Costo Envío (USD)]]+STOCK[[#This Row],[Comisión 10%]]</f>
        <v>9.5</v>
      </c>
      <c r="U1576" s="76">
        <f>STOCK[[#This Row],[Costo total]]*1.5</f>
        <v>14.25</v>
      </c>
      <c r="V1576" s="76">
        <v>15</v>
      </c>
      <c r="W1576" s="94">
        <f>STOCK[[#This Row],[Precio Final]]-STOCK[[#This Row],[Costo total]]</f>
        <v>5.5</v>
      </c>
      <c r="X1576" s="94">
        <f>STOCK[[#This Row],[Ganancia Unitaria]]*STOCK[[#This Row],[Salidas]]</f>
        <v>0</v>
      </c>
      <c r="Y1576" s="94"/>
      <c r="Z1576" s="94"/>
      <c r="AA1576" s="94">
        <f>STOCK[[#This Row],[Costo total]]*STOCK[[#This Row],[Entradas]]</f>
        <v>9.5</v>
      </c>
      <c r="AB1576" s="94">
        <f>STOCK[[#This Row],[Stock Actual]]*STOCK[[#This Row],[Costo total]]</f>
        <v>9.5</v>
      </c>
      <c r="AC1576" s="94"/>
      <c r="AD1576" s="100"/>
    </row>
    <row r="1577" s="76" customFormat="1" ht="50" customHeight="1" spans="1:30">
      <c r="A1577" s="76" t="s">
        <v>3131</v>
      </c>
      <c r="C1577" s="76" t="s">
        <v>30</v>
      </c>
      <c r="D1577" s="76" t="s">
        <v>778</v>
      </c>
      <c r="E1577" s="76" t="s">
        <v>3132</v>
      </c>
      <c r="F1577" s="76" t="s">
        <v>44</v>
      </c>
      <c r="H1577" s="94">
        <f>STOCK[[#This Row],[Precio Final]]</f>
        <v>15</v>
      </c>
      <c r="I1577" s="98">
        <f>STOCK[[#This Row],[Precio Venta Ideal (x1.5)]]</f>
        <v>14.25</v>
      </c>
      <c r="J1577" s="91">
        <v>1</v>
      </c>
      <c r="K1577" s="96">
        <f>SUMIFS(VENTAS[Cantidad],VENTAS[Código del producto Vendido],STOCK[[#This Row],[Code]])</f>
        <v>0</v>
      </c>
      <c r="L1577" s="96">
        <f>STOCK[[#This Row],[Entradas]]-STOCK[[#This Row],[Salidas]]</f>
        <v>1</v>
      </c>
      <c r="M1577" s="94">
        <f>STOCK[[#This Row],[Precio Final]]*10%</f>
        <v>1.5</v>
      </c>
      <c r="N1577" s="77">
        <v>0</v>
      </c>
      <c r="O1577" s="94">
        <v>0</v>
      </c>
      <c r="P1577" s="76">
        <v>8</v>
      </c>
      <c r="Q1577" s="91">
        <v>0</v>
      </c>
      <c r="R1577" s="77">
        <v>0</v>
      </c>
      <c r="S1577" s="77">
        <v>0</v>
      </c>
      <c r="T1577" s="94">
        <f>STOCK[[#This Row],[Costo Unitario (USD)]]+STOCK[[#This Row],[Costo Envío (USD)]]+STOCK[[#This Row],[Comisión 10%]]</f>
        <v>9.5</v>
      </c>
      <c r="U1577" s="76">
        <f>STOCK[[#This Row],[Costo total]]*1.5</f>
        <v>14.25</v>
      </c>
      <c r="V1577" s="76">
        <v>15</v>
      </c>
      <c r="W1577" s="94">
        <f>STOCK[[#This Row],[Precio Final]]-STOCK[[#This Row],[Costo total]]</f>
        <v>5.5</v>
      </c>
      <c r="X1577" s="94">
        <f>STOCK[[#This Row],[Ganancia Unitaria]]*STOCK[[#This Row],[Salidas]]</f>
        <v>0</v>
      </c>
      <c r="Y1577" s="94"/>
      <c r="Z1577" s="94"/>
      <c r="AA1577" s="94">
        <f>STOCK[[#This Row],[Costo total]]*STOCK[[#This Row],[Entradas]]</f>
        <v>9.5</v>
      </c>
      <c r="AB1577" s="94">
        <f>STOCK[[#This Row],[Stock Actual]]*STOCK[[#This Row],[Costo total]]</f>
        <v>9.5</v>
      </c>
      <c r="AC1577" s="94"/>
      <c r="AD1577" s="100"/>
    </row>
    <row r="1578" s="76" customFormat="1" ht="50" customHeight="1" spans="1:30">
      <c r="A1578" s="76" t="s">
        <v>3133</v>
      </c>
      <c r="C1578" s="76" t="s">
        <v>30</v>
      </c>
      <c r="D1578" s="76" t="s">
        <v>778</v>
      </c>
      <c r="E1578" s="76" t="s">
        <v>3134</v>
      </c>
      <c r="F1578" s="76" t="s">
        <v>44</v>
      </c>
      <c r="H1578" s="94">
        <f>STOCK[[#This Row],[Precio Final]]</f>
        <v>15</v>
      </c>
      <c r="I1578" s="98">
        <f>STOCK[[#This Row],[Precio Venta Ideal (x1.5)]]</f>
        <v>14.25</v>
      </c>
      <c r="J1578" s="91">
        <v>1</v>
      </c>
      <c r="K1578" s="96">
        <f>SUMIFS(VENTAS[Cantidad],VENTAS[Código del producto Vendido],STOCK[[#This Row],[Code]])</f>
        <v>0</v>
      </c>
      <c r="L1578" s="96">
        <f>STOCK[[#This Row],[Entradas]]-STOCK[[#This Row],[Salidas]]</f>
        <v>1</v>
      </c>
      <c r="M1578" s="94">
        <f>STOCK[[#This Row],[Precio Final]]*10%</f>
        <v>1.5</v>
      </c>
      <c r="N1578" s="76">
        <v>0</v>
      </c>
      <c r="O1578" s="94">
        <v>0</v>
      </c>
      <c r="P1578" s="76">
        <v>8</v>
      </c>
      <c r="Q1578" s="92">
        <v>0</v>
      </c>
      <c r="R1578" s="76">
        <v>0</v>
      </c>
      <c r="S1578" s="77">
        <v>0</v>
      </c>
      <c r="T1578" s="94">
        <f>STOCK[[#This Row],[Costo Unitario (USD)]]+STOCK[[#This Row],[Costo Envío (USD)]]+STOCK[[#This Row],[Comisión 10%]]</f>
        <v>9.5</v>
      </c>
      <c r="U1578" s="76">
        <f>STOCK[[#This Row],[Costo total]]*1.5</f>
        <v>14.25</v>
      </c>
      <c r="V1578" s="76">
        <v>15</v>
      </c>
      <c r="W1578" s="94">
        <f>STOCK[[#This Row],[Precio Final]]-STOCK[[#This Row],[Costo total]]</f>
        <v>5.5</v>
      </c>
      <c r="X1578" s="94">
        <f>STOCK[[#This Row],[Ganancia Unitaria]]*STOCK[[#This Row],[Salidas]]</f>
        <v>0</v>
      </c>
      <c r="Y1578" s="94"/>
      <c r="Z1578" s="94"/>
      <c r="AA1578" s="94">
        <f>STOCK[[#This Row],[Costo total]]*STOCK[[#This Row],[Entradas]]</f>
        <v>9.5</v>
      </c>
      <c r="AB1578" s="94">
        <f>STOCK[[#This Row],[Stock Actual]]*STOCK[[#This Row],[Costo total]]</f>
        <v>9.5</v>
      </c>
      <c r="AC1578" s="94"/>
      <c r="AD1578" s="100"/>
    </row>
    <row r="1579" s="76" customFormat="1" ht="50" customHeight="1" spans="1:30">
      <c r="A1579" s="76" t="s">
        <v>3135</v>
      </c>
      <c r="C1579" s="76" t="s">
        <v>30</v>
      </c>
      <c r="D1579" s="76" t="s">
        <v>778</v>
      </c>
      <c r="E1579" s="76" t="s">
        <v>3136</v>
      </c>
      <c r="F1579" s="76" t="s">
        <v>38</v>
      </c>
      <c r="H1579" s="94">
        <f>STOCK[[#This Row],[Precio Final]]</f>
        <v>15</v>
      </c>
      <c r="I1579" s="98">
        <f>STOCK[[#This Row],[Precio Venta Ideal (x1.5)]]</f>
        <v>14.25</v>
      </c>
      <c r="J1579" s="91">
        <v>1</v>
      </c>
      <c r="K1579" s="96">
        <f>SUMIFS(VENTAS[Cantidad],VENTAS[Código del producto Vendido],STOCK[[#This Row],[Code]])</f>
        <v>0</v>
      </c>
      <c r="L1579" s="96">
        <f>STOCK[[#This Row],[Entradas]]-STOCK[[#This Row],[Salidas]]</f>
        <v>1</v>
      </c>
      <c r="M1579" s="94">
        <f>STOCK[[#This Row],[Precio Final]]*10%</f>
        <v>1.5</v>
      </c>
      <c r="N1579" s="77">
        <v>0</v>
      </c>
      <c r="O1579" s="94">
        <v>0</v>
      </c>
      <c r="P1579" s="76">
        <v>8</v>
      </c>
      <c r="Q1579" s="91">
        <v>0</v>
      </c>
      <c r="R1579" s="77">
        <v>0</v>
      </c>
      <c r="S1579" s="76">
        <v>0</v>
      </c>
      <c r="T1579" s="94">
        <f>STOCK[[#This Row],[Costo Unitario (USD)]]+STOCK[[#This Row],[Costo Envío (USD)]]+STOCK[[#This Row],[Comisión 10%]]</f>
        <v>9.5</v>
      </c>
      <c r="U1579" s="76">
        <f>STOCK[[#This Row],[Costo total]]*1.5</f>
        <v>14.25</v>
      </c>
      <c r="V1579" s="76">
        <v>15</v>
      </c>
      <c r="W1579" s="94">
        <f>STOCK[[#This Row],[Precio Final]]-STOCK[[#This Row],[Costo total]]</f>
        <v>5.5</v>
      </c>
      <c r="X1579" s="94">
        <f>STOCK[[#This Row],[Ganancia Unitaria]]*STOCK[[#This Row],[Salidas]]</f>
        <v>0</v>
      </c>
      <c r="Y1579" s="94"/>
      <c r="Z1579" s="94"/>
      <c r="AA1579" s="94">
        <f>STOCK[[#This Row],[Costo total]]*STOCK[[#This Row],[Entradas]]</f>
        <v>9.5</v>
      </c>
      <c r="AB1579" s="94">
        <f>STOCK[[#This Row],[Stock Actual]]*STOCK[[#This Row],[Costo total]]</f>
        <v>9.5</v>
      </c>
      <c r="AC1579" s="94"/>
      <c r="AD1579" s="100"/>
    </row>
    <row r="1580" s="76" customFormat="1" ht="50" customHeight="1" spans="1:30">
      <c r="A1580" s="76" t="s">
        <v>3137</v>
      </c>
      <c r="B1580" s="91" t="str">
        <f>_xlfn.DISPIMG("ID_F6391F3813FA4E8FA4EC1E07ADF257DE",1)</f>
        <v>=DISPIMG("ID_F6391F3813FA4E8FA4EC1E07ADF257DE",1)</v>
      </c>
      <c r="C1580" s="76" t="s">
        <v>30</v>
      </c>
      <c r="D1580" s="76" t="s">
        <v>778</v>
      </c>
      <c r="E1580" s="76" t="s">
        <v>3138</v>
      </c>
      <c r="F1580" s="76" t="s">
        <v>47</v>
      </c>
      <c r="H1580" s="94">
        <f>STOCK[[#This Row],[Precio Final]]</f>
        <v>22</v>
      </c>
      <c r="I1580" s="98">
        <f>STOCK[[#This Row],[Precio Venta Ideal (x1.5)]]</f>
        <v>21.3</v>
      </c>
      <c r="J1580" s="91">
        <v>1</v>
      </c>
      <c r="K1580" s="96">
        <f>SUMIFS(VENTAS[Cantidad],VENTAS[Código del producto Vendido],STOCK[[#This Row],[Code]])</f>
        <v>0</v>
      </c>
      <c r="L1580" s="96">
        <f>STOCK[[#This Row],[Entradas]]-STOCK[[#This Row],[Salidas]]</f>
        <v>1</v>
      </c>
      <c r="M1580" s="94">
        <f>STOCK[[#This Row],[Precio Final]]*10%</f>
        <v>2.2</v>
      </c>
      <c r="N1580" s="77">
        <v>0</v>
      </c>
      <c r="O1580" s="94">
        <v>0</v>
      </c>
      <c r="P1580" s="76">
        <v>12</v>
      </c>
      <c r="Q1580" s="91">
        <v>0</v>
      </c>
      <c r="R1580" s="76">
        <v>0</v>
      </c>
      <c r="S1580" s="77">
        <v>0</v>
      </c>
      <c r="T1580" s="94">
        <f>STOCK[[#This Row],[Costo Unitario (USD)]]+STOCK[[#This Row],[Costo Envío (USD)]]+STOCK[[#This Row],[Comisión 10%]]</f>
        <v>14.2</v>
      </c>
      <c r="U1580" s="76">
        <f>STOCK[[#This Row],[Costo total]]*1.5</f>
        <v>21.3</v>
      </c>
      <c r="V1580" s="76">
        <v>22</v>
      </c>
      <c r="W1580" s="94">
        <f>STOCK[[#This Row],[Precio Final]]-STOCK[[#This Row],[Costo total]]</f>
        <v>7.8</v>
      </c>
      <c r="X1580" s="94">
        <f>STOCK[[#This Row],[Ganancia Unitaria]]*STOCK[[#This Row],[Salidas]]</f>
        <v>0</v>
      </c>
      <c r="Y1580" s="94"/>
      <c r="Z1580" s="94"/>
      <c r="AA1580" s="94">
        <f>STOCK[[#This Row],[Costo total]]*STOCK[[#This Row],[Entradas]]</f>
        <v>14.2</v>
      </c>
      <c r="AB1580" s="94">
        <f>STOCK[[#This Row],[Stock Actual]]*STOCK[[#This Row],[Costo total]]</f>
        <v>14.2</v>
      </c>
      <c r="AC1580" s="94"/>
      <c r="AD1580" s="100"/>
    </row>
    <row r="1581" s="76" customFormat="1" ht="50" customHeight="1" spans="1:30">
      <c r="A1581" s="76" t="s">
        <v>3139</v>
      </c>
      <c r="C1581" s="76" t="s">
        <v>30</v>
      </c>
      <c r="D1581" s="76" t="s">
        <v>778</v>
      </c>
      <c r="E1581" s="76" t="s">
        <v>3140</v>
      </c>
      <c r="F1581" s="76" t="s">
        <v>60</v>
      </c>
      <c r="H1581" s="94">
        <f>STOCK[[#This Row],[Precio Final]]</f>
        <v>25</v>
      </c>
      <c r="I1581" s="98">
        <f>STOCK[[#This Row],[Precio Venta Ideal (x1.5)]]</f>
        <v>21.75</v>
      </c>
      <c r="J1581" s="91">
        <v>1</v>
      </c>
      <c r="K1581" s="96">
        <f>SUMIFS(VENTAS[Cantidad],VENTAS[Código del producto Vendido],STOCK[[#This Row],[Code]])</f>
        <v>1</v>
      </c>
      <c r="L1581" s="96">
        <f>STOCK[[#This Row],[Entradas]]-STOCK[[#This Row],[Salidas]]</f>
        <v>0</v>
      </c>
      <c r="M1581" s="94">
        <f>STOCK[[#This Row],[Precio Final]]*10%</f>
        <v>2.5</v>
      </c>
      <c r="N1581" s="76">
        <v>0</v>
      </c>
      <c r="O1581" s="94">
        <v>0</v>
      </c>
      <c r="P1581" s="76">
        <v>12</v>
      </c>
      <c r="Q1581" s="92">
        <v>0</v>
      </c>
      <c r="R1581" s="77">
        <v>0</v>
      </c>
      <c r="S1581" s="77">
        <v>0</v>
      </c>
      <c r="T1581" s="94">
        <f>STOCK[[#This Row],[Costo Unitario (USD)]]+STOCK[[#This Row],[Costo Envío (USD)]]+STOCK[[#This Row],[Comisión 10%]]</f>
        <v>14.5</v>
      </c>
      <c r="U1581" s="76">
        <f>STOCK[[#This Row],[Costo total]]*1.5</f>
        <v>21.75</v>
      </c>
      <c r="V1581" s="76">
        <v>25</v>
      </c>
      <c r="W1581" s="94">
        <f>STOCK[[#This Row],[Precio Final]]-STOCK[[#This Row],[Costo total]]</f>
        <v>10.5</v>
      </c>
      <c r="X1581" s="94">
        <f>STOCK[[#This Row],[Ganancia Unitaria]]*STOCK[[#This Row],[Salidas]]</f>
        <v>10.5</v>
      </c>
      <c r="Y1581" s="94"/>
      <c r="Z1581" s="94"/>
      <c r="AA1581" s="94">
        <f>STOCK[[#This Row],[Costo total]]*STOCK[[#This Row],[Entradas]]</f>
        <v>14.5</v>
      </c>
      <c r="AB1581" s="94">
        <f>STOCK[[#This Row],[Stock Actual]]*STOCK[[#This Row],[Costo total]]</f>
        <v>0</v>
      </c>
      <c r="AC1581" s="94"/>
      <c r="AD1581" s="100"/>
    </row>
    <row r="1582" s="76" customFormat="1" ht="50" customHeight="1" spans="1:30">
      <c r="A1582" s="76" t="s">
        <v>3141</v>
      </c>
      <c r="B1582" s="91" t="str">
        <f>_xlfn.DISPIMG("ID_315F63E0D5474F3D9FF9A5DDC0C4A126",1)</f>
        <v>=DISPIMG("ID_315F63E0D5474F3D9FF9A5DDC0C4A126",1)</v>
      </c>
      <c r="C1582" s="76" t="s">
        <v>30</v>
      </c>
      <c r="D1582" s="76" t="s">
        <v>778</v>
      </c>
      <c r="E1582" s="76" t="s">
        <v>3142</v>
      </c>
      <c r="F1582" s="76" t="s">
        <v>38</v>
      </c>
      <c r="H1582" s="94">
        <f>STOCK[[#This Row],[Precio Final]]</f>
        <v>25</v>
      </c>
      <c r="I1582" s="98">
        <f>STOCK[[#This Row],[Precio Venta Ideal (x1.5)]]</f>
        <v>21.75</v>
      </c>
      <c r="J1582" s="91">
        <v>1</v>
      </c>
      <c r="K1582" s="96">
        <f>SUMIFS(VENTAS[Cantidad],VENTAS[Código del producto Vendido],STOCK[[#This Row],[Code]])</f>
        <v>0</v>
      </c>
      <c r="L1582" s="96">
        <f>STOCK[[#This Row],[Entradas]]-STOCK[[#This Row],[Salidas]]</f>
        <v>1</v>
      </c>
      <c r="M1582" s="94">
        <f>STOCK[[#This Row],[Precio Final]]*10%</f>
        <v>2.5</v>
      </c>
      <c r="N1582" s="77">
        <v>0</v>
      </c>
      <c r="O1582" s="94">
        <v>0</v>
      </c>
      <c r="P1582" s="76">
        <v>12</v>
      </c>
      <c r="Q1582" s="91">
        <v>0</v>
      </c>
      <c r="R1582" s="76">
        <v>0</v>
      </c>
      <c r="S1582" s="76">
        <v>0</v>
      </c>
      <c r="T1582" s="94">
        <f>STOCK[[#This Row],[Costo Unitario (USD)]]+STOCK[[#This Row],[Costo Envío (USD)]]+STOCK[[#This Row],[Comisión 10%]]</f>
        <v>14.5</v>
      </c>
      <c r="U1582" s="76">
        <f>STOCK[[#This Row],[Costo total]]*1.5</f>
        <v>21.75</v>
      </c>
      <c r="V1582" s="76">
        <v>25</v>
      </c>
      <c r="W1582" s="94">
        <f>STOCK[[#This Row],[Precio Final]]-STOCK[[#This Row],[Costo total]]</f>
        <v>10.5</v>
      </c>
      <c r="X1582" s="94">
        <f>STOCK[[#This Row],[Ganancia Unitaria]]*STOCK[[#This Row],[Salidas]]</f>
        <v>0</v>
      </c>
      <c r="Y1582" s="94"/>
      <c r="Z1582" s="94"/>
      <c r="AA1582" s="94">
        <f>STOCK[[#This Row],[Costo total]]*STOCK[[#This Row],[Entradas]]</f>
        <v>14.5</v>
      </c>
      <c r="AB1582" s="94">
        <f>STOCK[[#This Row],[Stock Actual]]*STOCK[[#This Row],[Costo total]]</f>
        <v>14.5</v>
      </c>
      <c r="AC1582" s="94"/>
      <c r="AD1582" s="100"/>
    </row>
    <row r="1583" s="76" customFormat="1" ht="50" customHeight="1" spans="1:30">
      <c r="A1583" s="76" t="s">
        <v>3143</v>
      </c>
      <c r="B1583" s="91" t="str">
        <f>_xlfn.DISPIMG("ID_677C6FEC13954461A125BE698441BF2E",1)</f>
        <v>=DISPIMG("ID_677C6FEC13954461A125BE698441BF2E",1)</v>
      </c>
      <c r="C1583" s="76" t="s">
        <v>30</v>
      </c>
      <c r="D1583" s="76" t="s">
        <v>778</v>
      </c>
      <c r="E1583" s="76" t="s">
        <v>3144</v>
      </c>
      <c r="F1583" s="76" t="s">
        <v>60</v>
      </c>
      <c r="H1583" s="94">
        <f>STOCK[[#This Row],[Precio Final]]</f>
        <v>25</v>
      </c>
      <c r="I1583" s="98">
        <f>STOCK[[#This Row],[Precio Venta Ideal (x1.5)]]</f>
        <v>21.75</v>
      </c>
      <c r="J1583" s="91">
        <v>1</v>
      </c>
      <c r="K1583" s="96">
        <f>SUMIFS(VENTAS[Cantidad],VENTAS[Código del producto Vendido],STOCK[[#This Row],[Code]])</f>
        <v>0</v>
      </c>
      <c r="L1583" s="96">
        <f>STOCK[[#This Row],[Entradas]]-STOCK[[#This Row],[Salidas]]</f>
        <v>1</v>
      </c>
      <c r="M1583" s="94">
        <f>STOCK[[#This Row],[Precio Final]]*10%</f>
        <v>2.5</v>
      </c>
      <c r="N1583" s="77">
        <v>0</v>
      </c>
      <c r="O1583" s="94">
        <v>0</v>
      </c>
      <c r="P1583" s="76">
        <v>12</v>
      </c>
      <c r="Q1583" s="91">
        <v>0</v>
      </c>
      <c r="R1583" s="77">
        <v>0</v>
      </c>
      <c r="S1583" s="77">
        <v>0</v>
      </c>
      <c r="T1583" s="94">
        <f>STOCK[[#This Row],[Costo Unitario (USD)]]+STOCK[[#This Row],[Costo Envío (USD)]]+STOCK[[#This Row],[Comisión 10%]]</f>
        <v>14.5</v>
      </c>
      <c r="U1583" s="76">
        <f>STOCK[[#This Row],[Costo total]]*1.5</f>
        <v>21.75</v>
      </c>
      <c r="V1583" s="76">
        <v>25</v>
      </c>
      <c r="W1583" s="94">
        <f>STOCK[[#This Row],[Precio Final]]-STOCK[[#This Row],[Costo total]]</f>
        <v>10.5</v>
      </c>
      <c r="X1583" s="94">
        <f>STOCK[[#This Row],[Ganancia Unitaria]]*STOCK[[#This Row],[Salidas]]</f>
        <v>0</v>
      </c>
      <c r="Y1583" s="94"/>
      <c r="Z1583" s="94"/>
      <c r="AA1583" s="94">
        <f>STOCK[[#This Row],[Costo total]]*STOCK[[#This Row],[Entradas]]</f>
        <v>14.5</v>
      </c>
      <c r="AB1583" s="94">
        <f>STOCK[[#This Row],[Stock Actual]]*STOCK[[#This Row],[Costo total]]</f>
        <v>14.5</v>
      </c>
      <c r="AC1583" s="94"/>
      <c r="AD1583" s="100"/>
    </row>
    <row r="1584" s="76" customFormat="1" ht="50" customHeight="1" spans="1:30">
      <c r="A1584" s="76" t="s">
        <v>3145</v>
      </c>
      <c r="B1584" s="91" t="str">
        <f>_xlfn.DISPIMG("ID_889E5EDE8DBF42C6AEB0EA24F37D82AF",1)</f>
        <v>=DISPIMG("ID_889E5EDE8DBF42C6AEB0EA24F37D82AF",1)</v>
      </c>
      <c r="C1584" s="76" t="s">
        <v>30</v>
      </c>
      <c r="D1584" s="76" t="s">
        <v>778</v>
      </c>
      <c r="E1584" s="76" t="s">
        <v>3146</v>
      </c>
      <c r="F1584" s="76" t="s">
        <v>60</v>
      </c>
      <c r="H1584" s="94">
        <f>STOCK[[#This Row],[Precio Final]]</f>
        <v>25</v>
      </c>
      <c r="I1584" s="98">
        <f>STOCK[[#This Row],[Precio Venta Ideal (x1.5)]]</f>
        <v>21.75</v>
      </c>
      <c r="J1584" s="91">
        <v>1</v>
      </c>
      <c r="K1584" s="96">
        <f>SUMIFS(VENTAS[Cantidad],VENTAS[Código del producto Vendido],STOCK[[#This Row],[Code]])</f>
        <v>0</v>
      </c>
      <c r="L1584" s="96">
        <f>STOCK[[#This Row],[Entradas]]-STOCK[[#This Row],[Salidas]]</f>
        <v>1</v>
      </c>
      <c r="M1584" s="94">
        <f>STOCK[[#This Row],[Precio Final]]*10%</f>
        <v>2.5</v>
      </c>
      <c r="N1584" s="76">
        <v>0</v>
      </c>
      <c r="O1584" s="94">
        <v>0</v>
      </c>
      <c r="P1584" s="76">
        <v>12</v>
      </c>
      <c r="Q1584" s="92">
        <v>0</v>
      </c>
      <c r="R1584" s="76">
        <v>0</v>
      </c>
      <c r="S1584" s="77">
        <v>0</v>
      </c>
      <c r="T1584" s="94">
        <f>STOCK[[#This Row],[Costo Unitario (USD)]]+STOCK[[#This Row],[Costo Envío (USD)]]+STOCK[[#This Row],[Comisión 10%]]</f>
        <v>14.5</v>
      </c>
      <c r="U1584" s="76">
        <f>STOCK[[#This Row],[Costo total]]*1.5</f>
        <v>21.75</v>
      </c>
      <c r="V1584" s="76">
        <v>25</v>
      </c>
      <c r="W1584" s="94">
        <f>STOCK[[#This Row],[Precio Final]]-STOCK[[#This Row],[Costo total]]</f>
        <v>10.5</v>
      </c>
      <c r="X1584" s="94">
        <f>STOCK[[#This Row],[Ganancia Unitaria]]*STOCK[[#This Row],[Salidas]]</f>
        <v>0</v>
      </c>
      <c r="Y1584" s="94"/>
      <c r="Z1584" s="94"/>
      <c r="AA1584" s="94">
        <f>STOCK[[#This Row],[Costo total]]*STOCK[[#This Row],[Entradas]]</f>
        <v>14.5</v>
      </c>
      <c r="AB1584" s="94">
        <f>STOCK[[#This Row],[Stock Actual]]*STOCK[[#This Row],[Costo total]]</f>
        <v>14.5</v>
      </c>
      <c r="AC1584" s="94"/>
      <c r="AD1584" s="100"/>
    </row>
    <row r="1585" s="76" customFormat="1" ht="50" customHeight="1" spans="1:30">
      <c r="A1585" s="76" t="s">
        <v>3147</v>
      </c>
      <c r="B1585" s="91" t="str">
        <f>_xlfn.DISPIMG("ID_C124F5B9512D4E3CA04E0645BE99C60D",1)</f>
        <v>=DISPIMG("ID_C124F5B9512D4E3CA04E0645BE99C60D",1)</v>
      </c>
      <c r="C1585" s="76" t="s">
        <v>30</v>
      </c>
      <c r="D1585" s="76" t="s">
        <v>778</v>
      </c>
      <c r="E1585" s="76" t="s">
        <v>3148</v>
      </c>
      <c r="F1585" s="76" t="s">
        <v>47</v>
      </c>
      <c r="H1585" s="94">
        <f>STOCK[[#This Row],[Precio Final]]</f>
        <v>25</v>
      </c>
      <c r="I1585" s="98">
        <f>STOCK[[#This Row],[Precio Venta Ideal (x1.5)]]</f>
        <v>21.75</v>
      </c>
      <c r="J1585" s="91">
        <v>1</v>
      </c>
      <c r="K1585" s="96">
        <f>SUMIFS(VENTAS[Cantidad],VENTAS[Código del producto Vendido],STOCK[[#This Row],[Code]])</f>
        <v>0</v>
      </c>
      <c r="L1585" s="96">
        <f>STOCK[[#This Row],[Entradas]]-STOCK[[#This Row],[Salidas]]</f>
        <v>1</v>
      </c>
      <c r="M1585" s="94">
        <f>STOCK[[#This Row],[Precio Final]]*10%</f>
        <v>2.5</v>
      </c>
      <c r="N1585" s="77">
        <v>0</v>
      </c>
      <c r="O1585" s="94">
        <v>0</v>
      </c>
      <c r="P1585" s="76">
        <v>12</v>
      </c>
      <c r="Q1585" s="91">
        <v>0</v>
      </c>
      <c r="R1585" s="77">
        <v>0</v>
      </c>
      <c r="S1585" s="76">
        <v>0</v>
      </c>
      <c r="T1585" s="94">
        <f>STOCK[[#This Row],[Costo Unitario (USD)]]+STOCK[[#This Row],[Costo Envío (USD)]]+STOCK[[#This Row],[Comisión 10%]]</f>
        <v>14.5</v>
      </c>
      <c r="U1585" s="76">
        <f>STOCK[[#This Row],[Costo total]]*1.5</f>
        <v>21.75</v>
      </c>
      <c r="V1585" s="76">
        <v>25</v>
      </c>
      <c r="W1585" s="94">
        <f>STOCK[[#This Row],[Precio Final]]-STOCK[[#This Row],[Costo total]]</f>
        <v>10.5</v>
      </c>
      <c r="X1585" s="94">
        <f>STOCK[[#This Row],[Ganancia Unitaria]]*STOCK[[#This Row],[Salidas]]</f>
        <v>0</v>
      </c>
      <c r="Y1585" s="94"/>
      <c r="Z1585" s="94"/>
      <c r="AA1585" s="94">
        <f>STOCK[[#This Row],[Costo total]]*STOCK[[#This Row],[Entradas]]</f>
        <v>14.5</v>
      </c>
      <c r="AB1585" s="94">
        <f>STOCK[[#This Row],[Stock Actual]]*STOCK[[#This Row],[Costo total]]</f>
        <v>14.5</v>
      </c>
      <c r="AC1585" s="94"/>
      <c r="AD1585" s="100"/>
    </row>
    <row r="1586" s="76" customFormat="1" ht="50" customHeight="1" spans="1:30">
      <c r="A1586" s="76" t="s">
        <v>3149</v>
      </c>
      <c r="B1586" s="91" t="str">
        <f>_xlfn.DISPIMG("ID_894A73110135420E8DEE306F1483BDB8",1)</f>
        <v>=DISPIMG("ID_894A73110135420E8DEE306F1483BDB8",1)</v>
      </c>
      <c r="C1586" s="76" t="s">
        <v>30</v>
      </c>
      <c r="D1586" s="76" t="s">
        <v>778</v>
      </c>
      <c r="E1586" s="76" t="s">
        <v>3150</v>
      </c>
      <c r="F1586" s="76" t="s">
        <v>60</v>
      </c>
      <c r="H1586" s="94">
        <f>STOCK[[#This Row],[Precio Final]]</f>
        <v>20</v>
      </c>
      <c r="I1586" s="98">
        <f>STOCK[[#This Row],[Precio Venta Ideal (x1.5)]]</f>
        <v>21</v>
      </c>
      <c r="J1586" s="91">
        <v>1</v>
      </c>
      <c r="K1586" s="96">
        <f>SUMIFS(VENTAS[Cantidad],VENTAS[Código del producto Vendido],STOCK[[#This Row],[Code]])</f>
        <v>0</v>
      </c>
      <c r="L1586" s="96">
        <f>STOCK[[#This Row],[Entradas]]-STOCK[[#This Row],[Salidas]]</f>
        <v>1</v>
      </c>
      <c r="M1586" s="94">
        <f>STOCK[[#This Row],[Precio Final]]*10%</f>
        <v>2</v>
      </c>
      <c r="N1586" s="77">
        <v>0</v>
      </c>
      <c r="O1586" s="94">
        <v>0</v>
      </c>
      <c r="P1586" s="76">
        <v>12</v>
      </c>
      <c r="Q1586" s="91">
        <v>0</v>
      </c>
      <c r="R1586" s="76">
        <v>0</v>
      </c>
      <c r="S1586" s="77">
        <v>0</v>
      </c>
      <c r="T1586" s="94">
        <f>STOCK[[#This Row],[Costo Unitario (USD)]]+STOCK[[#This Row],[Costo Envío (USD)]]+STOCK[[#This Row],[Comisión 10%]]</f>
        <v>14</v>
      </c>
      <c r="U1586" s="76">
        <f>STOCK[[#This Row],[Costo total]]*1.5</f>
        <v>21</v>
      </c>
      <c r="V1586" s="76">
        <v>20</v>
      </c>
      <c r="W1586" s="94">
        <f>STOCK[[#This Row],[Precio Final]]-STOCK[[#This Row],[Costo total]]</f>
        <v>6</v>
      </c>
      <c r="X1586" s="94">
        <f>STOCK[[#This Row],[Ganancia Unitaria]]*STOCK[[#This Row],[Salidas]]</f>
        <v>0</v>
      </c>
      <c r="Y1586" s="94"/>
      <c r="Z1586" s="94"/>
      <c r="AA1586" s="94">
        <f>STOCK[[#This Row],[Costo total]]*STOCK[[#This Row],[Entradas]]</f>
        <v>14</v>
      </c>
      <c r="AB1586" s="94">
        <f>STOCK[[#This Row],[Stock Actual]]*STOCK[[#This Row],[Costo total]]</f>
        <v>14</v>
      </c>
      <c r="AC1586" s="94"/>
      <c r="AD1586" s="100"/>
    </row>
    <row r="1587" s="76" customFormat="1" ht="50" customHeight="1" spans="1:30">
      <c r="A1587" s="76" t="s">
        <v>3151</v>
      </c>
      <c r="C1587" s="76" t="s">
        <v>30</v>
      </c>
      <c r="D1587" s="76" t="s">
        <v>778</v>
      </c>
      <c r="E1587" s="76" t="s">
        <v>3152</v>
      </c>
      <c r="F1587" s="76" t="s">
        <v>44</v>
      </c>
      <c r="H1587" s="94">
        <f>STOCK[[#This Row],[Precio Final]]</f>
        <v>20</v>
      </c>
      <c r="I1587" s="98">
        <f>STOCK[[#This Row],[Precio Venta Ideal (x1.5)]]</f>
        <v>15</v>
      </c>
      <c r="J1587" s="91">
        <v>1</v>
      </c>
      <c r="K1587" s="96">
        <f>SUMIFS(VENTAS[Cantidad],VENTAS[Código del producto Vendido],STOCK[[#This Row],[Code]])</f>
        <v>0</v>
      </c>
      <c r="L1587" s="96">
        <f>STOCK[[#This Row],[Entradas]]-STOCK[[#This Row],[Salidas]]</f>
        <v>1</v>
      </c>
      <c r="M1587" s="94">
        <f>STOCK[[#This Row],[Precio Final]]*10%</f>
        <v>2</v>
      </c>
      <c r="N1587" s="76">
        <v>0</v>
      </c>
      <c r="O1587" s="94">
        <v>0</v>
      </c>
      <c r="P1587" s="76">
        <v>8</v>
      </c>
      <c r="Q1587" s="92">
        <v>0</v>
      </c>
      <c r="R1587" s="77">
        <v>0</v>
      </c>
      <c r="S1587" s="77">
        <v>0</v>
      </c>
      <c r="T1587" s="94">
        <f>STOCK[[#This Row],[Costo Unitario (USD)]]+STOCK[[#This Row],[Costo Envío (USD)]]+STOCK[[#This Row],[Comisión 10%]]</f>
        <v>10</v>
      </c>
      <c r="U1587" s="76">
        <f>STOCK[[#This Row],[Costo total]]*1.5</f>
        <v>15</v>
      </c>
      <c r="V1587" s="76">
        <v>20</v>
      </c>
      <c r="W1587" s="94">
        <f>STOCK[[#This Row],[Precio Final]]-STOCK[[#This Row],[Costo total]]</f>
        <v>10</v>
      </c>
      <c r="X1587" s="94">
        <f>STOCK[[#This Row],[Ganancia Unitaria]]*STOCK[[#This Row],[Salidas]]</f>
        <v>0</v>
      </c>
      <c r="Y1587" s="94"/>
      <c r="Z1587" s="94"/>
      <c r="AA1587" s="94">
        <f>STOCK[[#This Row],[Costo total]]*STOCK[[#This Row],[Entradas]]</f>
        <v>10</v>
      </c>
      <c r="AB1587" s="94">
        <f>STOCK[[#This Row],[Stock Actual]]*STOCK[[#This Row],[Costo total]]</f>
        <v>10</v>
      </c>
      <c r="AC1587" s="94"/>
      <c r="AD1587" s="100"/>
    </row>
    <row r="1588" s="76" customFormat="1" ht="50" customHeight="1" spans="1:30">
      <c r="A1588" s="76" t="s">
        <v>3153</v>
      </c>
      <c r="C1588" s="76" t="s">
        <v>30</v>
      </c>
      <c r="D1588" s="76" t="s">
        <v>778</v>
      </c>
      <c r="E1588" s="76" t="s">
        <v>3154</v>
      </c>
      <c r="F1588" s="76" t="s">
        <v>40</v>
      </c>
      <c r="H1588" s="94">
        <f>STOCK[[#This Row],[Precio Final]]</f>
        <v>20</v>
      </c>
      <c r="I1588" s="98">
        <f>STOCK[[#This Row],[Precio Venta Ideal (x1.5)]]</f>
        <v>15</v>
      </c>
      <c r="J1588" s="91">
        <v>1</v>
      </c>
      <c r="K1588" s="96">
        <f>SUMIFS(VENTAS[Cantidad],VENTAS[Código del producto Vendido],STOCK[[#This Row],[Code]])</f>
        <v>0</v>
      </c>
      <c r="L1588" s="96">
        <f>STOCK[[#This Row],[Entradas]]-STOCK[[#This Row],[Salidas]]</f>
        <v>1</v>
      </c>
      <c r="M1588" s="94">
        <f>STOCK[[#This Row],[Precio Final]]*10%</f>
        <v>2</v>
      </c>
      <c r="N1588" s="77">
        <v>0</v>
      </c>
      <c r="O1588" s="94">
        <v>0</v>
      </c>
      <c r="P1588" s="76">
        <v>8</v>
      </c>
      <c r="Q1588" s="91">
        <v>0</v>
      </c>
      <c r="R1588" s="76">
        <v>0</v>
      </c>
      <c r="S1588" s="76">
        <v>0</v>
      </c>
      <c r="T1588" s="94">
        <f>STOCK[[#This Row],[Costo Unitario (USD)]]+STOCK[[#This Row],[Costo Envío (USD)]]+STOCK[[#This Row],[Comisión 10%]]</f>
        <v>10</v>
      </c>
      <c r="U1588" s="76">
        <f>STOCK[[#This Row],[Costo total]]*1.5</f>
        <v>15</v>
      </c>
      <c r="V1588" s="76">
        <v>20</v>
      </c>
      <c r="W1588" s="94">
        <f>STOCK[[#This Row],[Precio Final]]-STOCK[[#This Row],[Costo total]]</f>
        <v>10</v>
      </c>
      <c r="X1588" s="94">
        <f>STOCK[[#This Row],[Ganancia Unitaria]]*STOCK[[#This Row],[Salidas]]</f>
        <v>0</v>
      </c>
      <c r="Y1588" s="94"/>
      <c r="Z1588" s="94"/>
      <c r="AA1588" s="94">
        <f>STOCK[[#This Row],[Costo total]]*STOCK[[#This Row],[Entradas]]</f>
        <v>10</v>
      </c>
      <c r="AB1588" s="94">
        <f>STOCK[[#This Row],[Stock Actual]]*STOCK[[#This Row],[Costo total]]</f>
        <v>10</v>
      </c>
      <c r="AC1588" s="94"/>
      <c r="AD1588" s="100"/>
    </row>
    <row r="1589" s="76" customFormat="1" ht="50" customHeight="1" spans="1:30">
      <c r="A1589" s="76" t="s">
        <v>3155</v>
      </c>
      <c r="C1589" s="76" t="s">
        <v>30</v>
      </c>
      <c r="D1589" s="76" t="s">
        <v>778</v>
      </c>
      <c r="E1589" s="76" t="s">
        <v>3154</v>
      </c>
      <c r="F1589" s="76" t="s">
        <v>280</v>
      </c>
      <c r="H1589" s="94">
        <f>STOCK[[#This Row],[Precio Final]]</f>
        <v>20</v>
      </c>
      <c r="I1589" s="98">
        <f>STOCK[[#This Row],[Precio Venta Ideal (x1.5)]]</f>
        <v>15</v>
      </c>
      <c r="J1589" s="91">
        <v>1</v>
      </c>
      <c r="K1589" s="96">
        <f>SUMIFS(VENTAS[Cantidad],VENTAS[Código del producto Vendido],STOCK[[#This Row],[Code]])</f>
        <v>0</v>
      </c>
      <c r="L1589" s="96">
        <f>STOCK[[#This Row],[Entradas]]-STOCK[[#This Row],[Salidas]]</f>
        <v>1</v>
      </c>
      <c r="M1589" s="94">
        <f>STOCK[[#This Row],[Precio Final]]*10%</f>
        <v>2</v>
      </c>
      <c r="N1589" s="77">
        <v>0</v>
      </c>
      <c r="O1589" s="94">
        <v>0</v>
      </c>
      <c r="P1589" s="76">
        <v>8</v>
      </c>
      <c r="Q1589" s="91">
        <v>0</v>
      </c>
      <c r="R1589" s="77">
        <v>0</v>
      </c>
      <c r="S1589" s="77">
        <v>0</v>
      </c>
      <c r="T1589" s="94">
        <f>STOCK[[#This Row],[Costo Unitario (USD)]]+STOCK[[#This Row],[Costo Envío (USD)]]+STOCK[[#This Row],[Comisión 10%]]</f>
        <v>10</v>
      </c>
      <c r="U1589" s="76">
        <f>STOCK[[#This Row],[Costo total]]*1.5</f>
        <v>15</v>
      </c>
      <c r="V1589" s="76">
        <v>20</v>
      </c>
      <c r="W1589" s="94">
        <f>STOCK[[#This Row],[Precio Final]]-STOCK[[#This Row],[Costo total]]</f>
        <v>10</v>
      </c>
      <c r="X1589" s="94">
        <f>STOCK[[#This Row],[Ganancia Unitaria]]*STOCK[[#This Row],[Salidas]]</f>
        <v>0</v>
      </c>
      <c r="Y1589" s="94"/>
      <c r="Z1589" s="94"/>
      <c r="AA1589" s="94">
        <f>STOCK[[#This Row],[Costo total]]*STOCK[[#This Row],[Entradas]]</f>
        <v>10</v>
      </c>
      <c r="AB1589" s="94">
        <f>STOCK[[#This Row],[Stock Actual]]*STOCK[[#This Row],[Costo total]]</f>
        <v>10</v>
      </c>
      <c r="AC1589" s="94"/>
      <c r="AD1589" s="100"/>
    </row>
    <row r="1590" s="76" customFormat="1" ht="50" hidden="1" customHeight="1" spans="1:30">
      <c r="A1590" s="76" t="s">
        <v>3156</v>
      </c>
      <c r="C1590" s="76" t="s">
        <v>30</v>
      </c>
      <c r="D1590" s="76" t="s">
        <v>778</v>
      </c>
      <c r="E1590" s="76" t="s">
        <v>3157</v>
      </c>
      <c r="F1590" s="76" t="s">
        <v>44</v>
      </c>
      <c r="H1590" s="94">
        <f>STOCK[[#This Row],[Precio Final]]</f>
        <v>20</v>
      </c>
      <c r="I1590" s="98">
        <f>STOCK[[#This Row],[Precio Venta Ideal (x1.5)]]</f>
        <v>15</v>
      </c>
      <c r="J1590" s="91">
        <v>1</v>
      </c>
      <c r="K1590" s="96">
        <f>SUMIFS(VENTAS[Cantidad],VENTAS[Código del producto Vendido],STOCK[[#This Row],[Code]])</f>
        <v>0</v>
      </c>
      <c r="L1590" s="96">
        <f>STOCK[[#This Row],[Entradas]]-STOCK[[#This Row],[Salidas]]</f>
        <v>1</v>
      </c>
      <c r="M1590" s="94">
        <f>STOCK[[#This Row],[Precio Final]]*10%</f>
        <v>2</v>
      </c>
      <c r="N1590" s="76">
        <v>0</v>
      </c>
      <c r="O1590" s="94">
        <v>0</v>
      </c>
      <c r="P1590" s="76">
        <v>8</v>
      </c>
      <c r="Q1590" s="92">
        <v>0</v>
      </c>
      <c r="R1590" s="76">
        <v>0</v>
      </c>
      <c r="S1590" s="77">
        <v>0</v>
      </c>
      <c r="T1590" s="94">
        <f>STOCK[[#This Row],[Costo Unitario (USD)]]+STOCK[[#This Row],[Costo Envío (USD)]]+STOCK[[#This Row],[Comisión 10%]]</f>
        <v>10</v>
      </c>
      <c r="U1590" s="76">
        <f>STOCK[[#This Row],[Costo total]]*1.5</f>
        <v>15</v>
      </c>
      <c r="V1590" s="76">
        <v>20</v>
      </c>
      <c r="W1590" s="94">
        <f>STOCK[[#This Row],[Precio Final]]-STOCK[[#This Row],[Costo total]]</f>
        <v>10</v>
      </c>
      <c r="X1590" s="94">
        <f>STOCK[[#This Row],[Ganancia Unitaria]]*STOCK[[#This Row],[Salidas]]</f>
        <v>0</v>
      </c>
      <c r="Y1590" s="94"/>
      <c r="Z1590" s="94"/>
      <c r="AA1590" s="94">
        <f>STOCK[[#This Row],[Costo total]]*STOCK[[#This Row],[Entradas]]</f>
        <v>10</v>
      </c>
      <c r="AB1590" s="94">
        <f>STOCK[[#This Row],[Stock Actual]]*STOCK[[#This Row],[Costo total]]</f>
        <v>10</v>
      </c>
      <c r="AC1590" s="94"/>
      <c r="AD1590" s="100"/>
    </row>
    <row r="1591" s="76" customFormat="1" ht="50" hidden="1" customHeight="1" spans="1:30">
      <c r="A1591" s="76" t="s">
        <v>3158</v>
      </c>
      <c r="C1591" s="76" t="s">
        <v>30</v>
      </c>
      <c r="D1591" s="76" t="s">
        <v>545</v>
      </c>
      <c r="E1591" s="76" t="s">
        <v>3159</v>
      </c>
      <c r="F1591" s="76" t="s">
        <v>60</v>
      </c>
      <c r="H1591" s="94">
        <f>STOCK[[#This Row],[Precio Final]]</f>
        <v>2.5</v>
      </c>
      <c r="I1591" s="98">
        <f>STOCK[[#This Row],[Precio Venta Ideal (x1.5)]]</f>
        <v>1.665</v>
      </c>
      <c r="J1591" s="91">
        <v>9</v>
      </c>
      <c r="K1591" s="96">
        <f>SUMIFS(VENTAS[Cantidad],VENTAS[Código del producto Vendido],STOCK[[#This Row],[Code]])</f>
        <v>4</v>
      </c>
      <c r="L1591" s="96">
        <f>STOCK[[#This Row],[Entradas]]-STOCK[[#This Row],[Salidas]]</f>
        <v>5</v>
      </c>
      <c r="M1591" s="94">
        <f>STOCK[[#This Row],[Precio Final]]*10%</f>
        <v>0.25</v>
      </c>
      <c r="N1591" s="77">
        <v>0</v>
      </c>
      <c r="O1591" s="94">
        <v>0</v>
      </c>
      <c r="P1591" s="76">
        <v>0.86</v>
      </c>
      <c r="Q1591" s="91">
        <v>0</v>
      </c>
      <c r="R1591" s="77">
        <v>0</v>
      </c>
      <c r="S1591" s="76">
        <v>0</v>
      </c>
      <c r="T1591" s="94">
        <f>STOCK[[#This Row],[Costo Unitario (USD)]]+STOCK[[#This Row],[Costo Envío (USD)]]+STOCK[[#This Row],[Comisión 10%]]</f>
        <v>1.11</v>
      </c>
      <c r="U1591" s="76">
        <f>STOCK[[#This Row],[Costo total]]*1.5</f>
        <v>1.665</v>
      </c>
      <c r="V1591" s="76">
        <v>2.5</v>
      </c>
      <c r="W1591" s="94">
        <f>STOCK[[#This Row],[Precio Final]]-STOCK[[#This Row],[Costo total]]</f>
        <v>1.39</v>
      </c>
      <c r="X1591" s="94">
        <f>STOCK[[#This Row],[Ganancia Unitaria]]*STOCK[[#This Row],[Salidas]]</f>
        <v>5.56</v>
      </c>
      <c r="Y1591" s="94"/>
      <c r="Z1591" s="94"/>
      <c r="AA1591" s="94">
        <f>STOCK[[#This Row],[Costo total]]*STOCK[[#This Row],[Entradas]]</f>
        <v>9.99</v>
      </c>
      <c r="AB1591" s="94">
        <f>STOCK[[#This Row],[Stock Actual]]*STOCK[[#This Row],[Costo total]]</f>
        <v>5.55</v>
      </c>
      <c r="AC1591" s="94"/>
      <c r="AD1591" s="100"/>
    </row>
    <row r="1592" s="76" customFormat="1" ht="50" hidden="1" customHeight="1" spans="1:30">
      <c r="A1592" s="76" t="s">
        <v>3160</v>
      </c>
      <c r="C1592" s="76" t="s">
        <v>30</v>
      </c>
      <c r="D1592" s="76" t="s">
        <v>1386</v>
      </c>
      <c r="E1592" s="76" t="s">
        <v>3161</v>
      </c>
      <c r="F1592" s="76" t="s">
        <v>47</v>
      </c>
      <c r="H1592" s="94">
        <f>STOCK[[#This Row],[Precio Final]]</f>
        <v>18</v>
      </c>
      <c r="I1592" s="98">
        <f>STOCK[[#This Row],[Precio Venta Ideal (x1.5)]]</f>
        <v>11.7</v>
      </c>
      <c r="J1592" s="91">
        <v>1</v>
      </c>
      <c r="K1592" s="96">
        <f>SUMIFS(VENTAS[Cantidad],VENTAS[Código del producto Vendido],STOCK[[#This Row],[Code]])</f>
        <v>0</v>
      </c>
      <c r="L1592" s="96">
        <f>STOCK[[#This Row],[Entradas]]-STOCK[[#This Row],[Salidas]]</f>
        <v>1</v>
      </c>
      <c r="M1592" s="94">
        <f>STOCK[[#This Row],[Precio Final]]*10%</f>
        <v>1.8</v>
      </c>
      <c r="N1592" s="77">
        <v>0</v>
      </c>
      <c r="O1592" s="94">
        <v>0</v>
      </c>
      <c r="P1592" s="76">
        <v>6</v>
      </c>
      <c r="Q1592" s="91">
        <v>0</v>
      </c>
      <c r="R1592" s="76">
        <v>0</v>
      </c>
      <c r="S1592" s="77">
        <v>0</v>
      </c>
      <c r="T1592" s="94">
        <f>STOCK[[#This Row],[Costo Unitario (USD)]]+STOCK[[#This Row],[Costo Envío (USD)]]+STOCK[[#This Row],[Comisión 10%]]</f>
        <v>7.8</v>
      </c>
      <c r="U1592" s="76">
        <f>STOCK[[#This Row],[Costo total]]*1.5</f>
        <v>11.7</v>
      </c>
      <c r="V1592" s="76">
        <v>18</v>
      </c>
      <c r="W1592" s="94">
        <f>STOCK[[#This Row],[Precio Final]]-STOCK[[#This Row],[Costo total]]</f>
        <v>10.2</v>
      </c>
      <c r="X1592" s="94">
        <f>STOCK[[#This Row],[Ganancia Unitaria]]*STOCK[[#This Row],[Salidas]]</f>
        <v>0</v>
      </c>
      <c r="Y1592" s="94"/>
      <c r="Z1592" s="94"/>
      <c r="AA1592" s="94">
        <f>STOCK[[#This Row],[Costo total]]*STOCK[[#This Row],[Entradas]]</f>
        <v>7.8</v>
      </c>
      <c r="AB1592" s="94">
        <f>STOCK[[#This Row],[Stock Actual]]*STOCK[[#This Row],[Costo total]]</f>
        <v>7.8</v>
      </c>
      <c r="AC1592" s="94"/>
      <c r="AD1592" s="100"/>
    </row>
    <row r="1593" s="76" customFormat="1" ht="50" hidden="1" customHeight="1" spans="1:30">
      <c r="A1593" s="76" t="s">
        <v>3162</v>
      </c>
      <c r="C1593" s="76" t="s">
        <v>30</v>
      </c>
      <c r="D1593" s="76" t="s">
        <v>1386</v>
      </c>
      <c r="E1593" s="76" t="s">
        <v>3163</v>
      </c>
      <c r="F1593" s="76" t="s">
        <v>3164</v>
      </c>
      <c r="H1593" s="94">
        <f>STOCK[[#This Row],[Precio Final]]</f>
        <v>20</v>
      </c>
      <c r="I1593" s="98">
        <f>STOCK[[#This Row],[Precio Venta Ideal (x1.5)]]</f>
        <v>12</v>
      </c>
      <c r="J1593" s="91">
        <v>1</v>
      </c>
      <c r="K1593" s="96">
        <f>SUMIFS(VENTAS[Cantidad],VENTAS[Código del producto Vendido],STOCK[[#This Row],[Code]])</f>
        <v>0</v>
      </c>
      <c r="L1593" s="96">
        <f>STOCK[[#This Row],[Entradas]]-STOCK[[#This Row],[Salidas]]</f>
        <v>1</v>
      </c>
      <c r="M1593" s="94">
        <f>STOCK[[#This Row],[Precio Final]]*10%</f>
        <v>2</v>
      </c>
      <c r="N1593" s="76">
        <v>0</v>
      </c>
      <c r="O1593" s="94">
        <v>0</v>
      </c>
      <c r="P1593" s="76">
        <v>6</v>
      </c>
      <c r="Q1593" s="92">
        <v>0</v>
      </c>
      <c r="R1593" s="77">
        <v>0</v>
      </c>
      <c r="S1593" s="77">
        <v>0</v>
      </c>
      <c r="T1593" s="94">
        <f>STOCK[[#This Row],[Costo Unitario (USD)]]+STOCK[[#This Row],[Costo Envío (USD)]]+STOCK[[#This Row],[Comisión 10%]]</f>
        <v>8</v>
      </c>
      <c r="U1593" s="76">
        <f>STOCK[[#This Row],[Costo total]]*1.5</f>
        <v>12</v>
      </c>
      <c r="V1593" s="76">
        <v>20</v>
      </c>
      <c r="W1593" s="94">
        <f>STOCK[[#This Row],[Precio Final]]-STOCK[[#This Row],[Costo total]]</f>
        <v>12</v>
      </c>
      <c r="X1593" s="94">
        <f>STOCK[[#This Row],[Ganancia Unitaria]]*STOCK[[#This Row],[Salidas]]</f>
        <v>0</v>
      </c>
      <c r="Y1593" s="94"/>
      <c r="Z1593" s="94"/>
      <c r="AA1593" s="94">
        <f>STOCK[[#This Row],[Costo total]]*STOCK[[#This Row],[Entradas]]</f>
        <v>8</v>
      </c>
      <c r="AB1593" s="94">
        <f>STOCK[[#This Row],[Stock Actual]]*STOCK[[#This Row],[Costo total]]</f>
        <v>8</v>
      </c>
      <c r="AC1593" s="94"/>
      <c r="AD1593" s="100"/>
    </row>
    <row r="1594" s="76" customFormat="1" ht="50" hidden="1" customHeight="1" spans="1:30">
      <c r="A1594" s="76" t="s">
        <v>3165</v>
      </c>
      <c r="C1594" s="76" t="s">
        <v>30</v>
      </c>
      <c r="D1594" s="76" t="s">
        <v>1386</v>
      </c>
      <c r="E1594" s="76" t="s">
        <v>3166</v>
      </c>
      <c r="H1594" s="94">
        <f>STOCK[[#This Row],[Precio Final]]</f>
        <v>15</v>
      </c>
      <c r="I1594" s="98">
        <f>STOCK[[#This Row],[Precio Venta Ideal (x1.5)]]</f>
        <v>11.25</v>
      </c>
      <c r="J1594" s="91">
        <v>1</v>
      </c>
      <c r="K1594" s="96">
        <f>SUMIFS(VENTAS[Cantidad],VENTAS[Código del producto Vendido],STOCK[[#This Row],[Code]])</f>
        <v>1</v>
      </c>
      <c r="L1594" s="96">
        <f>STOCK[[#This Row],[Entradas]]-STOCK[[#This Row],[Salidas]]</f>
        <v>0</v>
      </c>
      <c r="M1594" s="94">
        <f>STOCK[[#This Row],[Precio Final]]*10%</f>
        <v>1.5</v>
      </c>
      <c r="N1594" s="77">
        <v>0</v>
      </c>
      <c r="O1594" s="94">
        <v>0</v>
      </c>
      <c r="P1594" s="76">
        <v>6</v>
      </c>
      <c r="Q1594" s="91">
        <v>0</v>
      </c>
      <c r="R1594" s="76">
        <v>0</v>
      </c>
      <c r="S1594" s="76">
        <v>0</v>
      </c>
      <c r="T1594" s="94">
        <f>STOCK[[#This Row],[Costo Unitario (USD)]]+STOCK[[#This Row],[Costo Envío (USD)]]+STOCK[[#This Row],[Comisión 10%]]</f>
        <v>7.5</v>
      </c>
      <c r="U1594" s="76">
        <f>STOCK[[#This Row],[Costo total]]*1.5</f>
        <v>11.25</v>
      </c>
      <c r="V1594" s="76">
        <v>15</v>
      </c>
      <c r="W1594" s="94">
        <f>STOCK[[#This Row],[Precio Final]]-STOCK[[#This Row],[Costo total]]</f>
        <v>7.5</v>
      </c>
      <c r="X1594" s="94">
        <f>STOCK[[#This Row],[Ganancia Unitaria]]*STOCK[[#This Row],[Salidas]]</f>
        <v>7.5</v>
      </c>
      <c r="Y1594" s="94"/>
      <c r="Z1594" s="94"/>
      <c r="AA1594" s="94">
        <f>STOCK[[#This Row],[Costo total]]*STOCK[[#This Row],[Entradas]]</f>
        <v>7.5</v>
      </c>
      <c r="AB1594" s="94">
        <f>STOCK[[#This Row],[Stock Actual]]*STOCK[[#This Row],[Costo total]]</f>
        <v>0</v>
      </c>
      <c r="AC1594" s="94"/>
      <c r="AD1594" s="100"/>
    </row>
    <row r="1595" s="76" customFormat="1" ht="50" hidden="1" customHeight="1" spans="1:30">
      <c r="A1595" s="76" t="s">
        <v>3167</v>
      </c>
      <c r="C1595" s="76" t="s">
        <v>30</v>
      </c>
      <c r="D1595" s="76" t="s">
        <v>1386</v>
      </c>
      <c r="E1595" s="76" t="s">
        <v>3168</v>
      </c>
      <c r="F1595" s="76" t="s">
        <v>38</v>
      </c>
      <c r="H1595" s="94">
        <f>STOCK[[#This Row],[Precio Final]]</f>
        <v>15</v>
      </c>
      <c r="I1595" s="98">
        <f>STOCK[[#This Row],[Precio Venta Ideal (x1.5)]]</f>
        <v>11.25</v>
      </c>
      <c r="J1595" s="91">
        <v>2</v>
      </c>
      <c r="K1595" s="96">
        <f>SUMIFS(VENTAS[Cantidad],VENTAS[Código del producto Vendido],STOCK[[#This Row],[Code]])</f>
        <v>0</v>
      </c>
      <c r="L1595" s="96">
        <f>STOCK[[#This Row],[Entradas]]-STOCK[[#This Row],[Salidas]]</f>
        <v>2</v>
      </c>
      <c r="M1595" s="94">
        <f>STOCK[[#This Row],[Precio Final]]*10%</f>
        <v>1.5</v>
      </c>
      <c r="N1595" s="77">
        <v>0</v>
      </c>
      <c r="O1595" s="94">
        <v>0</v>
      </c>
      <c r="P1595" s="76">
        <v>6</v>
      </c>
      <c r="Q1595" s="91">
        <v>0</v>
      </c>
      <c r="R1595" s="77">
        <v>0</v>
      </c>
      <c r="S1595" s="77">
        <v>0</v>
      </c>
      <c r="T1595" s="94">
        <f>STOCK[[#This Row],[Costo Unitario (USD)]]+STOCK[[#This Row],[Costo Envío (USD)]]+STOCK[[#This Row],[Comisión 10%]]</f>
        <v>7.5</v>
      </c>
      <c r="U1595" s="76">
        <f>STOCK[[#This Row],[Costo total]]*1.5</f>
        <v>11.25</v>
      </c>
      <c r="V1595" s="76">
        <v>15</v>
      </c>
      <c r="W1595" s="94">
        <f>STOCK[[#This Row],[Precio Final]]-STOCK[[#This Row],[Costo total]]</f>
        <v>7.5</v>
      </c>
      <c r="X1595" s="94">
        <f>STOCK[[#This Row],[Ganancia Unitaria]]*STOCK[[#This Row],[Salidas]]</f>
        <v>0</v>
      </c>
      <c r="Y1595" s="94"/>
      <c r="Z1595" s="94"/>
      <c r="AA1595" s="94">
        <f>STOCK[[#This Row],[Costo total]]*STOCK[[#This Row],[Entradas]]</f>
        <v>15</v>
      </c>
      <c r="AB1595" s="94">
        <f>STOCK[[#This Row],[Stock Actual]]*STOCK[[#This Row],[Costo total]]</f>
        <v>15</v>
      </c>
      <c r="AC1595" s="94"/>
      <c r="AD1595" s="100"/>
    </row>
    <row r="1596" s="76" customFormat="1" ht="50" hidden="1" customHeight="1" spans="1:30">
      <c r="A1596" s="76" t="s">
        <v>3169</v>
      </c>
      <c r="B1596" s="91" t="str">
        <f>_xlfn.DISPIMG("ID_EFB0578B518248C1B857153ADB5E7172",1)</f>
        <v>=DISPIMG("ID_EFB0578B518248C1B857153ADB5E7172",1)</v>
      </c>
      <c r="C1596" s="76" t="s">
        <v>30</v>
      </c>
      <c r="D1596" s="76" t="s">
        <v>1386</v>
      </c>
      <c r="E1596" s="76" t="s">
        <v>3170</v>
      </c>
      <c r="F1596" s="76" t="s">
        <v>524</v>
      </c>
      <c r="H1596" s="94">
        <f>STOCK[[#This Row],[Precio Final]]</f>
        <v>12</v>
      </c>
      <c r="I1596" s="98">
        <f>STOCK[[#This Row],[Precio Venta Ideal (x1.5)]]</f>
        <v>9.3</v>
      </c>
      <c r="J1596" s="91">
        <v>2</v>
      </c>
      <c r="K1596" s="96">
        <f>SUMIFS(VENTAS[Cantidad],VENTAS[Código del producto Vendido],STOCK[[#This Row],[Code]])</f>
        <v>1</v>
      </c>
      <c r="L1596" s="96">
        <f>STOCK[[#This Row],[Entradas]]-STOCK[[#This Row],[Salidas]]</f>
        <v>1</v>
      </c>
      <c r="M1596" s="94">
        <f>STOCK[[#This Row],[Precio Final]]*10%</f>
        <v>1.2</v>
      </c>
      <c r="N1596" s="76">
        <v>0</v>
      </c>
      <c r="O1596" s="94">
        <v>0</v>
      </c>
      <c r="P1596" s="76">
        <v>5</v>
      </c>
      <c r="Q1596" s="92">
        <v>0</v>
      </c>
      <c r="R1596" s="76">
        <v>0</v>
      </c>
      <c r="S1596" s="77">
        <v>0</v>
      </c>
      <c r="T1596" s="94">
        <f>STOCK[[#This Row],[Costo Unitario (USD)]]+STOCK[[#This Row],[Costo Envío (USD)]]+STOCK[[#This Row],[Comisión 10%]]</f>
        <v>6.2</v>
      </c>
      <c r="U1596" s="76">
        <f>STOCK[[#This Row],[Costo total]]*1.5</f>
        <v>9.3</v>
      </c>
      <c r="V1596" s="76">
        <v>12</v>
      </c>
      <c r="W1596" s="94">
        <f>STOCK[[#This Row],[Precio Final]]-STOCK[[#This Row],[Costo total]]</f>
        <v>5.8</v>
      </c>
      <c r="X1596" s="94">
        <f>STOCK[[#This Row],[Ganancia Unitaria]]*STOCK[[#This Row],[Salidas]]</f>
        <v>5.8</v>
      </c>
      <c r="Y1596" s="94"/>
      <c r="Z1596" s="94"/>
      <c r="AA1596" s="94">
        <f>STOCK[[#This Row],[Costo total]]*STOCK[[#This Row],[Entradas]]</f>
        <v>12.4</v>
      </c>
      <c r="AB1596" s="94">
        <f>STOCK[[#This Row],[Stock Actual]]*STOCK[[#This Row],[Costo total]]</f>
        <v>6.2</v>
      </c>
      <c r="AC1596" s="94"/>
      <c r="AD1596" s="100"/>
    </row>
    <row r="1597" s="76" customFormat="1" ht="50" hidden="1" customHeight="1" spans="1:30">
      <c r="A1597" s="76" t="s">
        <v>3171</v>
      </c>
      <c r="B1597" s="91" t="str">
        <f>_xlfn.DISPIMG("ID_08EB29356B4D4141A7357EF1ABF5545E",1)</f>
        <v>=DISPIMG("ID_08EB29356B4D4141A7357EF1ABF5545E",1)</v>
      </c>
      <c r="C1597" s="76" t="s">
        <v>30</v>
      </c>
      <c r="D1597" s="76" t="s">
        <v>741</v>
      </c>
      <c r="E1597" s="76" t="s">
        <v>3172</v>
      </c>
      <c r="F1597" s="76" t="s">
        <v>2106</v>
      </c>
      <c r="H1597" s="94">
        <f>STOCK[[#This Row],[Precio Final]]</f>
        <v>25</v>
      </c>
      <c r="I1597" s="98">
        <f>STOCK[[#This Row],[Precio Venta Ideal (x1.5)]]</f>
        <v>18.75</v>
      </c>
      <c r="J1597" s="91">
        <v>1</v>
      </c>
      <c r="K1597" s="96">
        <f>SUMIFS(VENTAS[Cantidad],VENTAS[Código del producto Vendido],STOCK[[#This Row],[Code]])</f>
        <v>0</v>
      </c>
      <c r="L1597" s="96">
        <f>STOCK[[#This Row],[Entradas]]-STOCK[[#This Row],[Salidas]]</f>
        <v>1</v>
      </c>
      <c r="M1597" s="94">
        <f>STOCK[[#This Row],[Precio Final]]*10%</f>
        <v>2.5</v>
      </c>
      <c r="N1597" s="77">
        <v>0</v>
      </c>
      <c r="O1597" s="94">
        <v>0</v>
      </c>
      <c r="P1597" s="76">
        <v>10</v>
      </c>
      <c r="Q1597" s="91">
        <v>0</v>
      </c>
      <c r="R1597" s="77">
        <v>0</v>
      </c>
      <c r="S1597" s="76">
        <v>0</v>
      </c>
      <c r="T1597" s="94">
        <f>STOCK[[#This Row],[Costo Unitario (USD)]]+STOCK[[#This Row],[Costo Envío (USD)]]+STOCK[[#This Row],[Comisión 10%]]</f>
        <v>12.5</v>
      </c>
      <c r="U1597" s="76">
        <f>STOCK[[#This Row],[Costo total]]*1.5</f>
        <v>18.75</v>
      </c>
      <c r="V1597" s="76">
        <v>25</v>
      </c>
      <c r="W1597" s="94">
        <f>STOCK[[#This Row],[Precio Final]]-STOCK[[#This Row],[Costo total]]</f>
        <v>12.5</v>
      </c>
      <c r="X1597" s="94">
        <f>STOCK[[#This Row],[Ganancia Unitaria]]*STOCK[[#This Row],[Salidas]]</f>
        <v>0</v>
      </c>
      <c r="Y1597" s="94"/>
      <c r="Z1597" s="94"/>
      <c r="AA1597" s="94">
        <f>STOCK[[#This Row],[Costo total]]*STOCK[[#This Row],[Entradas]]</f>
        <v>12.5</v>
      </c>
      <c r="AB1597" s="94">
        <f>STOCK[[#This Row],[Stock Actual]]*STOCK[[#This Row],[Costo total]]</f>
        <v>12.5</v>
      </c>
      <c r="AC1597" s="94"/>
      <c r="AD1597" s="100"/>
    </row>
    <row r="1598" s="76" customFormat="1" ht="50" hidden="1" customHeight="1" spans="1:30">
      <c r="A1598" s="76" t="s">
        <v>3173</v>
      </c>
      <c r="B1598" s="91" t="str">
        <f>_xlfn.DISPIMG("ID_97E71C483F3C4CBC88BA1DD756B0EB14",1)</f>
        <v>=DISPIMG("ID_97E71C483F3C4CBC88BA1DD756B0EB14",1)</v>
      </c>
      <c r="C1598" s="76" t="s">
        <v>30</v>
      </c>
      <c r="D1598" s="76" t="s">
        <v>741</v>
      </c>
      <c r="E1598" s="76" t="s">
        <v>3174</v>
      </c>
      <c r="F1598" s="76" t="s">
        <v>2106</v>
      </c>
      <c r="H1598" s="94">
        <f>STOCK[[#This Row],[Precio Final]]</f>
        <v>25</v>
      </c>
      <c r="I1598" s="98">
        <f>STOCK[[#This Row],[Precio Venta Ideal (x1.5)]]</f>
        <v>18.75</v>
      </c>
      <c r="J1598" s="91">
        <v>1</v>
      </c>
      <c r="K1598" s="96">
        <f>SUMIFS(VENTAS[Cantidad],VENTAS[Código del producto Vendido],STOCK[[#This Row],[Code]])</f>
        <v>0</v>
      </c>
      <c r="L1598" s="96">
        <f>STOCK[[#This Row],[Entradas]]-STOCK[[#This Row],[Salidas]]</f>
        <v>1</v>
      </c>
      <c r="M1598" s="94">
        <f>STOCK[[#This Row],[Precio Final]]*10%</f>
        <v>2.5</v>
      </c>
      <c r="N1598" s="77">
        <v>0</v>
      </c>
      <c r="O1598" s="94">
        <v>0</v>
      </c>
      <c r="P1598" s="76">
        <v>10</v>
      </c>
      <c r="Q1598" s="91">
        <v>0</v>
      </c>
      <c r="R1598" s="76">
        <v>0</v>
      </c>
      <c r="S1598" s="77">
        <v>0</v>
      </c>
      <c r="T1598" s="94">
        <f>STOCK[[#This Row],[Costo Unitario (USD)]]+STOCK[[#This Row],[Costo Envío (USD)]]+STOCK[[#This Row],[Comisión 10%]]</f>
        <v>12.5</v>
      </c>
      <c r="U1598" s="76">
        <f>STOCK[[#This Row],[Costo total]]*1.5</f>
        <v>18.75</v>
      </c>
      <c r="V1598" s="76">
        <v>25</v>
      </c>
      <c r="W1598" s="94">
        <f>STOCK[[#This Row],[Precio Final]]-STOCK[[#This Row],[Costo total]]</f>
        <v>12.5</v>
      </c>
      <c r="X1598" s="94">
        <f>STOCK[[#This Row],[Ganancia Unitaria]]*STOCK[[#This Row],[Salidas]]</f>
        <v>0</v>
      </c>
      <c r="Y1598" s="94"/>
      <c r="Z1598" s="94"/>
      <c r="AA1598" s="94">
        <f>STOCK[[#This Row],[Costo total]]*STOCK[[#This Row],[Entradas]]</f>
        <v>12.5</v>
      </c>
      <c r="AB1598" s="94">
        <f>STOCK[[#This Row],[Stock Actual]]*STOCK[[#This Row],[Costo total]]</f>
        <v>12.5</v>
      </c>
      <c r="AC1598" s="94"/>
      <c r="AD1598" s="100"/>
    </row>
    <row r="1599" s="76" customFormat="1" ht="50" hidden="1" customHeight="1" spans="1:30">
      <c r="A1599" s="76" t="s">
        <v>3175</v>
      </c>
      <c r="B1599" s="91" t="str">
        <f>_xlfn.DISPIMG("ID_6FB794C641B84A03B4564E8FDD724AD0",1)</f>
        <v>=DISPIMG("ID_6FB794C641B84A03B4564E8FDD724AD0",1)</v>
      </c>
      <c r="C1599" s="76" t="s">
        <v>30</v>
      </c>
      <c r="D1599" s="76" t="s">
        <v>741</v>
      </c>
      <c r="E1599" s="76" t="s">
        <v>3176</v>
      </c>
      <c r="F1599" s="76" t="s">
        <v>2106</v>
      </c>
      <c r="H1599" s="94">
        <f>STOCK[[#This Row],[Precio Final]]</f>
        <v>25</v>
      </c>
      <c r="I1599" s="98">
        <f>STOCK[[#This Row],[Precio Venta Ideal (x1.5)]]</f>
        <v>18.75</v>
      </c>
      <c r="J1599" s="91">
        <v>1</v>
      </c>
      <c r="K1599" s="96">
        <f>SUMIFS(VENTAS[Cantidad],VENTAS[Código del producto Vendido],STOCK[[#This Row],[Code]])</f>
        <v>0</v>
      </c>
      <c r="L1599" s="96">
        <f>STOCK[[#This Row],[Entradas]]-STOCK[[#This Row],[Salidas]]</f>
        <v>1</v>
      </c>
      <c r="M1599" s="94">
        <f>STOCK[[#This Row],[Precio Final]]*10%</f>
        <v>2.5</v>
      </c>
      <c r="N1599" s="76">
        <v>0</v>
      </c>
      <c r="O1599" s="94">
        <v>0</v>
      </c>
      <c r="P1599" s="76">
        <v>10</v>
      </c>
      <c r="Q1599" s="92">
        <v>0</v>
      </c>
      <c r="R1599" s="77">
        <v>0</v>
      </c>
      <c r="S1599" s="77">
        <v>0</v>
      </c>
      <c r="T1599" s="94">
        <f>STOCK[[#This Row],[Costo Unitario (USD)]]+STOCK[[#This Row],[Costo Envío (USD)]]+STOCK[[#This Row],[Comisión 10%]]</f>
        <v>12.5</v>
      </c>
      <c r="U1599" s="76">
        <f>STOCK[[#This Row],[Costo total]]*1.5</f>
        <v>18.75</v>
      </c>
      <c r="V1599" s="76">
        <v>25</v>
      </c>
      <c r="W1599" s="94">
        <f>STOCK[[#This Row],[Precio Final]]-STOCK[[#This Row],[Costo total]]</f>
        <v>12.5</v>
      </c>
      <c r="X1599" s="94">
        <f>STOCK[[#This Row],[Ganancia Unitaria]]*STOCK[[#This Row],[Salidas]]</f>
        <v>0</v>
      </c>
      <c r="Y1599" s="94"/>
      <c r="Z1599" s="94"/>
      <c r="AA1599" s="94">
        <f>STOCK[[#This Row],[Costo total]]*STOCK[[#This Row],[Entradas]]</f>
        <v>12.5</v>
      </c>
      <c r="AB1599" s="94">
        <f>STOCK[[#This Row],[Stock Actual]]*STOCK[[#This Row],[Costo total]]</f>
        <v>12.5</v>
      </c>
      <c r="AC1599" s="94"/>
      <c r="AD1599" s="100"/>
    </row>
    <row r="1600" s="76" customFormat="1" ht="50" hidden="1" customHeight="1" spans="1:30">
      <c r="A1600" s="76" t="s">
        <v>3177</v>
      </c>
      <c r="C1600" s="76" t="s">
        <v>30</v>
      </c>
      <c r="D1600" s="76" t="s">
        <v>741</v>
      </c>
      <c r="E1600" s="76" t="s">
        <v>3178</v>
      </c>
      <c r="H1600" s="94">
        <f>STOCK[[#This Row],[Precio Final]]</f>
        <v>18</v>
      </c>
      <c r="I1600" s="98">
        <f>STOCK[[#This Row],[Precio Venta Ideal (x1.5)]]</f>
        <v>17.7</v>
      </c>
      <c r="J1600" s="91">
        <v>1</v>
      </c>
      <c r="K1600" s="96">
        <f>SUMIFS(VENTAS[Cantidad],VENTAS[Código del producto Vendido],STOCK[[#This Row],[Code]])</f>
        <v>1</v>
      </c>
      <c r="L1600" s="96">
        <f>STOCK[[#This Row],[Entradas]]-STOCK[[#This Row],[Salidas]]</f>
        <v>0</v>
      </c>
      <c r="M1600" s="94">
        <f>STOCK[[#This Row],[Precio Final]]*10%</f>
        <v>1.8</v>
      </c>
      <c r="N1600" s="77">
        <v>0</v>
      </c>
      <c r="O1600" s="94">
        <v>0</v>
      </c>
      <c r="P1600" s="76">
        <v>10</v>
      </c>
      <c r="Q1600" s="91">
        <v>0</v>
      </c>
      <c r="R1600" s="76">
        <v>0</v>
      </c>
      <c r="S1600" s="76">
        <v>0</v>
      </c>
      <c r="T1600" s="94">
        <f>STOCK[[#This Row],[Costo Unitario (USD)]]+STOCK[[#This Row],[Costo Envío (USD)]]+STOCK[[#This Row],[Comisión 10%]]</f>
        <v>11.8</v>
      </c>
      <c r="U1600" s="76">
        <f>STOCK[[#This Row],[Costo total]]*1.5</f>
        <v>17.7</v>
      </c>
      <c r="V1600" s="76">
        <v>18</v>
      </c>
      <c r="W1600" s="94">
        <f>STOCK[[#This Row],[Precio Final]]-STOCK[[#This Row],[Costo total]]</f>
        <v>6.2</v>
      </c>
      <c r="X1600" s="94">
        <f>STOCK[[#This Row],[Ganancia Unitaria]]*STOCK[[#This Row],[Salidas]]</f>
        <v>6.2</v>
      </c>
      <c r="Y1600" s="94"/>
      <c r="Z1600" s="94"/>
      <c r="AA1600" s="94">
        <f>STOCK[[#This Row],[Costo total]]*STOCK[[#This Row],[Entradas]]</f>
        <v>11.8</v>
      </c>
      <c r="AB1600" s="94">
        <f>STOCK[[#This Row],[Stock Actual]]*STOCK[[#This Row],[Costo total]]</f>
        <v>0</v>
      </c>
      <c r="AC1600" s="94"/>
      <c r="AD1600" s="100"/>
    </row>
    <row r="1601" s="76" customFormat="1" ht="50" hidden="1" customHeight="1" spans="1:30">
      <c r="A1601" s="76" t="s">
        <v>3179</v>
      </c>
      <c r="C1601" s="76" t="s">
        <v>30</v>
      </c>
      <c r="D1601" s="76" t="s">
        <v>741</v>
      </c>
      <c r="E1601" s="76" t="s">
        <v>3180</v>
      </c>
      <c r="F1601" s="76" t="s">
        <v>44</v>
      </c>
      <c r="H1601" s="94">
        <f>STOCK[[#This Row],[Precio Final]]</f>
        <v>18</v>
      </c>
      <c r="I1601" s="98">
        <f>STOCK[[#This Row],[Precio Venta Ideal (x1.5)]]</f>
        <v>17.7</v>
      </c>
      <c r="J1601" s="91">
        <v>1</v>
      </c>
      <c r="K1601" s="96">
        <f>SUMIFS(VENTAS[Cantidad],VENTAS[Código del producto Vendido],STOCK[[#This Row],[Code]])</f>
        <v>0</v>
      </c>
      <c r="L1601" s="96">
        <f>STOCK[[#This Row],[Entradas]]-STOCK[[#This Row],[Salidas]]</f>
        <v>1</v>
      </c>
      <c r="M1601" s="94">
        <f>STOCK[[#This Row],[Precio Final]]*10%</f>
        <v>1.8</v>
      </c>
      <c r="N1601" s="77">
        <v>0</v>
      </c>
      <c r="O1601" s="94">
        <v>0</v>
      </c>
      <c r="P1601" s="76">
        <v>10</v>
      </c>
      <c r="Q1601" s="91">
        <v>0</v>
      </c>
      <c r="R1601" s="77">
        <v>0</v>
      </c>
      <c r="S1601" s="77">
        <v>0</v>
      </c>
      <c r="T1601" s="94">
        <f>STOCK[[#This Row],[Costo Unitario (USD)]]+STOCK[[#This Row],[Costo Envío (USD)]]+STOCK[[#This Row],[Comisión 10%]]</f>
        <v>11.8</v>
      </c>
      <c r="U1601" s="76">
        <f>STOCK[[#This Row],[Costo total]]*1.5</f>
        <v>17.7</v>
      </c>
      <c r="V1601" s="76">
        <v>18</v>
      </c>
      <c r="W1601" s="94">
        <f>STOCK[[#This Row],[Precio Final]]-STOCK[[#This Row],[Costo total]]</f>
        <v>6.2</v>
      </c>
      <c r="X1601" s="94">
        <f>STOCK[[#This Row],[Ganancia Unitaria]]*STOCK[[#This Row],[Salidas]]</f>
        <v>0</v>
      </c>
      <c r="Y1601" s="94"/>
      <c r="Z1601" s="94"/>
      <c r="AA1601" s="94">
        <f>STOCK[[#This Row],[Costo total]]*STOCK[[#This Row],[Entradas]]</f>
        <v>11.8</v>
      </c>
      <c r="AB1601" s="94">
        <f>STOCK[[#This Row],[Stock Actual]]*STOCK[[#This Row],[Costo total]]</f>
        <v>11.8</v>
      </c>
      <c r="AC1601" s="94"/>
      <c r="AD1601" s="100"/>
    </row>
    <row r="1602" s="76" customFormat="1" ht="50" hidden="1" customHeight="1" spans="1:30">
      <c r="A1602" s="76" t="s">
        <v>3181</v>
      </c>
      <c r="C1602" s="76" t="s">
        <v>30</v>
      </c>
      <c r="D1602" s="76" t="s">
        <v>741</v>
      </c>
      <c r="E1602" s="76" t="s">
        <v>3180</v>
      </c>
      <c r="F1602" s="76" t="s">
        <v>40</v>
      </c>
      <c r="H1602" s="94">
        <f>STOCK[[#This Row],[Precio Final]]</f>
        <v>18</v>
      </c>
      <c r="I1602" s="98">
        <f>STOCK[[#This Row],[Precio Venta Ideal (x1.5)]]</f>
        <v>17.7</v>
      </c>
      <c r="J1602" s="91">
        <v>1</v>
      </c>
      <c r="K1602" s="96">
        <f>SUMIFS(VENTAS[Cantidad],VENTAS[Código del producto Vendido],STOCK[[#This Row],[Code]])</f>
        <v>0</v>
      </c>
      <c r="L1602" s="96">
        <f>STOCK[[#This Row],[Entradas]]-STOCK[[#This Row],[Salidas]]</f>
        <v>1</v>
      </c>
      <c r="M1602" s="94">
        <f>STOCK[[#This Row],[Precio Final]]*10%</f>
        <v>1.8</v>
      </c>
      <c r="N1602" s="76">
        <v>0</v>
      </c>
      <c r="O1602" s="94">
        <v>0</v>
      </c>
      <c r="P1602" s="76">
        <v>10</v>
      </c>
      <c r="Q1602" s="92">
        <v>0</v>
      </c>
      <c r="R1602" s="76">
        <v>0</v>
      </c>
      <c r="S1602" s="77">
        <v>0</v>
      </c>
      <c r="T1602" s="94">
        <f>STOCK[[#This Row],[Costo Unitario (USD)]]+STOCK[[#This Row],[Costo Envío (USD)]]+STOCK[[#This Row],[Comisión 10%]]</f>
        <v>11.8</v>
      </c>
      <c r="U1602" s="76">
        <f>STOCK[[#This Row],[Costo total]]*1.5</f>
        <v>17.7</v>
      </c>
      <c r="V1602" s="76">
        <v>18</v>
      </c>
      <c r="W1602" s="94">
        <f>STOCK[[#This Row],[Precio Final]]-STOCK[[#This Row],[Costo total]]</f>
        <v>6.2</v>
      </c>
      <c r="X1602" s="94">
        <f>STOCK[[#This Row],[Ganancia Unitaria]]*STOCK[[#This Row],[Salidas]]</f>
        <v>0</v>
      </c>
      <c r="Y1602" s="94"/>
      <c r="Z1602" s="94"/>
      <c r="AA1602" s="94">
        <f>STOCK[[#This Row],[Costo total]]*STOCK[[#This Row],[Entradas]]</f>
        <v>11.8</v>
      </c>
      <c r="AB1602" s="94">
        <f>STOCK[[#This Row],[Stock Actual]]*STOCK[[#This Row],[Costo total]]</f>
        <v>11.8</v>
      </c>
      <c r="AC1602" s="94"/>
      <c r="AD1602" s="100"/>
    </row>
    <row r="1603" s="76" customFormat="1" ht="50" hidden="1" customHeight="1" spans="1:30">
      <c r="A1603" s="76" t="s">
        <v>3182</v>
      </c>
      <c r="C1603" s="76" t="s">
        <v>30</v>
      </c>
      <c r="D1603" s="76" t="s">
        <v>741</v>
      </c>
      <c r="E1603" s="76" t="s">
        <v>3180</v>
      </c>
      <c r="F1603" s="76" t="s">
        <v>60</v>
      </c>
      <c r="H1603" s="94">
        <f>STOCK[[#This Row],[Precio Final]]</f>
        <v>18</v>
      </c>
      <c r="I1603" s="98">
        <f>STOCK[[#This Row],[Precio Venta Ideal (x1.5)]]</f>
        <v>17.7</v>
      </c>
      <c r="J1603" s="91">
        <v>1</v>
      </c>
      <c r="K1603" s="96">
        <f>SUMIFS(VENTAS[Cantidad],VENTAS[Código del producto Vendido],STOCK[[#This Row],[Code]])</f>
        <v>0</v>
      </c>
      <c r="L1603" s="96">
        <f>STOCK[[#This Row],[Entradas]]-STOCK[[#This Row],[Salidas]]</f>
        <v>1</v>
      </c>
      <c r="M1603" s="94">
        <f>STOCK[[#This Row],[Precio Final]]*10%</f>
        <v>1.8</v>
      </c>
      <c r="N1603" s="77">
        <v>0</v>
      </c>
      <c r="O1603" s="94">
        <v>0</v>
      </c>
      <c r="P1603" s="76">
        <v>10</v>
      </c>
      <c r="Q1603" s="91">
        <v>0</v>
      </c>
      <c r="R1603" s="77">
        <v>0</v>
      </c>
      <c r="S1603" s="76">
        <v>0</v>
      </c>
      <c r="T1603" s="94">
        <f>STOCK[[#This Row],[Costo Unitario (USD)]]+STOCK[[#This Row],[Costo Envío (USD)]]+STOCK[[#This Row],[Comisión 10%]]</f>
        <v>11.8</v>
      </c>
      <c r="U1603" s="76">
        <f>STOCK[[#This Row],[Costo total]]*1.5</f>
        <v>17.7</v>
      </c>
      <c r="V1603" s="76">
        <v>18</v>
      </c>
      <c r="W1603" s="94">
        <f>STOCK[[#This Row],[Precio Final]]-STOCK[[#This Row],[Costo total]]</f>
        <v>6.2</v>
      </c>
      <c r="X1603" s="94">
        <f>STOCK[[#This Row],[Ganancia Unitaria]]*STOCK[[#This Row],[Salidas]]</f>
        <v>0</v>
      </c>
      <c r="Y1603" s="94"/>
      <c r="Z1603" s="94"/>
      <c r="AA1603" s="94">
        <f>STOCK[[#This Row],[Costo total]]*STOCK[[#This Row],[Entradas]]</f>
        <v>11.8</v>
      </c>
      <c r="AB1603" s="94">
        <f>STOCK[[#This Row],[Stock Actual]]*STOCK[[#This Row],[Costo total]]</f>
        <v>11.8</v>
      </c>
      <c r="AC1603" s="94"/>
      <c r="AD1603" s="100"/>
    </row>
    <row r="1604" s="76" customFormat="1" ht="50" hidden="1" customHeight="1" spans="1:30">
      <c r="A1604" s="76" t="s">
        <v>3183</v>
      </c>
      <c r="C1604" s="76" t="s">
        <v>30</v>
      </c>
      <c r="D1604" s="76" t="s">
        <v>741</v>
      </c>
      <c r="E1604" s="76" t="s">
        <v>3184</v>
      </c>
      <c r="F1604" s="76" t="s">
        <v>47</v>
      </c>
      <c r="H1604" s="94">
        <f>STOCK[[#This Row],[Precio Final]]</f>
        <v>18</v>
      </c>
      <c r="I1604" s="98">
        <f>STOCK[[#This Row],[Precio Venta Ideal (x1.5)]]</f>
        <v>17.7</v>
      </c>
      <c r="J1604" s="91">
        <v>1</v>
      </c>
      <c r="K1604" s="96">
        <f>SUMIFS(VENTAS[Cantidad],VENTAS[Código del producto Vendido],STOCK[[#This Row],[Code]])</f>
        <v>0</v>
      </c>
      <c r="L1604" s="96">
        <f>STOCK[[#This Row],[Entradas]]-STOCK[[#This Row],[Salidas]]</f>
        <v>1</v>
      </c>
      <c r="M1604" s="94">
        <f>STOCK[[#This Row],[Precio Final]]*10%</f>
        <v>1.8</v>
      </c>
      <c r="N1604" s="77">
        <v>0</v>
      </c>
      <c r="O1604" s="94">
        <v>0</v>
      </c>
      <c r="P1604" s="76">
        <v>10</v>
      </c>
      <c r="Q1604" s="91">
        <v>0</v>
      </c>
      <c r="R1604" s="76">
        <v>0</v>
      </c>
      <c r="S1604" s="77">
        <v>0</v>
      </c>
      <c r="T1604" s="94">
        <f>STOCK[[#This Row],[Costo Unitario (USD)]]+STOCK[[#This Row],[Costo Envío (USD)]]+STOCK[[#This Row],[Comisión 10%]]</f>
        <v>11.8</v>
      </c>
      <c r="U1604" s="76">
        <f>STOCK[[#This Row],[Costo total]]*1.5</f>
        <v>17.7</v>
      </c>
      <c r="V1604" s="76">
        <v>18</v>
      </c>
      <c r="W1604" s="94">
        <f>STOCK[[#This Row],[Precio Final]]-STOCK[[#This Row],[Costo total]]</f>
        <v>6.2</v>
      </c>
      <c r="X1604" s="94">
        <f>STOCK[[#This Row],[Ganancia Unitaria]]*STOCK[[#This Row],[Salidas]]</f>
        <v>0</v>
      </c>
      <c r="Y1604" s="94"/>
      <c r="Z1604" s="94"/>
      <c r="AA1604" s="94">
        <f>STOCK[[#This Row],[Costo total]]*STOCK[[#This Row],[Entradas]]</f>
        <v>11.8</v>
      </c>
      <c r="AB1604" s="94">
        <f>STOCK[[#This Row],[Stock Actual]]*STOCK[[#This Row],[Costo total]]</f>
        <v>11.8</v>
      </c>
      <c r="AC1604" s="94"/>
      <c r="AD1604" s="100"/>
    </row>
    <row r="1605" s="76" customFormat="1" ht="50" hidden="1" customHeight="1" spans="1:30">
      <c r="A1605" s="76" t="s">
        <v>3185</v>
      </c>
      <c r="C1605" s="76" t="s">
        <v>30</v>
      </c>
      <c r="D1605" s="76" t="s">
        <v>741</v>
      </c>
      <c r="E1605" s="76" t="s">
        <v>3184</v>
      </c>
      <c r="F1605" s="76" t="s">
        <v>44</v>
      </c>
      <c r="H1605" s="94">
        <f>STOCK[[#This Row],[Precio Final]]</f>
        <v>18</v>
      </c>
      <c r="I1605" s="98">
        <f>STOCK[[#This Row],[Precio Venta Ideal (x1.5)]]</f>
        <v>17.7</v>
      </c>
      <c r="J1605" s="91">
        <v>2</v>
      </c>
      <c r="K1605" s="96">
        <f>SUMIFS(VENTAS[Cantidad],VENTAS[Código del producto Vendido],STOCK[[#This Row],[Code]])</f>
        <v>0</v>
      </c>
      <c r="L1605" s="96">
        <f>STOCK[[#This Row],[Entradas]]-STOCK[[#This Row],[Salidas]]</f>
        <v>2</v>
      </c>
      <c r="M1605" s="94">
        <f>STOCK[[#This Row],[Precio Final]]*10%</f>
        <v>1.8</v>
      </c>
      <c r="N1605" s="76">
        <v>0</v>
      </c>
      <c r="O1605" s="94">
        <v>0</v>
      </c>
      <c r="P1605" s="76">
        <v>10</v>
      </c>
      <c r="Q1605" s="92">
        <v>0</v>
      </c>
      <c r="R1605" s="77">
        <v>0</v>
      </c>
      <c r="S1605" s="77">
        <v>0</v>
      </c>
      <c r="T1605" s="94">
        <f>STOCK[[#This Row],[Costo Unitario (USD)]]+STOCK[[#This Row],[Costo Envío (USD)]]+STOCK[[#This Row],[Comisión 10%]]</f>
        <v>11.8</v>
      </c>
      <c r="U1605" s="76">
        <f>STOCK[[#This Row],[Costo total]]*1.5</f>
        <v>17.7</v>
      </c>
      <c r="V1605" s="76">
        <v>18</v>
      </c>
      <c r="W1605" s="94">
        <f>STOCK[[#This Row],[Precio Final]]-STOCK[[#This Row],[Costo total]]</f>
        <v>6.2</v>
      </c>
      <c r="X1605" s="94">
        <f>STOCK[[#This Row],[Ganancia Unitaria]]*STOCK[[#This Row],[Salidas]]</f>
        <v>0</v>
      </c>
      <c r="Y1605" s="94"/>
      <c r="Z1605" s="94"/>
      <c r="AA1605" s="94">
        <f>STOCK[[#This Row],[Costo total]]*STOCK[[#This Row],[Entradas]]</f>
        <v>23.6</v>
      </c>
      <c r="AB1605" s="94">
        <f>STOCK[[#This Row],[Stock Actual]]*STOCK[[#This Row],[Costo total]]</f>
        <v>23.6</v>
      </c>
      <c r="AC1605" s="94"/>
      <c r="AD1605" s="100"/>
    </row>
    <row r="1606" s="76" customFormat="1" ht="50" hidden="1" customHeight="1" spans="1:30">
      <c r="A1606" s="76" t="s">
        <v>3186</v>
      </c>
      <c r="C1606" s="76" t="s">
        <v>30</v>
      </c>
      <c r="D1606" s="76" t="s">
        <v>741</v>
      </c>
      <c r="E1606" s="76" t="s">
        <v>3184</v>
      </c>
      <c r="F1606" s="76" t="s">
        <v>40</v>
      </c>
      <c r="H1606" s="94">
        <f>STOCK[[#This Row],[Precio Final]]</f>
        <v>18</v>
      </c>
      <c r="I1606" s="98">
        <f>STOCK[[#This Row],[Precio Venta Ideal (x1.5)]]</f>
        <v>17.7</v>
      </c>
      <c r="J1606" s="91">
        <v>1</v>
      </c>
      <c r="K1606" s="96">
        <f>SUMIFS(VENTAS[Cantidad],VENTAS[Código del producto Vendido],STOCK[[#This Row],[Code]])</f>
        <v>0</v>
      </c>
      <c r="L1606" s="96">
        <f>STOCK[[#This Row],[Entradas]]-STOCK[[#This Row],[Salidas]]</f>
        <v>1</v>
      </c>
      <c r="M1606" s="94">
        <f>STOCK[[#This Row],[Precio Final]]*10%</f>
        <v>1.8</v>
      </c>
      <c r="N1606" s="77">
        <v>0</v>
      </c>
      <c r="O1606" s="94">
        <v>0</v>
      </c>
      <c r="P1606" s="76">
        <v>10</v>
      </c>
      <c r="Q1606" s="91">
        <v>0</v>
      </c>
      <c r="R1606" s="76">
        <v>0</v>
      </c>
      <c r="S1606" s="76">
        <v>0</v>
      </c>
      <c r="T1606" s="94">
        <f>STOCK[[#This Row],[Costo Unitario (USD)]]+STOCK[[#This Row],[Costo Envío (USD)]]+STOCK[[#This Row],[Comisión 10%]]</f>
        <v>11.8</v>
      </c>
      <c r="U1606" s="76">
        <f>STOCK[[#This Row],[Costo total]]*1.5</f>
        <v>17.7</v>
      </c>
      <c r="V1606" s="76">
        <v>18</v>
      </c>
      <c r="W1606" s="94">
        <f>STOCK[[#This Row],[Precio Final]]-STOCK[[#This Row],[Costo total]]</f>
        <v>6.2</v>
      </c>
      <c r="X1606" s="94">
        <f>STOCK[[#This Row],[Ganancia Unitaria]]*STOCK[[#This Row],[Salidas]]</f>
        <v>0</v>
      </c>
      <c r="Y1606" s="94"/>
      <c r="Z1606" s="94"/>
      <c r="AA1606" s="94">
        <f>STOCK[[#This Row],[Costo total]]*STOCK[[#This Row],[Entradas]]</f>
        <v>11.8</v>
      </c>
      <c r="AB1606" s="94">
        <f>STOCK[[#This Row],[Stock Actual]]*STOCK[[#This Row],[Costo total]]</f>
        <v>11.8</v>
      </c>
      <c r="AC1606" s="94"/>
      <c r="AD1606" s="100"/>
    </row>
    <row r="1607" s="76" customFormat="1" ht="50" hidden="1" customHeight="1" spans="1:30">
      <c r="A1607" s="76" t="s">
        <v>3187</v>
      </c>
      <c r="C1607" s="76" t="s">
        <v>30</v>
      </c>
      <c r="D1607" s="76" t="s">
        <v>741</v>
      </c>
      <c r="E1607" s="76" t="s">
        <v>3188</v>
      </c>
      <c r="F1607" s="76" t="s">
        <v>40</v>
      </c>
      <c r="H1607" s="94">
        <f>STOCK[[#This Row],[Precio Final]]</f>
        <v>18</v>
      </c>
      <c r="I1607" s="98">
        <f>STOCK[[#This Row],[Precio Venta Ideal (x1.5)]]</f>
        <v>17.7</v>
      </c>
      <c r="J1607" s="91">
        <v>1</v>
      </c>
      <c r="K1607" s="96">
        <f>SUMIFS(VENTAS[Cantidad],VENTAS[Código del producto Vendido],STOCK[[#This Row],[Code]])</f>
        <v>0</v>
      </c>
      <c r="L1607" s="96">
        <f>STOCK[[#This Row],[Entradas]]-STOCK[[#This Row],[Salidas]]</f>
        <v>1</v>
      </c>
      <c r="M1607" s="94">
        <f>STOCK[[#This Row],[Precio Final]]*10%</f>
        <v>1.8</v>
      </c>
      <c r="N1607" s="77">
        <v>0</v>
      </c>
      <c r="O1607" s="94">
        <v>0</v>
      </c>
      <c r="P1607" s="76">
        <v>10</v>
      </c>
      <c r="Q1607" s="91">
        <v>0</v>
      </c>
      <c r="R1607" s="77">
        <v>0</v>
      </c>
      <c r="S1607" s="77">
        <v>0</v>
      </c>
      <c r="T1607" s="94">
        <f>STOCK[[#This Row],[Costo Unitario (USD)]]+STOCK[[#This Row],[Costo Envío (USD)]]+STOCK[[#This Row],[Comisión 10%]]</f>
        <v>11.8</v>
      </c>
      <c r="U1607" s="76">
        <f>STOCK[[#This Row],[Costo total]]*1.5</f>
        <v>17.7</v>
      </c>
      <c r="V1607" s="76">
        <v>18</v>
      </c>
      <c r="W1607" s="94">
        <f>STOCK[[#This Row],[Precio Final]]-STOCK[[#This Row],[Costo total]]</f>
        <v>6.2</v>
      </c>
      <c r="X1607" s="94">
        <f>STOCK[[#This Row],[Ganancia Unitaria]]*STOCK[[#This Row],[Salidas]]</f>
        <v>0</v>
      </c>
      <c r="Y1607" s="94"/>
      <c r="Z1607" s="94"/>
      <c r="AA1607" s="94">
        <f>STOCK[[#This Row],[Costo total]]*STOCK[[#This Row],[Entradas]]</f>
        <v>11.8</v>
      </c>
      <c r="AB1607" s="94">
        <f>STOCK[[#This Row],[Stock Actual]]*STOCK[[#This Row],[Costo total]]</f>
        <v>11.8</v>
      </c>
      <c r="AC1607" s="94"/>
      <c r="AD1607" s="100"/>
    </row>
    <row r="1608" s="76" customFormat="1" ht="50" hidden="1" customHeight="1" spans="1:30">
      <c r="A1608" s="76" t="s">
        <v>3189</v>
      </c>
      <c r="C1608" s="76" t="s">
        <v>30</v>
      </c>
      <c r="D1608" s="76" t="s">
        <v>741</v>
      </c>
      <c r="E1608" s="76" t="s">
        <v>3190</v>
      </c>
      <c r="F1608" s="76" t="s">
        <v>40</v>
      </c>
      <c r="H1608" s="94">
        <f>STOCK[[#This Row],[Precio Final]]</f>
        <v>18</v>
      </c>
      <c r="I1608" s="98">
        <f>STOCK[[#This Row],[Precio Venta Ideal (x1.5)]]</f>
        <v>17.7</v>
      </c>
      <c r="J1608" s="91">
        <v>2</v>
      </c>
      <c r="K1608" s="96">
        <f>SUMIFS(VENTAS[Cantidad],VENTAS[Código del producto Vendido],STOCK[[#This Row],[Code]])</f>
        <v>0</v>
      </c>
      <c r="L1608" s="96">
        <f>STOCK[[#This Row],[Entradas]]-STOCK[[#This Row],[Salidas]]</f>
        <v>2</v>
      </c>
      <c r="M1608" s="94">
        <f>STOCK[[#This Row],[Precio Final]]*10%</f>
        <v>1.8</v>
      </c>
      <c r="N1608" s="76">
        <v>0</v>
      </c>
      <c r="O1608" s="94">
        <v>0</v>
      </c>
      <c r="P1608" s="76">
        <v>10</v>
      </c>
      <c r="Q1608" s="92">
        <v>0</v>
      </c>
      <c r="R1608" s="76">
        <v>0</v>
      </c>
      <c r="S1608" s="77">
        <v>0</v>
      </c>
      <c r="T1608" s="94">
        <f>STOCK[[#This Row],[Costo Unitario (USD)]]+STOCK[[#This Row],[Costo Envío (USD)]]+STOCK[[#This Row],[Comisión 10%]]</f>
        <v>11.8</v>
      </c>
      <c r="U1608" s="76">
        <f>STOCK[[#This Row],[Costo total]]*1.5</f>
        <v>17.7</v>
      </c>
      <c r="V1608" s="76">
        <v>18</v>
      </c>
      <c r="W1608" s="94">
        <f>STOCK[[#This Row],[Precio Final]]-STOCK[[#This Row],[Costo total]]</f>
        <v>6.2</v>
      </c>
      <c r="X1608" s="94">
        <f>STOCK[[#This Row],[Ganancia Unitaria]]*STOCK[[#This Row],[Salidas]]</f>
        <v>0</v>
      </c>
      <c r="Y1608" s="94"/>
      <c r="Z1608" s="94"/>
      <c r="AA1608" s="94">
        <f>STOCK[[#This Row],[Costo total]]*STOCK[[#This Row],[Entradas]]</f>
        <v>23.6</v>
      </c>
      <c r="AB1608" s="94">
        <f>STOCK[[#This Row],[Stock Actual]]*STOCK[[#This Row],[Costo total]]</f>
        <v>23.6</v>
      </c>
      <c r="AC1608" s="94"/>
      <c r="AD1608" s="100"/>
    </row>
    <row r="1609" s="76" customFormat="1" ht="50" hidden="1" customHeight="1" spans="1:30">
      <c r="A1609" s="76" t="s">
        <v>3191</v>
      </c>
      <c r="C1609" s="76" t="s">
        <v>30</v>
      </c>
      <c r="D1609" s="76" t="s">
        <v>741</v>
      </c>
      <c r="E1609" s="76" t="s">
        <v>3192</v>
      </c>
      <c r="F1609" s="76" t="s">
        <v>47</v>
      </c>
      <c r="H1609" s="94">
        <f>STOCK[[#This Row],[Precio Final]]</f>
        <v>18</v>
      </c>
      <c r="I1609" s="98">
        <f>STOCK[[#This Row],[Precio Venta Ideal (x1.5)]]</f>
        <v>17.7</v>
      </c>
      <c r="J1609" s="91">
        <v>2</v>
      </c>
      <c r="K1609" s="96">
        <f>SUMIFS(VENTAS[Cantidad],VENTAS[Código del producto Vendido],STOCK[[#This Row],[Code]])</f>
        <v>0</v>
      </c>
      <c r="L1609" s="96">
        <f>STOCK[[#This Row],[Entradas]]-STOCK[[#This Row],[Salidas]]</f>
        <v>2</v>
      </c>
      <c r="M1609" s="94">
        <f>STOCK[[#This Row],[Precio Final]]*10%</f>
        <v>1.8</v>
      </c>
      <c r="N1609" s="77">
        <v>0</v>
      </c>
      <c r="O1609" s="94">
        <v>0</v>
      </c>
      <c r="P1609" s="76">
        <v>10</v>
      </c>
      <c r="Q1609" s="91">
        <v>0</v>
      </c>
      <c r="R1609" s="77">
        <v>0</v>
      </c>
      <c r="S1609" s="76">
        <v>0</v>
      </c>
      <c r="T1609" s="94">
        <f>STOCK[[#This Row],[Costo Unitario (USD)]]+STOCK[[#This Row],[Costo Envío (USD)]]+STOCK[[#This Row],[Comisión 10%]]</f>
        <v>11.8</v>
      </c>
      <c r="U1609" s="76">
        <f>STOCK[[#This Row],[Costo total]]*1.5</f>
        <v>17.7</v>
      </c>
      <c r="V1609" s="76">
        <v>18</v>
      </c>
      <c r="W1609" s="94">
        <f>STOCK[[#This Row],[Precio Final]]-STOCK[[#This Row],[Costo total]]</f>
        <v>6.2</v>
      </c>
      <c r="X1609" s="94">
        <f>STOCK[[#This Row],[Ganancia Unitaria]]*STOCK[[#This Row],[Salidas]]</f>
        <v>0</v>
      </c>
      <c r="Y1609" s="94"/>
      <c r="Z1609" s="94"/>
      <c r="AA1609" s="94">
        <f>STOCK[[#This Row],[Costo total]]*STOCK[[#This Row],[Entradas]]</f>
        <v>23.6</v>
      </c>
      <c r="AB1609" s="94">
        <f>STOCK[[#This Row],[Stock Actual]]*STOCK[[#This Row],[Costo total]]</f>
        <v>23.6</v>
      </c>
      <c r="AC1609" s="94"/>
      <c r="AD1609" s="100"/>
    </row>
    <row r="1610" s="76" customFormat="1" ht="50" hidden="1" customHeight="1" spans="1:30">
      <c r="A1610" s="76" t="s">
        <v>3193</v>
      </c>
      <c r="C1610" s="76" t="s">
        <v>30</v>
      </c>
      <c r="D1610" s="76" t="s">
        <v>741</v>
      </c>
      <c r="E1610" s="76" t="s">
        <v>3194</v>
      </c>
      <c r="F1610" s="76" t="s">
        <v>44</v>
      </c>
      <c r="H1610" s="94">
        <f>STOCK[[#This Row],[Precio Final]]</f>
        <v>18</v>
      </c>
      <c r="I1610" s="98">
        <f>STOCK[[#This Row],[Precio Venta Ideal (x1.5)]]</f>
        <v>17.7</v>
      </c>
      <c r="J1610" s="91">
        <v>1</v>
      </c>
      <c r="K1610" s="96">
        <f>SUMIFS(VENTAS[Cantidad],VENTAS[Código del producto Vendido],STOCK[[#This Row],[Code]])</f>
        <v>0</v>
      </c>
      <c r="L1610" s="96">
        <f>STOCK[[#This Row],[Entradas]]-STOCK[[#This Row],[Salidas]]</f>
        <v>1</v>
      </c>
      <c r="M1610" s="94">
        <f>STOCK[[#This Row],[Precio Final]]*10%</f>
        <v>1.8</v>
      </c>
      <c r="N1610" s="77">
        <v>0</v>
      </c>
      <c r="O1610" s="94">
        <v>0</v>
      </c>
      <c r="P1610" s="76">
        <v>10</v>
      </c>
      <c r="Q1610" s="91">
        <v>0</v>
      </c>
      <c r="R1610" s="76">
        <v>0</v>
      </c>
      <c r="S1610" s="77">
        <v>0</v>
      </c>
      <c r="T1610" s="94">
        <f>STOCK[[#This Row],[Costo Unitario (USD)]]+STOCK[[#This Row],[Costo Envío (USD)]]+STOCK[[#This Row],[Comisión 10%]]</f>
        <v>11.8</v>
      </c>
      <c r="U1610" s="76">
        <f>STOCK[[#This Row],[Costo total]]*1.5</f>
        <v>17.7</v>
      </c>
      <c r="V1610" s="76">
        <v>18</v>
      </c>
      <c r="W1610" s="94">
        <f>STOCK[[#This Row],[Precio Final]]-STOCK[[#This Row],[Costo total]]</f>
        <v>6.2</v>
      </c>
      <c r="X1610" s="94">
        <f>STOCK[[#This Row],[Ganancia Unitaria]]*STOCK[[#This Row],[Salidas]]</f>
        <v>0</v>
      </c>
      <c r="Y1610" s="94"/>
      <c r="Z1610" s="94"/>
      <c r="AA1610" s="94">
        <f>STOCK[[#This Row],[Costo total]]*STOCK[[#This Row],[Entradas]]</f>
        <v>11.8</v>
      </c>
      <c r="AB1610" s="94">
        <f>STOCK[[#This Row],[Stock Actual]]*STOCK[[#This Row],[Costo total]]</f>
        <v>11.8</v>
      </c>
      <c r="AC1610" s="94"/>
      <c r="AD1610" s="100"/>
    </row>
    <row r="1611" s="76" customFormat="1" ht="50" hidden="1" customHeight="1" spans="1:30">
      <c r="A1611" s="76" t="s">
        <v>3195</v>
      </c>
      <c r="C1611" s="76" t="s">
        <v>30</v>
      </c>
      <c r="D1611" s="76" t="s">
        <v>741</v>
      </c>
      <c r="E1611" s="76" t="s">
        <v>3196</v>
      </c>
      <c r="F1611" s="76" t="s">
        <v>40</v>
      </c>
      <c r="H1611" s="94">
        <f>STOCK[[#This Row],[Precio Final]]</f>
        <v>18</v>
      </c>
      <c r="I1611" s="98">
        <f>STOCK[[#This Row],[Precio Venta Ideal (x1.5)]]</f>
        <v>17.7</v>
      </c>
      <c r="J1611" s="91">
        <v>1</v>
      </c>
      <c r="K1611" s="96">
        <f>SUMIFS(VENTAS[Cantidad],VENTAS[Código del producto Vendido],STOCK[[#This Row],[Code]])</f>
        <v>0</v>
      </c>
      <c r="L1611" s="96">
        <f>STOCK[[#This Row],[Entradas]]-STOCK[[#This Row],[Salidas]]</f>
        <v>1</v>
      </c>
      <c r="M1611" s="94">
        <f>STOCK[[#This Row],[Precio Final]]*10%</f>
        <v>1.8</v>
      </c>
      <c r="N1611" s="76">
        <v>0</v>
      </c>
      <c r="O1611" s="94">
        <v>0</v>
      </c>
      <c r="P1611" s="76">
        <v>10</v>
      </c>
      <c r="Q1611" s="92">
        <v>0</v>
      </c>
      <c r="R1611" s="77">
        <v>0</v>
      </c>
      <c r="S1611" s="77">
        <v>0</v>
      </c>
      <c r="T1611" s="94">
        <f>STOCK[[#This Row],[Costo Unitario (USD)]]+STOCK[[#This Row],[Costo Envío (USD)]]+STOCK[[#This Row],[Comisión 10%]]</f>
        <v>11.8</v>
      </c>
      <c r="U1611" s="76">
        <f>STOCK[[#This Row],[Costo total]]*1.5</f>
        <v>17.7</v>
      </c>
      <c r="V1611" s="76">
        <v>18</v>
      </c>
      <c r="W1611" s="94">
        <f>STOCK[[#This Row],[Precio Final]]-STOCK[[#This Row],[Costo total]]</f>
        <v>6.2</v>
      </c>
      <c r="X1611" s="94">
        <f>STOCK[[#This Row],[Ganancia Unitaria]]*STOCK[[#This Row],[Salidas]]</f>
        <v>0</v>
      </c>
      <c r="Y1611" s="94"/>
      <c r="Z1611" s="94"/>
      <c r="AA1611" s="94">
        <f>STOCK[[#This Row],[Costo total]]*STOCK[[#This Row],[Entradas]]</f>
        <v>11.8</v>
      </c>
      <c r="AB1611" s="94">
        <f>STOCK[[#This Row],[Stock Actual]]*STOCK[[#This Row],[Costo total]]</f>
        <v>11.8</v>
      </c>
      <c r="AC1611" s="94"/>
      <c r="AD1611" s="100"/>
    </row>
    <row r="1612" s="76" customFormat="1" ht="50" hidden="1" customHeight="1" spans="1:30">
      <c r="A1612" s="76" t="s">
        <v>3197</v>
      </c>
      <c r="C1612" s="76" t="s">
        <v>30</v>
      </c>
      <c r="D1612" s="76" t="s">
        <v>741</v>
      </c>
      <c r="E1612" s="76" t="s">
        <v>3196</v>
      </c>
      <c r="F1612" s="76" t="s">
        <v>60</v>
      </c>
      <c r="H1612" s="94">
        <f>STOCK[[#This Row],[Precio Final]]</f>
        <v>18</v>
      </c>
      <c r="I1612" s="98">
        <f>STOCK[[#This Row],[Precio Venta Ideal (x1.5)]]</f>
        <v>17.7</v>
      </c>
      <c r="J1612" s="91">
        <v>1</v>
      </c>
      <c r="K1612" s="96">
        <f>SUMIFS(VENTAS[Cantidad],VENTAS[Código del producto Vendido],STOCK[[#This Row],[Code]])</f>
        <v>0</v>
      </c>
      <c r="L1612" s="96">
        <f>STOCK[[#This Row],[Entradas]]-STOCK[[#This Row],[Salidas]]</f>
        <v>1</v>
      </c>
      <c r="M1612" s="94">
        <f>STOCK[[#This Row],[Precio Final]]*10%</f>
        <v>1.8</v>
      </c>
      <c r="N1612" s="77">
        <v>0</v>
      </c>
      <c r="O1612" s="94">
        <v>0</v>
      </c>
      <c r="P1612" s="76">
        <v>10</v>
      </c>
      <c r="Q1612" s="91">
        <v>0</v>
      </c>
      <c r="R1612" s="76">
        <v>0</v>
      </c>
      <c r="S1612" s="76">
        <v>0</v>
      </c>
      <c r="T1612" s="94">
        <f>STOCK[[#This Row],[Costo Unitario (USD)]]+STOCK[[#This Row],[Costo Envío (USD)]]+STOCK[[#This Row],[Comisión 10%]]</f>
        <v>11.8</v>
      </c>
      <c r="U1612" s="76">
        <f>STOCK[[#This Row],[Costo total]]*1.5</f>
        <v>17.7</v>
      </c>
      <c r="V1612" s="76">
        <v>18</v>
      </c>
      <c r="W1612" s="94">
        <f>STOCK[[#This Row],[Precio Final]]-STOCK[[#This Row],[Costo total]]</f>
        <v>6.2</v>
      </c>
      <c r="X1612" s="94">
        <f>STOCK[[#This Row],[Ganancia Unitaria]]*STOCK[[#This Row],[Salidas]]</f>
        <v>0</v>
      </c>
      <c r="Y1612" s="94"/>
      <c r="Z1612" s="94"/>
      <c r="AA1612" s="94">
        <f>STOCK[[#This Row],[Costo total]]*STOCK[[#This Row],[Entradas]]</f>
        <v>11.8</v>
      </c>
      <c r="AB1612" s="94">
        <f>STOCK[[#This Row],[Stock Actual]]*STOCK[[#This Row],[Costo total]]</f>
        <v>11.8</v>
      </c>
      <c r="AC1612" s="94"/>
      <c r="AD1612" s="100"/>
    </row>
    <row r="1613" s="76" customFormat="1" ht="50" hidden="1" customHeight="1" spans="1:30">
      <c r="A1613" s="76" t="s">
        <v>3198</v>
      </c>
      <c r="C1613" s="76" t="s">
        <v>30</v>
      </c>
      <c r="D1613" s="76" t="s">
        <v>741</v>
      </c>
      <c r="E1613" s="76" t="s">
        <v>3196</v>
      </c>
      <c r="F1613" s="76" t="s">
        <v>47</v>
      </c>
      <c r="H1613" s="94">
        <f>STOCK[[#This Row],[Precio Final]]</f>
        <v>18</v>
      </c>
      <c r="I1613" s="98">
        <f>STOCK[[#This Row],[Precio Venta Ideal (x1.5)]]</f>
        <v>17.7</v>
      </c>
      <c r="J1613" s="91">
        <v>1</v>
      </c>
      <c r="K1613" s="96">
        <f>SUMIFS(VENTAS[Cantidad],VENTAS[Código del producto Vendido],STOCK[[#This Row],[Code]])</f>
        <v>0</v>
      </c>
      <c r="L1613" s="96">
        <f>STOCK[[#This Row],[Entradas]]-STOCK[[#This Row],[Salidas]]</f>
        <v>1</v>
      </c>
      <c r="M1613" s="94">
        <f>STOCK[[#This Row],[Precio Final]]*10%</f>
        <v>1.8</v>
      </c>
      <c r="N1613" s="77">
        <v>0</v>
      </c>
      <c r="O1613" s="94">
        <v>0</v>
      </c>
      <c r="P1613" s="76">
        <v>10</v>
      </c>
      <c r="Q1613" s="91">
        <v>0</v>
      </c>
      <c r="R1613" s="77">
        <v>0</v>
      </c>
      <c r="S1613" s="77">
        <v>0</v>
      </c>
      <c r="T1613" s="94">
        <f>STOCK[[#This Row],[Costo Unitario (USD)]]+STOCK[[#This Row],[Costo Envío (USD)]]+STOCK[[#This Row],[Comisión 10%]]</f>
        <v>11.8</v>
      </c>
      <c r="U1613" s="76">
        <f>STOCK[[#This Row],[Costo total]]*1.5</f>
        <v>17.7</v>
      </c>
      <c r="V1613" s="76">
        <v>18</v>
      </c>
      <c r="W1613" s="94">
        <f>STOCK[[#This Row],[Precio Final]]-STOCK[[#This Row],[Costo total]]</f>
        <v>6.2</v>
      </c>
      <c r="X1613" s="94">
        <f>STOCK[[#This Row],[Ganancia Unitaria]]*STOCK[[#This Row],[Salidas]]</f>
        <v>0</v>
      </c>
      <c r="Y1613" s="94"/>
      <c r="Z1613" s="94"/>
      <c r="AA1613" s="94">
        <f>STOCK[[#This Row],[Costo total]]*STOCK[[#This Row],[Entradas]]</f>
        <v>11.8</v>
      </c>
      <c r="AB1613" s="94">
        <f>STOCK[[#This Row],[Stock Actual]]*STOCK[[#This Row],[Costo total]]</f>
        <v>11.8</v>
      </c>
      <c r="AC1613" s="94"/>
      <c r="AD1613" s="100"/>
    </row>
    <row r="1614" s="76" customFormat="1" ht="50" hidden="1" customHeight="1" spans="1:30">
      <c r="A1614" s="76" t="s">
        <v>3199</v>
      </c>
      <c r="C1614" s="76" t="s">
        <v>30</v>
      </c>
      <c r="D1614" s="76" t="s">
        <v>741</v>
      </c>
      <c r="E1614" s="76" t="s">
        <v>3200</v>
      </c>
      <c r="F1614" s="76" t="s">
        <v>38</v>
      </c>
      <c r="H1614" s="94">
        <f>STOCK[[#This Row],[Precio Final]]</f>
        <v>18</v>
      </c>
      <c r="I1614" s="98">
        <f>STOCK[[#This Row],[Precio Venta Ideal (x1.5)]]</f>
        <v>17.7</v>
      </c>
      <c r="J1614" s="91">
        <v>1</v>
      </c>
      <c r="K1614" s="96">
        <f>SUMIFS(VENTAS[Cantidad],VENTAS[Código del producto Vendido],STOCK[[#This Row],[Code]])</f>
        <v>0</v>
      </c>
      <c r="L1614" s="96">
        <f>STOCK[[#This Row],[Entradas]]-STOCK[[#This Row],[Salidas]]</f>
        <v>1</v>
      </c>
      <c r="M1614" s="94">
        <f>STOCK[[#This Row],[Precio Final]]*10%</f>
        <v>1.8</v>
      </c>
      <c r="N1614" s="76">
        <v>0</v>
      </c>
      <c r="O1614" s="94">
        <v>0</v>
      </c>
      <c r="P1614" s="76">
        <v>10</v>
      </c>
      <c r="Q1614" s="92">
        <v>0</v>
      </c>
      <c r="R1614" s="76">
        <v>0</v>
      </c>
      <c r="S1614" s="77">
        <v>0</v>
      </c>
      <c r="T1614" s="94">
        <f>STOCK[[#This Row],[Costo Unitario (USD)]]+STOCK[[#This Row],[Costo Envío (USD)]]+STOCK[[#This Row],[Comisión 10%]]</f>
        <v>11.8</v>
      </c>
      <c r="U1614" s="76">
        <f>STOCK[[#This Row],[Costo total]]*1.5</f>
        <v>17.7</v>
      </c>
      <c r="V1614" s="76">
        <v>18</v>
      </c>
      <c r="W1614" s="94">
        <f>STOCK[[#This Row],[Precio Final]]-STOCK[[#This Row],[Costo total]]</f>
        <v>6.2</v>
      </c>
      <c r="X1614" s="94">
        <f>STOCK[[#This Row],[Ganancia Unitaria]]*STOCK[[#This Row],[Salidas]]</f>
        <v>0</v>
      </c>
      <c r="Y1614" s="94"/>
      <c r="Z1614" s="94"/>
      <c r="AA1614" s="94">
        <f>STOCK[[#This Row],[Costo total]]*STOCK[[#This Row],[Entradas]]</f>
        <v>11.8</v>
      </c>
      <c r="AB1614" s="94">
        <f>STOCK[[#This Row],[Stock Actual]]*STOCK[[#This Row],[Costo total]]</f>
        <v>11.8</v>
      </c>
      <c r="AC1614" s="94"/>
      <c r="AD1614" s="100"/>
    </row>
    <row r="1615" s="76" customFormat="1" ht="50" hidden="1" customHeight="1" spans="1:30">
      <c r="A1615" s="76" t="s">
        <v>3201</v>
      </c>
      <c r="C1615" s="76" t="s">
        <v>30</v>
      </c>
      <c r="D1615" s="76" t="s">
        <v>741</v>
      </c>
      <c r="E1615" s="76" t="s">
        <v>3202</v>
      </c>
      <c r="F1615" s="76" t="s">
        <v>44</v>
      </c>
      <c r="H1615" s="94">
        <f>STOCK[[#This Row],[Precio Final]]</f>
        <v>18</v>
      </c>
      <c r="I1615" s="98">
        <f>STOCK[[#This Row],[Precio Venta Ideal (x1.5)]]</f>
        <v>17.7</v>
      </c>
      <c r="J1615" s="91">
        <v>1</v>
      </c>
      <c r="K1615" s="96">
        <f>SUMIFS(VENTAS[Cantidad],VENTAS[Código del producto Vendido],STOCK[[#This Row],[Code]])</f>
        <v>0</v>
      </c>
      <c r="L1615" s="96">
        <f>STOCK[[#This Row],[Entradas]]-STOCK[[#This Row],[Salidas]]</f>
        <v>1</v>
      </c>
      <c r="M1615" s="94">
        <f>STOCK[[#This Row],[Precio Final]]*10%</f>
        <v>1.8</v>
      </c>
      <c r="N1615" s="77">
        <v>0</v>
      </c>
      <c r="O1615" s="94">
        <v>0</v>
      </c>
      <c r="P1615" s="76">
        <v>10</v>
      </c>
      <c r="Q1615" s="91">
        <v>0</v>
      </c>
      <c r="R1615" s="77">
        <v>0</v>
      </c>
      <c r="S1615" s="76">
        <v>0</v>
      </c>
      <c r="T1615" s="94">
        <f>STOCK[[#This Row],[Costo Unitario (USD)]]+STOCK[[#This Row],[Costo Envío (USD)]]+STOCK[[#This Row],[Comisión 10%]]</f>
        <v>11.8</v>
      </c>
      <c r="U1615" s="76">
        <f>STOCK[[#This Row],[Costo total]]*1.5</f>
        <v>17.7</v>
      </c>
      <c r="V1615" s="76">
        <v>18</v>
      </c>
      <c r="W1615" s="94">
        <f>STOCK[[#This Row],[Precio Final]]-STOCK[[#This Row],[Costo total]]</f>
        <v>6.2</v>
      </c>
      <c r="X1615" s="94">
        <f>STOCK[[#This Row],[Ganancia Unitaria]]*STOCK[[#This Row],[Salidas]]</f>
        <v>0</v>
      </c>
      <c r="Y1615" s="94"/>
      <c r="Z1615" s="94"/>
      <c r="AA1615" s="94">
        <f>STOCK[[#This Row],[Costo total]]*STOCK[[#This Row],[Entradas]]</f>
        <v>11.8</v>
      </c>
      <c r="AB1615" s="94">
        <f>STOCK[[#This Row],[Stock Actual]]*STOCK[[#This Row],[Costo total]]</f>
        <v>11.8</v>
      </c>
      <c r="AC1615" s="94"/>
      <c r="AD1615" s="100"/>
    </row>
    <row r="1616" s="76" customFormat="1" ht="50" hidden="1" customHeight="1" spans="1:30">
      <c r="A1616" s="76" t="s">
        <v>3203</v>
      </c>
      <c r="C1616" s="76" t="s">
        <v>30</v>
      </c>
      <c r="D1616" s="76" t="s">
        <v>741</v>
      </c>
      <c r="E1616" s="76" t="s">
        <v>3204</v>
      </c>
      <c r="F1616" s="76" t="s">
        <v>60</v>
      </c>
      <c r="H1616" s="94">
        <f>STOCK[[#This Row],[Precio Final]]</f>
        <v>18</v>
      </c>
      <c r="I1616" s="98">
        <f>STOCK[[#This Row],[Precio Venta Ideal (x1.5)]]</f>
        <v>17.7</v>
      </c>
      <c r="J1616" s="91">
        <v>3</v>
      </c>
      <c r="K1616" s="96">
        <f>SUMIFS(VENTAS[Cantidad],VENTAS[Código del producto Vendido],STOCK[[#This Row],[Code]])</f>
        <v>0</v>
      </c>
      <c r="L1616" s="96">
        <f>STOCK[[#This Row],[Entradas]]-STOCK[[#This Row],[Salidas]]</f>
        <v>3</v>
      </c>
      <c r="M1616" s="94">
        <f>STOCK[[#This Row],[Precio Final]]*10%</f>
        <v>1.8</v>
      </c>
      <c r="N1616" s="77">
        <v>0</v>
      </c>
      <c r="O1616" s="94">
        <v>0</v>
      </c>
      <c r="P1616" s="76">
        <v>10</v>
      </c>
      <c r="Q1616" s="91">
        <v>0</v>
      </c>
      <c r="R1616" s="76">
        <v>0</v>
      </c>
      <c r="S1616" s="77">
        <v>0</v>
      </c>
      <c r="T1616" s="94">
        <f>STOCK[[#This Row],[Costo Unitario (USD)]]+STOCK[[#This Row],[Costo Envío (USD)]]+STOCK[[#This Row],[Comisión 10%]]</f>
        <v>11.8</v>
      </c>
      <c r="U1616" s="76">
        <f>STOCK[[#This Row],[Costo total]]*1.5</f>
        <v>17.7</v>
      </c>
      <c r="V1616" s="76">
        <v>18</v>
      </c>
      <c r="W1616" s="94">
        <f>STOCK[[#This Row],[Precio Final]]-STOCK[[#This Row],[Costo total]]</f>
        <v>6.2</v>
      </c>
      <c r="X1616" s="94">
        <f>STOCK[[#This Row],[Ganancia Unitaria]]*STOCK[[#This Row],[Salidas]]</f>
        <v>0</v>
      </c>
      <c r="Y1616" s="94"/>
      <c r="Z1616" s="94"/>
      <c r="AA1616" s="94">
        <f>STOCK[[#This Row],[Costo total]]*STOCK[[#This Row],[Entradas]]</f>
        <v>35.4</v>
      </c>
      <c r="AB1616" s="94">
        <f>STOCK[[#This Row],[Stock Actual]]*STOCK[[#This Row],[Costo total]]</f>
        <v>35.4</v>
      </c>
      <c r="AC1616" s="94"/>
      <c r="AD1616" s="100"/>
    </row>
    <row r="1617" s="76" customFormat="1" ht="50" hidden="1" customHeight="1" spans="1:30">
      <c r="A1617" s="76" t="s">
        <v>3205</v>
      </c>
      <c r="C1617" s="76" t="s">
        <v>30</v>
      </c>
      <c r="D1617" s="76" t="s">
        <v>741</v>
      </c>
      <c r="E1617" s="76" t="s">
        <v>3206</v>
      </c>
      <c r="F1617" s="76" t="s">
        <v>38</v>
      </c>
      <c r="H1617" s="94">
        <f>STOCK[[#This Row],[Precio Final]]</f>
        <v>18</v>
      </c>
      <c r="I1617" s="98">
        <f>STOCK[[#This Row],[Precio Venta Ideal (x1.5)]]</f>
        <v>17.7</v>
      </c>
      <c r="J1617" s="91">
        <v>1</v>
      </c>
      <c r="K1617" s="96">
        <f>SUMIFS(VENTAS[Cantidad],VENTAS[Código del producto Vendido],STOCK[[#This Row],[Code]])</f>
        <v>0</v>
      </c>
      <c r="L1617" s="96">
        <f>STOCK[[#This Row],[Entradas]]-STOCK[[#This Row],[Salidas]]</f>
        <v>1</v>
      </c>
      <c r="M1617" s="94">
        <f>STOCK[[#This Row],[Precio Final]]*10%</f>
        <v>1.8</v>
      </c>
      <c r="N1617" s="76">
        <v>0</v>
      </c>
      <c r="O1617" s="94">
        <v>0</v>
      </c>
      <c r="P1617" s="76">
        <v>10</v>
      </c>
      <c r="Q1617" s="92">
        <v>0</v>
      </c>
      <c r="R1617" s="77">
        <v>0</v>
      </c>
      <c r="S1617" s="77">
        <v>0</v>
      </c>
      <c r="T1617" s="94">
        <f>STOCK[[#This Row],[Costo Unitario (USD)]]+STOCK[[#This Row],[Costo Envío (USD)]]+STOCK[[#This Row],[Comisión 10%]]</f>
        <v>11.8</v>
      </c>
      <c r="U1617" s="76">
        <f>STOCK[[#This Row],[Costo total]]*1.5</f>
        <v>17.7</v>
      </c>
      <c r="V1617" s="76">
        <v>18</v>
      </c>
      <c r="W1617" s="94">
        <f>STOCK[[#This Row],[Precio Final]]-STOCK[[#This Row],[Costo total]]</f>
        <v>6.2</v>
      </c>
      <c r="X1617" s="94">
        <f>STOCK[[#This Row],[Ganancia Unitaria]]*STOCK[[#This Row],[Salidas]]</f>
        <v>0</v>
      </c>
      <c r="Y1617" s="94"/>
      <c r="Z1617" s="94"/>
      <c r="AA1617" s="94">
        <f>STOCK[[#This Row],[Costo total]]*STOCK[[#This Row],[Entradas]]</f>
        <v>11.8</v>
      </c>
      <c r="AB1617" s="94">
        <f>STOCK[[#This Row],[Stock Actual]]*STOCK[[#This Row],[Costo total]]</f>
        <v>11.8</v>
      </c>
      <c r="AC1617" s="94"/>
      <c r="AD1617" s="100"/>
    </row>
    <row r="1618" s="76" customFormat="1" ht="50" hidden="1" customHeight="1" spans="1:30">
      <c r="A1618" s="76" t="s">
        <v>3207</v>
      </c>
      <c r="C1618" s="76" t="s">
        <v>30</v>
      </c>
      <c r="D1618" s="76" t="s">
        <v>741</v>
      </c>
      <c r="E1618" s="76" t="s">
        <v>3206</v>
      </c>
      <c r="F1618" s="76" t="s">
        <v>60</v>
      </c>
      <c r="H1618" s="94">
        <f>STOCK[[#This Row],[Precio Final]]</f>
        <v>18</v>
      </c>
      <c r="I1618" s="98">
        <f>STOCK[[#This Row],[Precio Venta Ideal (x1.5)]]</f>
        <v>17.7</v>
      </c>
      <c r="J1618" s="91">
        <v>1</v>
      </c>
      <c r="K1618" s="96">
        <f>SUMIFS(VENTAS[Cantidad],VENTAS[Código del producto Vendido],STOCK[[#This Row],[Code]])</f>
        <v>0</v>
      </c>
      <c r="L1618" s="96">
        <f>STOCK[[#This Row],[Entradas]]-STOCK[[#This Row],[Salidas]]</f>
        <v>1</v>
      </c>
      <c r="M1618" s="94">
        <f>STOCK[[#This Row],[Precio Final]]*10%</f>
        <v>1.8</v>
      </c>
      <c r="N1618" s="77">
        <v>0</v>
      </c>
      <c r="O1618" s="94">
        <v>0</v>
      </c>
      <c r="P1618" s="76">
        <v>10</v>
      </c>
      <c r="Q1618" s="91">
        <v>0</v>
      </c>
      <c r="R1618" s="76">
        <v>0</v>
      </c>
      <c r="S1618" s="76">
        <v>0</v>
      </c>
      <c r="T1618" s="94">
        <f>STOCK[[#This Row],[Costo Unitario (USD)]]+STOCK[[#This Row],[Costo Envío (USD)]]+STOCK[[#This Row],[Comisión 10%]]</f>
        <v>11.8</v>
      </c>
      <c r="U1618" s="76">
        <f>STOCK[[#This Row],[Costo total]]*1.5</f>
        <v>17.7</v>
      </c>
      <c r="V1618" s="76">
        <v>18</v>
      </c>
      <c r="W1618" s="94">
        <f>STOCK[[#This Row],[Precio Final]]-STOCK[[#This Row],[Costo total]]</f>
        <v>6.2</v>
      </c>
      <c r="X1618" s="94">
        <f>STOCK[[#This Row],[Ganancia Unitaria]]*STOCK[[#This Row],[Salidas]]</f>
        <v>0</v>
      </c>
      <c r="Y1618" s="94"/>
      <c r="Z1618" s="94"/>
      <c r="AA1618" s="94">
        <f>STOCK[[#This Row],[Costo total]]*STOCK[[#This Row],[Entradas]]</f>
        <v>11.8</v>
      </c>
      <c r="AB1618" s="94">
        <f>STOCK[[#This Row],[Stock Actual]]*STOCK[[#This Row],[Costo total]]</f>
        <v>11.8</v>
      </c>
      <c r="AC1618" s="94"/>
      <c r="AD1618" s="100"/>
    </row>
    <row r="1619" s="76" customFormat="1" ht="50" hidden="1" customHeight="1" spans="1:30">
      <c r="A1619" s="76" t="s">
        <v>3208</v>
      </c>
      <c r="C1619" s="76" t="s">
        <v>30</v>
      </c>
      <c r="D1619" s="76" t="s">
        <v>1386</v>
      </c>
      <c r="E1619" s="76" t="s">
        <v>3161</v>
      </c>
      <c r="F1619" s="76" t="s">
        <v>47</v>
      </c>
      <c r="H1619" s="94">
        <f>STOCK[[#This Row],[Precio Final]]</f>
        <v>18</v>
      </c>
      <c r="I1619" s="98">
        <f>STOCK[[#This Row],[Precio Venta Ideal (x1.5)]]</f>
        <v>11.7</v>
      </c>
      <c r="J1619" s="91">
        <v>1</v>
      </c>
      <c r="K1619" s="96">
        <f>SUMIFS(VENTAS[Cantidad],VENTAS[Código del producto Vendido],STOCK[[#This Row],[Code]])</f>
        <v>0</v>
      </c>
      <c r="L1619" s="96">
        <f>STOCK[[#This Row],[Entradas]]-STOCK[[#This Row],[Salidas]]</f>
        <v>1</v>
      </c>
      <c r="M1619" s="94">
        <f>STOCK[[#This Row],[Precio Final]]*10%</f>
        <v>1.8</v>
      </c>
      <c r="N1619" s="77">
        <v>0</v>
      </c>
      <c r="O1619" s="94">
        <v>0</v>
      </c>
      <c r="P1619" s="76">
        <v>6</v>
      </c>
      <c r="Q1619" s="91">
        <v>0</v>
      </c>
      <c r="R1619" s="77">
        <v>0</v>
      </c>
      <c r="S1619" s="77">
        <v>0</v>
      </c>
      <c r="T1619" s="94">
        <f>STOCK[[#This Row],[Costo Unitario (USD)]]+STOCK[[#This Row],[Costo Envío (USD)]]+STOCK[[#This Row],[Comisión 10%]]</f>
        <v>7.8</v>
      </c>
      <c r="U1619" s="76">
        <f>STOCK[[#This Row],[Costo total]]*1.5</f>
        <v>11.7</v>
      </c>
      <c r="V1619" s="76">
        <v>18</v>
      </c>
      <c r="W1619" s="94">
        <f>STOCK[[#This Row],[Precio Final]]-STOCK[[#This Row],[Costo total]]</f>
        <v>10.2</v>
      </c>
      <c r="X1619" s="94">
        <f>STOCK[[#This Row],[Ganancia Unitaria]]*STOCK[[#This Row],[Salidas]]</f>
        <v>0</v>
      </c>
      <c r="Y1619" s="94"/>
      <c r="Z1619" s="94"/>
      <c r="AA1619" s="94">
        <f>STOCK[[#This Row],[Costo total]]*STOCK[[#This Row],[Entradas]]</f>
        <v>7.8</v>
      </c>
      <c r="AB1619" s="94">
        <f>STOCK[[#This Row],[Stock Actual]]*STOCK[[#This Row],[Costo total]]</f>
        <v>7.8</v>
      </c>
      <c r="AC1619" s="94"/>
      <c r="AD1619" s="100"/>
    </row>
    <row r="1620" s="76" customFormat="1" ht="50" hidden="1" customHeight="1" spans="1:30">
      <c r="A1620" s="76" t="s">
        <v>3209</v>
      </c>
      <c r="C1620" s="76" t="s">
        <v>30</v>
      </c>
      <c r="D1620" s="76" t="s">
        <v>741</v>
      </c>
      <c r="E1620" s="76" t="s">
        <v>3210</v>
      </c>
      <c r="F1620" s="76" t="s">
        <v>60</v>
      </c>
      <c r="H1620" s="94">
        <f>STOCK[[#This Row],[Precio Final]]</f>
        <v>22</v>
      </c>
      <c r="I1620" s="98">
        <f>STOCK[[#This Row],[Precio Venta Ideal (x1.5)]]</f>
        <v>18.3</v>
      </c>
      <c r="J1620" s="91">
        <v>2</v>
      </c>
      <c r="K1620" s="96">
        <f>SUMIFS(VENTAS[Cantidad],VENTAS[Código del producto Vendido],STOCK[[#This Row],[Code]])</f>
        <v>0</v>
      </c>
      <c r="L1620" s="96">
        <f>STOCK[[#This Row],[Entradas]]-STOCK[[#This Row],[Salidas]]</f>
        <v>2</v>
      </c>
      <c r="M1620" s="94">
        <f>STOCK[[#This Row],[Precio Final]]*10%</f>
        <v>2.2</v>
      </c>
      <c r="N1620" s="76">
        <v>0</v>
      </c>
      <c r="O1620" s="94">
        <v>0</v>
      </c>
      <c r="P1620" s="76">
        <v>10</v>
      </c>
      <c r="Q1620" s="92">
        <v>0</v>
      </c>
      <c r="R1620" s="76">
        <v>0</v>
      </c>
      <c r="S1620" s="77">
        <v>0</v>
      </c>
      <c r="T1620" s="94">
        <f>STOCK[[#This Row],[Costo Unitario (USD)]]+STOCK[[#This Row],[Costo Envío (USD)]]+STOCK[[#This Row],[Comisión 10%]]</f>
        <v>12.2</v>
      </c>
      <c r="U1620" s="76">
        <f>STOCK[[#This Row],[Costo total]]*1.5</f>
        <v>18.3</v>
      </c>
      <c r="V1620" s="76">
        <v>22</v>
      </c>
      <c r="W1620" s="94">
        <f>STOCK[[#This Row],[Precio Final]]-STOCK[[#This Row],[Costo total]]</f>
        <v>9.8</v>
      </c>
      <c r="X1620" s="94">
        <f>STOCK[[#This Row],[Ganancia Unitaria]]*STOCK[[#This Row],[Salidas]]</f>
        <v>0</v>
      </c>
      <c r="Y1620" s="94"/>
      <c r="Z1620" s="94"/>
      <c r="AA1620" s="94">
        <f>STOCK[[#This Row],[Costo total]]*STOCK[[#This Row],[Entradas]]</f>
        <v>24.4</v>
      </c>
      <c r="AB1620" s="94">
        <f>STOCK[[#This Row],[Stock Actual]]*STOCK[[#This Row],[Costo total]]</f>
        <v>24.4</v>
      </c>
      <c r="AC1620" s="94"/>
      <c r="AD1620" s="100"/>
    </row>
    <row r="1621" s="76" customFormat="1" ht="50" hidden="1" customHeight="1" spans="1:30">
      <c r="A1621" s="76" t="s">
        <v>3211</v>
      </c>
      <c r="C1621" s="76" t="s">
        <v>30</v>
      </c>
      <c r="D1621" s="76" t="s">
        <v>741</v>
      </c>
      <c r="E1621" s="76" t="s">
        <v>3212</v>
      </c>
      <c r="F1621" s="76" t="s">
        <v>60</v>
      </c>
      <c r="H1621" s="94">
        <f>STOCK[[#This Row],[Precio Final]]</f>
        <v>25</v>
      </c>
      <c r="I1621" s="98">
        <f>STOCK[[#This Row],[Precio Venta Ideal (x1.5)]]</f>
        <v>18.75</v>
      </c>
      <c r="J1621" s="91">
        <v>1</v>
      </c>
      <c r="K1621" s="96">
        <f>SUMIFS(VENTAS[Cantidad],VENTAS[Código del producto Vendido],STOCK[[#This Row],[Code]])</f>
        <v>0</v>
      </c>
      <c r="L1621" s="96">
        <f>STOCK[[#This Row],[Entradas]]-STOCK[[#This Row],[Salidas]]</f>
        <v>1</v>
      </c>
      <c r="M1621" s="94">
        <f>STOCK[[#This Row],[Precio Final]]*10%</f>
        <v>2.5</v>
      </c>
      <c r="N1621" s="77">
        <v>0</v>
      </c>
      <c r="O1621" s="94">
        <v>0</v>
      </c>
      <c r="P1621" s="76">
        <v>10</v>
      </c>
      <c r="Q1621" s="91">
        <v>0</v>
      </c>
      <c r="R1621" s="77">
        <v>0</v>
      </c>
      <c r="S1621" s="76">
        <v>0</v>
      </c>
      <c r="T1621" s="94">
        <f>STOCK[[#This Row],[Costo Unitario (USD)]]+STOCK[[#This Row],[Costo Envío (USD)]]+STOCK[[#This Row],[Comisión 10%]]</f>
        <v>12.5</v>
      </c>
      <c r="U1621" s="76">
        <f>STOCK[[#This Row],[Costo total]]*1.5</f>
        <v>18.75</v>
      </c>
      <c r="V1621" s="76">
        <v>25</v>
      </c>
      <c r="W1621" s="94">
        <f>STOCK[[#This Row],[Precio Final]]-STOCK[[#This Row],[Costo total]]</f>
        <v>12.5</v>
      </c>
      <c r="X1621" s="94">
        <f>STOCK[[#This Row],[Ganancia Unitaria]]*STOCK[[#This Row],[Salidas]]</f>
        <v>0</v>
      </c>
      <c r="Y1621" s="94"/>
      <c r="Z1621" s="94"/>
      <c r="AA1621" s="94">
        <f>STOCK[[#This Row],[Costo total]]*STOCK[[#This Row],[Entradas]]</f>
        <v>12.5</v>
      </c>
      <c r="AB1621" s="94">
        <f>STOCK[[#This Row],[Stock Actual]]*STOCK[[#This Row],[Costo total]]</f>
        <v>12.5</v>
      </c>
      <c r="AC1621" s="94"/>
      <c r="AD1621" s="100"/>
    </row>
    <row r="1622" s="76" customFormat="1" ht="50" hidden="1" customHeight="1" spans="1:30">
      <c r="A1622" s="76" t="s">
        <v>3213</v>
      </c>
      <c r="C1622" s="76" t="s">
        <v>30</v>
      </c>
      <c r="D1622" s="76" t="s">
        <v>741</v>
      </c>
      <c r="E1622" s="76" t="s">
        <v>3214</v>
      </c>
      <c r="F1622" s="76" t="s">
        <v>47</v>
      </c>
      <c r="H1622" s="94">
        <f>STOCK[[#This Row],[Precio Final]]</f>
        <v>25</v>
      </c>
      <c r="I1622" s="98">
        <f>STOCK[[#This Row],[Precio Venta Ideal (x1.5)]]</f>
        <v>18.75</v>
      </c>
      <c r="J1622" s="91">
        <v>1</v>
      </c>
      <c r="K1622" s="96">
        <f>SUMIFS(VENTAS[Cantidad],VENTAS[Código del producto Vendido],STOCK[[#This Row],[Code]])</f>
        <v>0</v>
      </c>
      <c r="L1622" s="96">
        <f>STOCK[[#This Row],[Entradas]]-STOCK[[#This Row],[Salidas]]</f>
        <v>1</v>
      </c>
      <c r="M1622" s="94">
        <f>STOCK[[#This Row],[Precio Final]]*10%</f>
        <v>2.5</v>
      </c>
      <c r="N1622" s="77">
        <v>0</v>
      </c>
      <c r="O1622" s="94">
        <v>0</v>
      </c>
      <c r="P1622" s="76">
        <v>10</v>
      </c>
      <c r="Q1622" s="91">
        <v>0</v>
      </c>
      <c r="R1622" s="76">
        <v>0</v>
      </c>
      <c r="S1622" s="77">
        <v>0</v>
      </c>
      <c r="T1622" s="94">
        <f>STOCK[[#This Row],[Costo Unitario (USD)]]+STOCK[[#This Row],[Costo Envío (USD)]]+STOCK[[#This Row],[Comisión 10%]]</f>
        <v>12.5</v>
      </c>
      <c r="U1622" s="76">
        <f>STOCK[[#This Row],[Costo total]]*1.5</f>
        <v>18.75</v>
      </c>
      <c r="V1622" s="76">
        <v>25</v>
      </c>
      <c r="W1622" s="94">
        <f>STOCK[[#This Row],[Precio Final]]-STOCK[[#This Row],[Costo total]]</f>
        <v>12.5</v>
      </c>
      <c r="X1622" s="94">
        <f>STOCK[[#This Row],[Ganancia Unitaria]]*STOCK[[#This Row],[Salidas]]</f>
        <v>0</v>
      </c>
      <c r="Y1622" s="94"/>
      <c r="Z1622" s="94"/>
      <c r="AA1622" s="94">
        <f>STOCK[[#This Row],[Costo total]]*STOCK[[#This Row],[Entradas]]</f>
        <v>12.5</v>
      </c>
      <c r="AB1622" s="94">
        <f>STOCK[[#This Row],[Stock Actual]]*STOCK[[#This Row],[Costo total]]</f>
        <v>12.5</v>
      </c>
      <c r="AC1622" s="94"/>
      <c r="AD1622" s="100"/>
    </row>
    <row r="1623" s="76" customFormat="1" ht="50" hidden="1" customHeight="1" spans="1:30">
      <c r="A1623" s="76" t="s">
        <v>3215</v>
      </c>
      <c r="C1623" s="76" t="s">
        <v>30</v>
      </c>
      <c r="D1623" s="76" t="s">
        <v>741</v>
      </c>
      <c r="E1623" s="76" t="s">
        <v>3216</v>
      </c>
      <c r="H1623" s="94">
        <f>STOCK[[#This Row],[Precio Final]]</f>
        <v>18</v>
      </c>
      <c r="I1623" s="98">
        <f>STOCK[[#This Row],[Precio Venta Ideal (x1.5)]]</f>
        <v>17.7</v>
      </c>
      <c r="J1623" s="91">
        <v>1</v>
      </c>
      <c r="K1623" s="96">
        <f>SUMIFS(VENTAS[Cantidad],VENTAS[Código del producto Vendido],STOCK[[#This Row],[Code]])</f>
        <v>0</v>
      </c>
      <c r="L1623" s="96">
        <f>STOCK[[#This Row],[Entradas]]-STOCK[[#This Row],[Salidas]]</f>
        <v>1</v>
      </c>
      <c r="M1623" s="94">
        <f>STOCK[[#This Row],[Precio Final]]*10%</f>
        <v>1.8</v>
      </c>
      <c r="N1623" s="76">
        <v>0</v>
      </c>
      <c r="O1623" s="94">
        <v>0</v>
      </c>
      <c r="P1623" s="76">
        <v>10</v>
      </c>
      <c r="Q1623" s="92">
        <v>0</v>
      </c>
      <c r="R1623" s="76">
        <v>0</v>
      </c>
      <c r="S1623" s="77">
        <v>0</v>
      </c>
      <c r="T1623" s="94">
        <f>STOCK[[#This Row],[Costo Unitario (USD)]]+STOCK[[#This Row],[Costo Envío (USD)]]+STOCK[[#This Row],[Comisión 10%]]</f>
        <v>11.8</v>
      </c>
      <c r="U1623" s="76">
        <f>STOCK[[#This Row],[Costo total]]*1.5</f>
        <v>17.7</v>
      </c>
      <c r="V1623" s="76">
        <v>18</v>
      </c>
      <c r="W1623" s="94">
        <f>STOCK[[#This Row],[Precio Final]]-STOCK[[#This Row],[Costo total]]</f>
        <v>6.2</v>
      </c>
      <c r="X1623" s="94">
        <f>STOCK[[#This Row],[Ganancia Unitaria]]*STOCK[[#This Row],[Salidas]]</f>
        <v>0</v>
      </c>
      <c r="Y1623" s="94"/>
      <c r="Z1623" s="94"/>
      <c r="AA1623" s="94">
        <f>STOCK[[#This Row],[Costo total]]*STOCK[[#This Row],[Entradas]]</f>
        <v>11.8</v>
      </c>
      <c r="AB1623" s="94">
        <f>STOCK[[#This Row],[Stock Actual]]*STOCK[[#This Row],[Costo total]]</f>
        <v>11.8</v>
      </c>
      <c r="AC1623" s="94"/>
      <c r="AD1623" s="100"/>
    </row>
    <row r="1624" s="76" customFormat="1" ht="50" hidden="1" customHeight="1" spans="1:30">
      <c r="A1624" s="76" t="s">
        <v>3217</v>
      </c>
      <c r="C1624" s="76" t="s">
        <v>30</v>
      </c>
      <c r="D1624" s="76" t="s">
        <v>741</v>
      </c>
      <c r="E1624" s="76" t="s">
        <v>3216</v>
      </c>
      <c r="H1624" s="94">
        <f>STOCK[[#This Row],[Precio Final]]</f>
        <v>18</v>
      </c>
      <c r="I1624" s="98">
        <f>STOCK[[#This Row],[Precio Venta Ideal (x1.5)]]</f>
        <v>17.7</v>
      </c>
      <c r="J1624" s="91">
        <v>1</v>
      </c>
      <c r="K1624" s="96">
        <f>SUMIFS(VENTAS[Cantidad],VENTAS[Código del producto Vendido],STOCK[[#This Row],[Code]])</f>
        <v>0</v>
      </c>
      <c r="L1624" s="96">
        <f>STOCK[[#This Row],[Entradas]]-STOCK[[#This Row],[Salidas]]</f>
        <v>1</v>
      </c>
      <c r="M1624" s="94">
        <f>STOCK[[#This Row],[Precio Final]]*10%</f>
        <v>1.8</v>
      </c>
      <c r="N1624" s="77">
        <v>0</v>
      </c>
      <c r="O1624" s="94">
        <v>0</v>
      </c>
      <c r="P1624" s="76">
        <v>10</v>
      </c>
      <c r="Q1624" s="91">
        <v>0</v>
      </c>
      <c r="R1624" s="76">
        <v>0</v>
      </c>
      <c r="S1624" s="76">
        <v>0</v>
      </c>
      <c r="T1624" s="94">
        <f>STOCK[[#This Row],[Costo Unitario (USD)]]+STOCK[[#This Row],[Costo Envío (USD)]]+STOCK[[#This Row],[Comisión 10%]]</f>
        <v>11.8</v>
      </c>
      <c r="U1624" s="76">
        <f>STOCK[[#This Row],[Costo total]]*1.5</f>
        <v>17.7</v>
      </c>
      <c r="V1624" s="76">
        <v>18</v>
      </c>
      <c r="W1624" s="94">
        <f>STOCK[[#This Row],[Precio Final]]-STOCK[[#This Row],[Costo total]]</f>
        <v>6.2</v>
      </c>
      <c r="X1624" s="94">
        <f>STOCK[[#This Row],[Ganancia Unitaria]]*STOCK[[#This Row],[Salidas]]</f>
        <v>0</v>
      </c>
      <c r="Y1624" s="94"/>
      <c r="Z1624" s="94"/>
      <c r="AA1624" s="94">
        <f>STOCK[[#This Row],[Costo total]]*STOCK[[#This Row],[Entradas]]</f>
        <v>11.8</v>
      </c>
      <c r="AB1624" s="94">
        <f>STOCK[[#This Row],[Stock Actual]]*STOCK[[#This Row],[Costo total]]</f>
        <v>11.8</v>
      </c>
      <c r="AC1624" s="94"/>
      <c r="AD1624" s="100"/>
    </row>
    <row r="1625" s="76" customFormat="1" ht="50" hidden="1" customHeight="1" spans="1:30">
      <c r="A1625" s="76" t="s">
        <v>3218</v>
      </c>
      <c r="C1625" s="76" t="s">
        <v>30</v>
      </c>
      <c r="D1625" s="76" t="s">
        <v>741</v>
      </c>
      <c r="E1625" s="76" t="s">
        <v>3216</v>
      </c>
      <c r="H1625" s="94">
        <f>STOCK[[#This Row],[Precio Final]]</f>
        <v>18</v>
      </c>
      <c r="I1625" s="98">
        <f>STOCK[[#This Row],[Precio Venta Ideal (x1.5)]]</f>
        <v>17.7</v>
      </c>
      <c r="J1625" s="91">
        <v>1</v>
      </c>
      <c r="K1625" s="96">
        <f>SUMIFS(VENTAS[Cantidad],VENTAS[Código del producto Vendido],STOCK[[#This Row],[Code]])</f>
        <v>0</v>
      </c>
      <c r="L1625" s="96">
        <f>STOCK[[#This Row],[Entradas]]-STOCK[[#This Row],[Salidas]]</f>
        <v>1</v>
      </c>
      <c r="M1625" s="94">
        <f>STOCK[[#This Row],[Precio Final]]*10%</f>
        <v>1.8</v>
      </c>
      <c r="N1625" s="77">
        <v>0</v>
      </c>
      <c r="O1625" s="94">
        <v>0</v>
      </c>
      <c r="P1625" s="76">
        <v>10</v>
      </c>
      <c r="Q1625" s="91">
        <v>0</v>
      </c>
      <c r="R1625" s="76">
        <v>0</v>
      </c>
      <c r="S1625" s="77">
        <v>0</v>
      </c>
      <c r="T1625" s="94">
        <f>STOCK[[#This Row],[Costo Unitario (USD)]]+STOCK[[#This Row],[Costo Envío (USD)]]+STOCK[[#This Row],[Comisión 10%]]</f>
        <v>11.8</v>
      </c>
      <c r="U1625" s="76">
        <f>STOCK[[#This Row],[Costo total]]*1.5</f>
        <v>17.7</v>
      </c>
      <c r="V1625" s="76">
        <v>18</v>
      </c>
      <c r="W1625" s="94">
        <f>STOCK[[#This Row],[Precio Final]]-STOCK[[#This Row],[Costo total]]</f>
        <v>6.2</v>
      </c>
      <c r="X1625" s="94">
        <f>STOCK[[#This Row],[Ganancia Unitaria]]*STOCK[[#This Row],[Salidas]]</f>
        <v>0</v>
      </c>
      <c r="Y1625" s="94"/>
      <c r="Z1625" s="94"/>
      <c r="AA1625" s="94">
        <f>STOCK[[#This Row],[Costo total]]*STOCK[[#This Row],[Entradas]]</f>
        <v>11.8</v>
      </c>
      <c r="AB1625" s="94">
        <f>STOCK[[#This Row],[Stock Actual]]*STOCK[[#This Row],[Costo total]]</f>
        <v>11.8</v>
      </c>
      <c r="AC1625" s="94"/>
      <c r="AD1625" s="100"/>
    </row>
    <row r="1626" s="76" customFormat="1" ht="50" hidden="1" customHeight="1" spans="1:30">
      <c r="A1626" s="76" t="s">
        <v>3219</v>
      </c>
      <c r="C1626" s="76" t="s">
        <v>30</v>
      </c>
      <c r="D1626" s="76" t="s">
        <v>741</v>
      </c>
      <c r="E1626" s="76" t="s">
        <v>3216</v>
      </c>
      <c r="H1626" s="94">
        <f>STOCK[[#This Row],[Precio Final]]</f>
        <v>18</v>
      </c>
      <c r="I1626" s="98">
        <f>STOCK[[#This Row],[Precio Venta Ideal (x1.5)]]</f>
        <v>17.7</v>
      </c>
      <c r="J1626" s="91">
        <v>1</v>
      </c>
      <c r="K1626" s="96">
        <f>SUMIFS(VENTAS[Cantidad],VENTAS[Código del producto Vendido],STOCK[[#This Row],[Code]])</f>
        <v>0</v>
      </c>
      <c r="L1626" s="96">
        <f>STOCK[[#This Row],[Entradas]]-STOCK[[#This Row],[Salidas]]</f>
        <v>1</v>
      </c>
      <c r="M1626" s="94">
        <f>STOCK[[#This Row],[Precio Final]]*10%</f>
        <v>1.8</v>
      </c>
      <c r="N1626" s="76">
        <v>0</v>
      </c>
      <c r="O1626" s="94">
        <v>0</v>
      </c>
      <c r="P1626" s="76">
        <v>10</v>
      </c>
      <c r="Q1626" s="92">
        <v>0</v>
      </c>
      <c r="R1626" s="76">
        <v>0</v>
      </c>
      <c r="S1626" s="77">
        <v>0</v>
      </c>
      <c r="T1626" s="94">
        <f>STOCK[[#This Row],[Costo Unitario (USD)]]+STOCK[[#This Row],[Costo Envío (USD)]]+STOCK[[#This Row],[Comisión 10%]]</f>
        <v>11.8</v>
      </c>
      <c r="U1626" s="76">
        <f>STOCK[[#This Row],[Costo total]]*1.5</f>
        <v>17.7</v>
      </c>
      <c r="V1626" s="76">
        <v>18</v>
      </c>
      <c r="W1626" s="94">
        <f>STOCK[[#This Row],[Precio Final]]-STOCK[[#This Row],[Costo total]]</f>
        <v>6.2</v>
      </c>
      <c r="X1626" s="94">
        <f>STOCK[[#This Row],[Ganancia Unitaria]]*STOCK[[#This Row],[Salidas]]</f>
        <v>0</v>
      </c>
      <c r="Y1626" s="94"/>
      <c r="Z1626" s="94"/>
      <c r="AA1626" s="94">
        <f>STOCK[[#This Row],[Costo total]]*STOCK[[#This Row],[Entradas]]</f>
        <v>11.8</v>
      </c>
      <c r="AB1626" s="94">
        <f>STOCK[[#This Row],[Stock Actual]]*STOCK[[#This Row],[Costo total]]</f>
        <v>11.8</v>
      </c>
      <c r="AC1626" s="94"/>
      <c r="AD1626" s="100"/>
    </row>
    <row r="1627" s="76" customFormat="1" ht="50" hidden="1" customHeight="1" spans="1:30">
      <c r="A1627" s="76" t="s">
        <v>3220</v>
      </c>
      <c r="C1627" s="76" t="s">
        <v>30</v>
      </c>
      <c r="D1627" s="76" t="s">
        <v>741</v>
      </c>
      <c r="E1627" s="76" t="s">
        <v>3216</v>
      </c>
      <c r="H1627" s="94">
        <f>STOCK[[#This Row],[Precio Final]]</f>
        <v>18</v>
      </c>
      <c r="I1627" s="98">
        <f>STOCK[[#This Row],[Precio Venta Ideal (x1.5)]]</f>
        <v>17.7</v>
      </c>
      <c r="J1627" s="91">
        <v>1</v>
      </c>
      <c r="K1627" s="96">
        <f>SUMIFS(VENTAS[Cantidad],VENTAS[Código del producto Vendido],STOCK[[#This Row],[Code]])</f>
        <v>0</v>
      </c>
      <c r="L1627" s="96">
        <f>STOCK[[#This Row],[Entradas]]-STOCK[[#This Row],[Salidas]]</f>
        <v>1</v>
      </c>
      <c r="M1627" s="94">
        <f>STOCK[[#This Row],[Precio Final]]*10%</f>
        <v>1.8</v>
      </c>
      <c r="N1627" s="77">
        <v>0</v>
      </c>
      <c r="O1627" s="94">
        <v>0</v>
      </c>
      <c r="P1627" s="76">
        <v>10</v>
      </c>
      <c r="Q1627" s="91">
        <v>0</v>
      </c>
      <c r="R1627" s="76">
        <v>0</v>
      </c>
      <c r="S1627" s="76">
        <v>0</v>
      </c>
      <c r="T1627" s="94">
        <f>STOCK[[#This Row],[Costo Unitario (USD)]]+STOCK[[#This Row],[Costo Envío (USD)]]+STOCK[[#This Row],[Comisión 10%]]</f>
        <v>11.8</v>
      </c>
      <c r="U1627" s="76">
        <f>STOCK[[#This Row],[Costo total]]*1.5</f>
        <v>17.7</v>
      </c>
      <c r="V1627" s="76">
        <v>18</v>
      </c>
      <c r="W1627" s="94">
        <f>STOCK[[#This Row],[Precio Final]]-STOCK[[#This Row],[Costo total]]</f>
        <v>6.2</v>
      </c>
      <c r="X1627" s="94">
        <f>STOCK[[#This Row],[Ganancia Unitaria]]*STOCK[[#This Row],[Salidas]]</f>
        <v>0</v>
      </c>
      <c r="Y1627" s="94"/>
      <c r="Z1627" s="94"/>
      <c r="AA1627" s="94">
        <f>STOCK[[#This Row],[Costo total]]*STOCK[[#This Row],[Entradas]]</f>
        <v>11.8</v>
      </c>
      <c r="AB1627" s="94">
        <f>STOCK[[#This Row],[Stock Actual]]*STOCK[[#This Row],[Costo total]]</f>
        <v>11.8</v>
      </c>
      <c r="AC1627" s="94"/>
      <c r="AD1627" s="100"/>
    </row>
    <row r="1628" s="76" customFormat="1" ht="50" hidden="1" customHeight="1" spans="1:30">
      <c r="A1628" s="76" t="s">
        <v>3221</v>
      </c>
      <c r="C1628" s="76" t="s">
        <v>30</v>
      </c>
      <c r="D1628" s="76" t="s">
        <v>741</v>
      </c>
      <c r="E1628" s="76" t="s">
        <v>3216</v>
      </c>
      <c r="H1628" s="94">
        <f>STOCK[[#This Row],[Precio Final]]</f>
        <v>18</v>
      </c>
      <c r="I1628" s="98">
        <f>STOCK[[#This Row],[Precio Venta Ideal (x1.5)]]</f>
        <v>17.7</v>
      </c>
      <c r="J1628" s="91">
        <v>1</v>
      </c>
      <c r="K1628" s="96">
        <f>SUMIFS(VENTAS[Cantidad],VENTAS[Código del producto Vendido],STOCK[[#This Row],[Code]])</f>
        <v>0</v>
      </c>
      <c r="L1628" s="96">
        <f>STOCK[[#This Row],[Entradas]]-STOCK[[#This Row],[Salidas]]</f>
        <v>1</v>
      </c>
      <c r="M1628" s="94">
        <f>STOCK[[#This Row],[Precio Final]]*10%</f>
        <v>1.8</v>
      </c>
      <c r="N1628" s="77">
        <v>0</v>
      </c>
      <c r="O1628" s="94">
        <v>0</v>
      </c>
      <c r="P1628" s="76">
        <v>10</v>
      </c>
      <c r="Q1628" s="91">
        <v>0</v>
      </c>
      <c r="R1628" s="76">
        <v>0</v>
      </c>
      <c r="S1628" s="77">
        <v>0</v>
      </c>
      <c r="T1628" s="94">
        <f>STOCK[[#This Row],[Costo Unitario (USD)]]+STOCK[[#This Row],[Costo Envío (USD)]]+STOCK[[#This Row],[Comisión 10%]]</f>
        <v>11.8</v>
      </c>
      <c r="U1628" s="76">
        <f>STOCK[[#This Row],[Costo total]]*1.5</f>
        <v>17.7</v>
      </c>
      <c r="V1628" s="76">
        <v>18</v>
      </c>
      <c r="W1628" s="94">
        <f>STOCK[[#This Row],[Precio Final]]-STOCK[[#This Row],[Costo total]]</f>
        <v>6.2</v>
      </c>
      <c r="X1628" s="94">
        <f>STOCK[[#This Row],[Ganancia Unitaria]]*STOCK[[#This Row],[Salidas]]</f>
        <v>0</v>
      </c>
      <c r="Y1628" s="94"/>
      <c r="Z1628" s="94"/>
      <c r="AA1628" s="94">
        <f>STOCK[[#This Row],[Costo total]]*STOCK[[#This Row],[Entradas]]</f>
        <v>11.8</v>
      </c>
      <c r="AB1628" s="94">
        <f>STOCK[[#This Row],[Stock Actual]]*STOCK[[#This Row],[Costo total]]</f>
        <v>11.8</v>
      </c>
      <c r="AC1628" s="94"/>
      <c r="AD1628" s="100"/>
    </row>
    <row r="1629" s="76" customFormat="1" ht="50" hidden="1" customHeight="1" spans="1:30">
      <c r="A1629" s="76" t="s">
        <v>3222</v>
      </c>
      <c r="C1629" s="76" t="s">
        <v>30</v>
      </c>
      <c r="D1629" s="76" t="s">
        <v>741</v>
      </c>
      <c r="E1629" s="76" t="s">
        <v>3216</v>
      </c>
      <c r="H1629" s="94">
        <f>STOCK[[#This Row],[Precio Final]]</f>
        <v>18</v>
      </c>
      <c r="I1629" s="98">
        <f>STOCK[[#This Row],[Precio Venta Ideal (x1.5)]]</f>
        <v>17.7</v>
      </c>
      <c r="J1629" s="91">
        <v>1</v>
      </c>
      <c r="K1629" s="96">
        <f>SUMIFS(VENTAS[Cantidad],VENTAS[Código del producto Vendido],STOCK[[#This Row],[Code]])</f>
        <v>0</v>
      </c>
      <c r="L1629" s="96">
        <f>STOCK[[#This Row],[Entradas]]-STOCK[[#This Row],[Salidas]]</f>
        <v>1</v>
      </c>
      <c r="M1629" s="94">
        <f>STOCK[[#This Row],[Precio Final]]*10%</f>
        <v>1.8</v>
      </c>
      <c r="N1629" s="76">
        <v>0</v>
      </c>
      <c r="O1629" s="94">
        <v>0</v>
      </c>
      <c r="P1629" s="76">
        <v>10</v>
      </c>
      <c r="Q1629" s="92">
        <v>0</v>
      </c>
      <c r="R1629" s="76">
        <v>0</v>
      </c>
      <c r="S1629" s="77">
        <v>0</v>
      </c>
      <c r="T1629" s="94">
        <f>STOCK[[#This Row],[Costo Unitario (USD)]]+STOCK[[#This Row],[Costo Envío (USD)]]+STOCK[[#This Row],[Comisión 10%]]</f>
        <v>11.8</v>
      </c>
      <c r="U1629" s="76">
        <f>STOCK[[#This Row],[Costo total]]*1.5</f>
        <v>17.7</v>
      </c>
      <c r="V1629" s="76">
        <v>18</v>
      </c>
      <c r="W1629" s="94">
        <f>STOCK[[#This Row],[Precio Final]]-STOCK[[#This Row],[Costo total]]</f>
        <v>6.2</v>
      </c>
      <c r="X1629" s="94">
        <f>STOCK[[#This Row],[Ganancia Unitaria]]*STOCK[[#This Row],[Salidas]]</f>
        <v>0</v>
      </c>
      <c r="Y1629" s="94"/>
      <c r="Z1629" s="94"/>
      <c r="AA1629" s="94">
        <f>STOCK[[#This Row],[Costo total]]*STOCK[[#This Row],[Entradas]]</f>
        <v>11.8</v>
      </c>
      <c r="AB1629" s="94">
        <f>STOCK[[#This Row],[Stock Actual]]*STOCK[[#This Row],[Costo total]]</f>
        <v>11.8</v>
      </c>
      <c r="AC1629" s="94"/>
      <c r="AD1629" s="100"/>
    </row>
    <row r="1630" s="76" customFormat="1" ht="50" hidden="1" customHeight="1" spans="1:30">
      <c r="A1630" s="76" t="s">
        <v>3223</v>
      </c>
      <c r="B1630" s="91" t="str">
        <f>_xlfn.DISPIMG("ID_21BE528AF4714D5CB2946E28AE2B61F6",1)</f>
        <v>=DISPIMG("ID_21BE528AF4714D5CB2946E28AE2B61F6",1)</v>
      </c>
      <c r="C1630" s="76" t="s">
        <v>30</v>
      </c>
      <c r="D1630" s="76" t="s">
        <v>741</v>
      </c>
      <c r="E1630" s="76" t="s">
        <v>3224</v>
      </c>
      <c r="F1630" s="76" t="s">
        <v>3225</v>
      </c>
      <c r="H1630" s="94">
        <f>STOCK[[#This Row],[Precio Final]]</f>
        <v>25</v>
      </c>
      <c r="I1630" s="98">
        <f>STOCK[[#This Row],[Precio Venta Ideal (x1.5)]]</f>
        <v>21.75</v>
      </c>
      <c r="J1630" s="91">
        <v>1</v>
      </c>
      <c r="K1630" s="96">
        <f>SUMIFS(VENTAS[Cantidad],VENTAS[Código del producto Vendido],STOCK[[#This Row],[Code]])</f>
        <v>0</v>
      </c>
      <c r="L1630" s="96">
        <f>STOCK[[#This Row],[Entradas]]-STOCK[[#This Row],[Salidas]]</f>
        <v>1</v>
      </c>
      <c r="M1630" s="94">
        <f>STOCK[[#This Row],[Precio Final]]*10%</f>
        <v>2.5</v>
      </c>
      <c r="N1630" s="77">
        <v>0</v>
      </c>
      <c r="O1630" s="94">
        <v>0</v>
      </c>
      <c r="P1630" s="76">
        <v>12</v>
      </c>
      <c r="Q1630" s="91">
        <v>0</v>
      </c>
      <c r="R1630" s="76">
        <v>0</v>
      </c>
      <c r="S1630" s="76">
        <v>0</v>
      </c>
      <c r="T1630" s="94">
        <f>STOCK[[#This Row],[Costo Unitario (USD)]]+STOCK[[#This Row],[Costo Envío (USD)]]+STOCK[[#This Row],[Comisión 10%]]</f>
        <v>14.5</v>
      </c>
      <c r="U1630" s="76">
        <f>STOCK[[#This Row],[Costo total]]*1.5</f>
        <v>21.75</v>
      </c>
      <c r="V1630" s="76">
        <v>25</v>
      </c>
      <c r="W1630" s="94">
        <f>STOCK[[#This Row],[Precio Final]]-STOCK[[#This Row],[Costo total]]</f>
        <v>10.5</v>
      </c>
      <c r="X1630" s="94">
        <f>STOCK[[#This Row],[Ganancia Unitaria]]*STOCK[[#This Row],[Salidas]]</f>
        <v>0</v>
      </c>
      <c r="Y1630" s="94"/>
      <c r="Z1630" s="94"/>
      <c r="AA1630" s="94">
        <f>STOCK[[#This Row],[Costo total]]*STOCK[[#This Row],[Entradas]]</f>
        <v>14.5</v>
      </c>
      <c r="AB1630" s="94">
        <f>STOCK[[#This Row],[Stock Actual]]*STOCK[[#This Row],[Costo total]]</f>
        <v>14.5</v>
      </c>
      <c r="AC1630" s="94"/>
      <c r="AD1630" s="100"/>
    </row>
    <row r="1631" s="76" customFormat="1" ht="50" hidden="1" customHeight="1" spans="1:30">
      <c r="A1631" s="76" t="s">
        <v>3226</v>
      </c>
      <c r="B1631" s="91" t="str">
        <f>_xlfn.DISPIMG("ID_0A7224B17DBC46D78E3CFBA92FF16148",1)</f>
        <v>=DISPIMG("ID_0A7224B17DBC46D78E3CFBA92FF16148",1)</v>
      </c>
      <c r="C1631" s="76" t="s">
        <v>30</v>
      </c>
      <c r="D1631" s="76" t="s">
        <v>3227</v>
      </c>
      <c r="E1631" s="76" t="s">
        <v>3228</v>
      </c>
      <c r="F1631" s="76" t="s">
        <v>3229</v>
      </c>
      <c r="H1631" s="94">
        <f>STOCK[[#This Row],[Precio Final]]</f>
        <v>30</v>
      </c>
      <c r="I1631" s="98">
        <f>STOCK[[#This Row],[Precio Venta Ideal (x1.5)]]</f>
        <v>22.5</v>
      </c>
      <c r="J1631" s="91">
        <v>1</v>
      </c>
      <c r="K1631" s="96">
        <f>SUMIFS(VENTAS[Cantidad],VENTAS[Código del producto Vendido],STOCK[[#This Row],[Code]])</f>
        <v>0</v>
      </c>
      <c r="L1631" s="96">
        <f>STOCK[[#This Row],[Entradas]]-STOCK[[#This Row],[Salidas]]</f>
        <v>1</v>
      </c>
      <c r="M1631" s="94">
        <f>STOCK[[#This Row],[Precio Final]]*10%</f>
        <v>3</v>
      </c>
      <c r="N1631" s="77">
        <v>0</v>
      </c>
      <c r="O1631" s="94">
        <v>0</v>
      </c>
      <c r="P1631" s="76">
        <v>12</v>
      </c>
      <c r="Q1631" s="91">
        <v>0</v>
      </c>
      <c r="R1631" s="76">
        <v>0</v>
      </c>
      <c r="S1631" s="77">
        <v>0</v>
      </c>
      <c r="T1631" s="94">
        <f>STOCK[[#This Row],[Costo Unitario (USD)]]+STOCK[[#This Row],[Costo Envío (USD)]]+STOCK[[#This Row],[Comisión 10%]]</f>
        <v>15</v>
      </c>
      <c r="U1631" s="76">
        <f>STOCK[[#This Row],[Costo total]]*1.5</f>
        <v>22.5</v>
      </c>
      <c r="V1631" s="76">
        <v>30</v>
      </c>
      <c r="W1631" s="94">
        <f>STOCK[[#This Row],[Precio Final]]-STOCK[[#This Row],[Costo total]]</f>
        <v>15</v>
      </c>
      <c r="X1631" s="94">
        <f>STOCK[[#This Row],[Ganancia Unitaria]]*STOCK[[#This Row],[Salidas]]</f>
        <v>0</v>
      </c>
      <c r="Y1631" s="94"/>
      <c r="Z1631" s="94"/>
      <c r="AA1631" s="94">
        <f>STOCK[[#This Row],[Costo total]]*STOCK[[#This Row],[Entradas]]</f>
        <v>15</v>
      </c>
      <c r="AB1631" s="94">
        <f>STOCK[[#This Row],[Stock Actual]]*STOCK[[#This Row],[Costo total]]</f>
        <v>15</v>
      </c>
      <c r="AC1631" s="94"/>
      <c r="AD1631" s="100"/>
    </row>
    <row r="1632" s="76" customFormat="1" ht="50" hidden="1" customHeight="1" spans="1:30">
      <c r="A1632" s="76" t="s">
        <v>3230</v>
      </c>
      <c r="B1632" s="91" t="str">
        <f>_xlfn.DISPIMG("ID_10BC08E7CE7C4BF4BAFC2397BD828897",1)</f>
        <v>=DISPIMG("ID_10BC08E7CE7C4BF4BAFC2397BD828897",1)</v>
      </c>
      <c r="C1632" s="76" t="s">
        <v>30</v>
      </c>
      <c r="D1632" s="76" t="s">
        <v>741</v>
      </c>
      <c r="E1632" s="76" t="s">
        <v>3231</v>
      </c>
      <c r="F1632" s="76" t="s">
        <v>3232</v>
      </c>
      <c r="H1632" s="94">
        <f>STOCK[[#This Row],[Precio Final]]</f>
        <v>25</v>
      </c>
      <c r="I1632" s="98">
        <f>STOCK[[#This Row],[Precio Venta Ideal (x1.5)]]</f>
        <v>21.75</v>
      </c>
      <c r="J1632" s="91">
        <v>1</v>
      </c>
      <c r="K1632" s="96">
        <f>SUMIFS(VENTAS[Cantidad],VENTAS[Código del producto Vendido],STOCK[[#This Row],[Code]])</f>
        <v>0</v>
      </c>
      <c r="L1632" s="96">
        <f>STOCK[[#This Row],[Entradas]]-STOCK[[#This Row],[Salidas]]</f>
        <v>1</v>
      </c>
      <c r="M1632" s="94">
        <f>STOCK[[#This Row],[Precio Final]]*10%</f>
        <v>2.5</v>
      </c>
      <c r="N1632" s="76">
        <v>0</v>
      </c>
      <c r="O1632" s="94">
        <v>0</v>
      </c>
      <c r="P1632" s="76">
        <v>12</v>
      </c>
      <c r="Q1632" s="92">
        <v>0</v>
      </c>
      <c r="R1632" s="76">
        <v>0</v>
      </c>
      <c r="S1632" s="77">
        <v>0</v>
      </c>
      <c r="T1632" s="94">
        <f>STOCK[[#This Row],[Costo Unitario (USD)]]+STOCK[[#This Row],[Costo Envío (USD)]]+STOCK[[#This Row],[Comisión 10%]]</f>
        <v>14.5</v>
      </c>
      <c r="U1632" s="76">
        <f>STOCK[[#This Row],[Costo total]]*1.5</f>
        <v>21.75</v>
      </c>
      <c r="V1632" s="76">
        <v>25</v>
      </c>
      <c r="W1632" s="94">
        <f>STOCK[[#This Row],[Precio Final]]-STOCK[[#This Row],[Costo total]]</f>
        <v>10.5</v>
      </c>
      <c r="X1632" s="94">
        <f>STOCK[[#This Row],[Ganancia Unitaria]]*STOCK[[#This Row],[Salidas]]</f>
        <v>0</v>
      </c>
      <c r="Y1632" s="94"/>
      <c r="Z1632" s="94"/>
      <c r="AA1632" s="94">
        <f>STOCK[[#This Row],[Costo total]]*STOCK[[#This Row],[Entradas]]</f>
        <v>14.5</v>
      </c>
      <c r="AB1632" s="94">
        <f>STOCK[[#This Row],[Stock Actual]]*STOCK[[#This Row],[Costo total]]</f>
        <v>14.5</v>
      </c>
      <c r="AC1632" s="94"/>
      <c r="AD1632" s="100"/>
    </row>
    <row r="1633" s="76" customFormat="1" ht="50" hidden="1" customHeight="1" spans="1:30">
      <c r="A1633" s="76" t="s">
        <v>3233</v>
      </c>
      <c r="B1633" s="91" t="str">
        <f>_xlfn.DISPIMG("ID_10D057D68DAE4E4B8C0E6236A387883F",1)</f>
        <v>=DISPIMG("ID_10D057D68DAE4E4B8C0E6236A387883F",1)</v>
      </c>
      <c r="C1633" s="76" t="s">
        <v>30</v>
      </c>
      <c r="D1633" s="76" t="s">
        <v>741</v>
      </c>
      <c r="E1633" s="76" t="s">
        <v>3234</v>
      </c>
      <c r="F1633" s="76" t="s">
        <v>2106</v>
      </c>
      <c r="H1633" s="94">
        <f>STOCK[[#This Row],[Precio Final]]</f>
        <v>35</v>
      </c>
      <c r="I1633" s="98">
        <f>STOCK[[#This Row],[Precio Venta Ideal (x1.5)]]</f>
        <v>23.25</v>
      </c>
      <c r="J1633" s="91">
        <v>1</v>
      </c>
      <c r="K1633" s="96">
        <f>SUMIFS(VENTAS[Cantidad],VENTAS[Código del producto Vendido],STOCK[[#This Row],[Code]])</f>
        <v>0</v>
      </c>
      <c r="L1633" s="96">
        <f>STOCK[[#This Row],[Entradas]]-STOCK[[#This Row],[Salidas]]</f>
        <v>1</v>
      </c>
      <c r="M1633" s="94">
        <f>STOCK[[#This Row],[Precio Final]]*10%</f>
        <v>3.5</v>
      </c>
      <c r="N1633" s="77">
        <v>0</v>
      </c>
      <c r="O1633" s="94">
        <v>0</v>
      </c>
      <c r="P1633" s="76">
        <v>12</v>
      </c>
      <c r="Q1633" s="91">
        <v>0</v>
      </c>
      <c r="R1633" s="76">
        <v>0</v>
      </c>
      <c r="S1633" s="76">
        <v>0</v>
      </c>
      <c r="T1633" s="94">
        <f>STOCK[[#This Row],[Costo Unitario (USD)]]+STOCK[[#This Row],[Costo Envío (USD)]]+STOCK[[#This Row],[Comisión 10%]]</f>
        <v>15.5</v>
      </c>
      <c r="U1633" s="76">
        <f>STOCK[[#This Row],[Costo total]]*1.5</f>
        <v>23.25</v>
      </c>
      <c r="V1633" s="76">
        <v>35</v>
      </c>
      <c r="W1633" s="94">
        <f>STOCK[[#This Row],[Precio Final]]-STOCK[[#This Row],[Costo total]]</f>
        <v>19.5</v>
      </c>
      <c r="X1633" s="94">
        <f>STOCK[[#This Row],[Ganancia Unitaria]]*STOCK[[#This Row],[Salidas]]</f>
        <v>0</v>
      </c>
      <c r="Y1633" s="94"/>
      <c r="Z1633" s="94"/>
      <c r="AA1633" s="94">
        <f>STOCK[[#This Row],[Costo total]]*STOCK[[#This Row],[Entradas]]</f>
        <v>15.5</v>
      </c>
      <c r="AB1633" s="94">
        <f>STOCK[[#This Row],[Stock Actual]]*STOCK[[#This Row],[Costo total]]</f>
        <v>15.5</v>
      </c>
      <c r="AC1633" s="94"/>
      <c r="AD1633" s="100"/>
    </row>
    <row r="1634" s="76" customFormat="1" ht="50" hidden="1" customHeight="1" spans="1:30">
      <c r="A1634" s="76" t="s">
        <v>3235</v>
      </c>
      <c r="B1634" s="76" t="s">
        <v>3236</v>
      </c>
      <c r="C1634" s="76" t="s">
        <v>30</v>
      </c>
      <c r="D1634" s="76" t="s">
        <v>741</v>
      </c>
      <c r="E1634" s="76" t="s">
        <v>3237</v>
      </c>
      <c r="F1634" s="76" t="s">
        <v>47</v>
      </c>
      <c r="H1634" s="94">
        <f>STOCK[[#This Row],[Precio Final]]</f>
        <v>25</v>
      </c>
      <c r="I1634" s="98">
        <f>STOCK[[#This Row],[Precio Venta Ideal (x1.5)]]</f>
        <v>21.75</v>
      </c>
      <c r="J1634" s="91">
        <v>1</v>
      </c>
      <c r="K1634" s="96">
        <f>SUMIFS(VENTAS[Cantidad],VENTAS[Código del producto Vendido],STOCK[[#This Row],[Code]])</f>
        <v>1</v>
      </c>
      <c r="L1634" s="96">
        <f>STOCK[[#This Row],[Entradas]]-STOCK[[#This Row],[Salidas]]</f>
        <v>0</v>
      </c>
      <c r="M1634" s="94">
        <f>STOCK[[#This Row],[Precio Final]]*10%</f>
        <v>2.5</v>
      </c>
      <c r="N1634" s="77">
        <v>0</v>
      </c>
      <c r="O1634" s="94">
        <v>0</v>
      </c>
      <c r="P1634" s="76">
        <v>12</v>
      </c>
      <c r="Q1634" s="91">
        <v>0</v>
      </c>
      <c r="R1634" s="76">
        <v>0</v>
      </c>
      <c r="S1634" s="77">
        <v>0</v>
      </c>
      <c r="T1634" s="94">
        <f>STOCK[[#This Row],[Costo Unitario (USD)]]+STOCK[[#This Row],[Costo Envío (USD)]]+STOCK[[#This Row],[Comisión 10%]]</f>
        <v>14.5</v>
      </c>
      <c r="U1634" s="76">
        <f>STOCK[[#This Row],[Costo total]]*1.5</f>
        <v>21.75</v>
      </c>
      <c r="V1634" s="76">
        <v>25</v>
      </c>
      <c r="W1634" s="94">
        <f>STOCK[[#This Row],[Precio Final]]-STOCK[[#This Row],[Costo total]]</f>
        <v>10.5</v>
      </c>
      <c r="X1634" s="94">
        <f>STOCK[[#This Row],[Ganancia Unitaria]]*STOCK[[#This Row],[Salidas]]</f>
        <v>10.5</v>
      </c>
      <c r="Y1634" s="94"/>
      <c r="Z1634" s="94"/>
      <c r="AA1634" s="94">
        <f>STOCK[[#This Row],[Costo total]]*STOCK[[#This Row],[Entradas]]</f>
        <v>14.5</v>
      </c>
      <c r="AB1634" s="94">
        <f>STOCK[[#This Row],[Stock Actual]]*STOCK[[#This Row],[Costo total]]</f>
        <v>0</v>
      </c>
      <c r="AC1634" s="94"/>
      <c r="AD1634" s="100"/>
    </row>
    <row r="1635" s="76" customFormat="1" ht="50" hidden="1" customHeight="1" spans="1:30">
      <c r="A1635" s="76" t="s">
        <v>3238</v>
      </c>
      <c r="C1635" s="76" t="s">
        <v>30</v>
      </c>
      <c r="D1635" s="76" t="s">
        <v>741</v>
      </c>
      <c r="E1635" s="76" t="s">
        <v>3239</v>
      </c>
      <c r="F1635" s="76" t="s">
        <v>47</v>
      </c>
      <c r="H1635" s="94">
        <f>STOCK[[#This Row],[Precio Final]]</f>
        <v>0</v>
      </c>
      <c r="I1635" s="98">
        <f>STOCK[[#This Row],[Precio Venta Ideal (x1.5)]]</f>
        <v>18</v>
      </c>
      <c r="J1635" s="91">
        <v>1</v>
      </c>
      <c r="K1635" s="96">
        <f>SUMIFS(VENTAS[Cantidad],VENTAS[Código del producto Vendido],STOCK[[#This Row],[Code]])</f>
        <v>0</v>
      </c>
      <c r="L1635" s="96">
        <f>STOCK[[#This Row],[Entradas]]-STOCK[[#This Row],[Salidas]]</f>
        <v>1</v>
      </c>
      <c r="M1635" s="94">
        <f>STOCK[[#This Row],[Precio Final]]*10%</f>
        <v>0</v>
      </c>
      <c r="N1635" s="76">
        <v>0</v>
      </c>
      <c r="O1635" s="94">
        <v>0</v>
      </c>
      <c r="P1635" s="76">
        <v>12</v>
      </c>
      <c r="Q1635" s="92">
        <v>0</v>
      </c>
      <c r="R1635" s="76">
        <v>0</v>
      </c>
      <c r="S1635" s="77">
        <v>0</v>
      </c>
      <c r="T1635" s="94">
        <f>STOCK[[#This Row],[Costo Unitario (USD)]]+STOCK[[#This Row],[Costo Envío (USD)]]+STOCK[[#This Row],[Comisión 10%]]</f>
        <v>12</v>
      </c>
      <c r="U1635" s="76">
        <f>STOCK[[#This Row],[Costo total]]*1.5</f>
        <v>18</v>
      </c>
      <c r="W1635" s="94">
        <f>STOCK[[#This Row],[Precio Final]]-STOCK[[#This Row],[Costo total]]</f>
        <v>-12</v>
      </c>
      <c r="X1635" s="94">
        <f>STOCK[[#This Row],[Ganancia Unitaria]]*STOCK[[#This Row],[Salidas]]</f>
        <v>0</v>
      </c>
      <c r="Y1635" s="94"/>
      <c r="Z1635" s="94"/>
      <c r="AA1635" s="94">
        <f>STOCK[[#This Row],[Costo total]]*STOCK[[#This Row],[Entradas]]</f>
        <v>12</v>
      </c>
      <c r="AB1635" s="94">
        <f>STOCK[[#This Row],[Stock Actual]]*STOCK[[#This Row],[Costo total]]</f>
        <v>12</v>
      </c>
      <c r="AC1635" s="94"/>
      <c r="AD1635" s="100"/>
    </row>
    <row r="1636" s="76" customFormat="1" ht="50" hidden="1" customHeight="1" spans="1:30">
      <c r="A1636" s="76" t="s">
        <v>3240</v>
      </c>
      <c r="B1636" s="76" t="s">
        <v>3241</v>
      </c>
      <c r="C1636" s="76" t="s">
        <v>30</v>
      </c>
      <c r="D1636" s="76" t="s">
        <v>741</v>
      </c>
      <c r="E1636" s="76" t="s">
        <v>3242</v>
      </c>
      <c r="H1636" s="94">
        <f>STOCK[[#This Row],[Precio Final]]</f>
        <v>0</v>
      </c>
      <c r="I1636" s="98">
        <f>STOCK[[#This Row],[Precio Venta Ideal (x1.5)]]</f>
        <v>12</v>
      </c>
      <c r="J1636" s="91">
        <v>2</v>
      </c>
      <c r="K1636" s="96">
        <f>SUMIFS(VENTAS[Cantidad],VENTAS[Código del producto Vendido],STOCK[[#This Row],[Code]])</f>
        <v>2</v>
      </c>
      <c r="L1636" s="96">
        <f>STOCK[[#This Row],[Entradas]]-STOCK[[#This Row],[Salidas]]</f>
        <v>0</v>
      </c>
      <c r="M1636" s="94">
        <f>STOCK[[#This Row],[Precio Final]]*10%</f>
        <v>0</v>
      </c>
      <c r="N1636" s="77">
        <v>0</v>
      </c>
      <c r="O1636" s="94">
        <v>0</v>
      </c>
      <c r="P1636" s="76">
        <v>8</v>
      </c>
      <c r="Q1636" s="91">
        <v>0</v>
      </c>
      <c r="R1636" s="76">
        <v>0</v>
      </c>
      <c r="S1636" s="76">
        <v>0</v>
      </c>
      <c r="T1636" s="94">
        <f>STOCK[[#This Row],[Costo Unitario (USD)]]+STOCK[[#This Row],[Costo Envío (USD)]]+STOCK[[#This Row],[Comisión 10%]]</f>
        <v>8</v>
      </c>
      <c r="U1636" s="76">
        <f>STOCK[[#This Row],[Costo total]]*1.5</f>
        <v>12</v>
      </c>
      <c r="W1636" s="94">
        <f>STOCK[[#This Row],[Precio Final]]-STOCK[[#This Row],[Costo total]]</f>
        <v>-8</v>
      </c>
      <c r="X1636" s="94">
        <f>STOCK[[#This Row],[Ganancia Unitaria]]*STOCK[[#This Row],[Salidas]]</f>
        <v>-16</v>
      </c>
      <c r="Y1636" s="94"/>
      <c r="Z1636" s="94"/>
      <c r="AA1636" s="94">
        <f>STOCK[[#This Row],[Costo total]]*STOCK[[#This Row],[Entradas]]</f>
        <v>16</v>
      </c>
      <c r="AB1636" s="94">
        <f>STOCK[[#This Row],[Stock Actual]]*STOCK[[#This Row],[Costo total]]</f>
        <v>0</v>
      </c>
      <c r="AC1636" s="94"/>
      <c r="AD1636" s="100"/>
    </row>
    <row r="1637" s="76" customFormat="1" ht="50" customHeight="1" spans="1:30">
      <c r="A1637" s="76" t="s">
        <v>3243</v>
      </c>
      <c r="B1637" s="91" t="str">
        <f>_xlfn.DISPIMG("ID_2D0D706DB7AE40C6B6E6EC219AB5C027",1)</f>
        <v>=DISPIMG("ID_2D0D706DB7AE40C6B6E6EC219AB5C027",1)</v>
      </c>
      <c r="C1637" s="76" t="s">
        <v>30</v>
      </c>
      <c r="D1637" s="76" t="s">
        <v>3244</v>
      </c>
      <c r="E1637" s="76" t="s">
        <v>3245</v>
      </c>
      <c r="F1637" s="76" t="s">
        <v>2106</v>
      </c>
      <c r="H1637" s="94">
        <f>STOCK[[#This Row],[Precio Final]]</f>
        <v>35</v>
      </c>
      <c r="I1637" s="98">
        <f>STOCK[[#This Row],[Precio Venta Ideal (x1.5)]]</f>
        <v>23.25</v>
      </c>
      <c r="J1637" s="91">
        <v>1</v>
      </c>
      <c r="K1637" s="96">
        <f>SUMIFS(VENTAS[Cantidad],VENTAS[Código del producto Vendido],STOCK[[#This Row],[Code]])</f>
        <v>1</v>
      </c>
      <c r="L1637" s="96">
        <f>STOCK[[#This Row],[Entradas]]-STOCK[[#This Row],[Salidas]]</f>
        <v>0</v>
      </c>
      <c r="M1637" s="94">
        <f>STOCK[[#This Row],[Precio Final]]*10%</f>
        <v>3.5</v>
      </c>
      <c r="N1637" s="77">
        <v>0</v>
      </c>
      <c r="O1637" s="94">
        <v>0</v>
      </c>
      <c r="P1637" s="76">
        <v>12</v>
      </c>
      <c r="Q1637" s="91">
        <v>0</v>
      </c>
      <c r="R1637" s="76">
        <v>0</v>
      </c>
      <c r="S1637" s="77">
        <v>0</v>
      </c>
      <c r="T1637" s="94">
        <f>STOCK[[#This Row],[Costo Unitario (USD)]]+STOCK[[#This Row],[Costo Envío (USD)]]+STOCK[[#This Row],[Comisión 10%]]</f>
        <v>15.5</v>
      </c>
      <c r="U1637" s="76">
        <f>STOCK[[#This Row],[Costo total]]*1.5</f>
        <v>23.25</v>
      </c>
      <c r="V1637" s="76">
        <v>35</v>
      </c>
      <c r="W1637" s="94">
        <f>STOCK[[#This Row],[Precio Final]]-STOCK[[#This Row],[Costo total]]</f>
        <v>19.5</v>
      </c>
      <c r="X1637" s="94">
        <f>STOCK[[#This Row],[Ganancia Unitaria]]*STOCK[[#This Row],[Salidas]]</f>
        <v>19.5</v>
      </c>
      <c r="Y1637" s="94"/>
      <c r="Z1637" s="94"/>
      <c r="AA1637" s="94">
        <f>STOCK[[#This Row],[Costo total]]*STOCK[[#This Row],[Entradas]]</f>
        <v>15.5</v>
      </c>
      <c r="AB1637" s="94">
        <f>STOCK[[#This Row],[Stock Actual]]*STOCK[[#This Row],[Costo total]]</f>
        <v>0</v>
      </c>
      <c r="AC1637" s="94"/>
      <c r="AD1637" s="100"/>
    </row>
    <row r="1638" s="76" customFormat="1" ht="50" customHeight="1" spans="1:30">
      <c r="A1638" s="76" t="s">
        <v>3246</v>
      </c>
      <c r="B1638" s="91" t="str">
        <f>_xlfn.DISPIMG("ID_27B5E98B571C49E7944C572ACCBD5B70",1)</f>
        <v>=DISPIMG("ID_27B5E98B571C49E7944C572ACCBD5B70",1)</v>
      </c>
      <c r="C1638" s="76" t="s">
        <v>30</v>
      </c>
      <c r="D1638" s="76" t="s">
        <v>3244</v>
      </c>
      <c r="E1638" s="76" t="s">
        <v>3247</v>
      </c>
      <c r="F1638" s="76" t="s">
        <v>3052</v>
      </c>
      <c r="H1638" s="94">
        <f>STOCK[[#This Row],[Precio Final]]</f>
        <v>30</v>
      </c>
      <c r="I1638" s="98">
        <f>STOCK[[#This Row],[Precio Venta Ideal (x1.5)]]</f>
        <v>22.5</v>
      </c>
      <c r="J1638" s="91">
        <v>1</v>
      </c>
      <c r="K1638" s="96">
        <f>SUMIFS(VENTAS[Cantidad],VENTAS[Código del producto Vendido],STOCK[[#This Row],[Code]])</f>
        <v>0</v>
      </c>
      <c r="L1638" s="96">
        <f>STOCK[[#This Row],[Entradas]]-STOCK[[#This Row],[Salidas]]</f>
        <v>1</v>
      </c>
      <c r="M1638" s="94">
        <f>STOCK[[#This Row],[Precio Final]]*10%</f>
        <v>3</v>
      </c>
      <c r="N1638" s="76">
        <v>0</v>
      </c>
      <c r="O1638" s="94">
        <v>0</v>
      </c>
      <c r="P1638" s="76">
        <v>12</v>
      </c>
      <c r="Q1638" s="92">
        <v>0</v>
      </c>
      <c r="R1638" s="76">
        <v>0</v>
      </c>
      <c r="S1638" s="77">
        <v>0</v>
      </c>
      <c r="T1638" s="94">
        <f>STOCK[[#This Row],[Costo Unitario (USD)]]+STOCK[[#This Row],[Costo Envío (USD)]]+STOCK[[#This Row],[Comisión 10%]]</f>
        <v>15</v>
      </c>
      <c r="U1638" s="76">
        <f>STOCK[[#This Row],[Costo total]]*1.5</f>
        <v>22.5</v>
      </c>
      <c r="V1638" s="76">
        <v>30</v>
      </c>
      <c r="W1638" s="94">
        <f>STOCK[[#This Row],[Precio Final]]-STOCK[[#This Row],[Costo total]]</f>
        <v>15</v>
      </c>
      <c r="X1638" s="94">
        <f>STOCK[[#This Row],[Ganancia Unitaria]]*STOCK[[#This Row],[Salidas]]</f>
        <v>0</v>
      </c>
      <c r="Y1638" s="94"/>
      <c r="Z1638" s="94"/>
      <c r="AA1638" s="94">
        <f>STOCK[[#This Row],[Costo total]]*STOCK[[#This Row],[Entradas]]</f>
        <v>15</v>
      </c>
      <c r="AB1638" s="94">
        <f>STOCK[[#This Row],[Stock Actual]]*STOCK[[#This Row],[Costo total]]</f>
        <v>15</v>
      </c>
      <c r="AC1638" s="94"/>
      <c r="AD1638" s="100"/>
    </row>
    <row r="1639" s="76" customFormat="1" ht="50" customHeight="1" spans="1:30">
      <c r="A1639" s="76" t="s">
        <v>3248</v>
      </c>
      <c r="B1639" s="91" t="str">
        <f>_xlfn.DISPIMG("ID_E78F5D080EDD475DAA7CB176C965852E",1)</f>
        <v>=DISPIMG("ID_E78F5D080EDD475DAA7CB176C965852E",1)</v>
      </c>
      <c r="C1639" s="76" t="s">
        <v>30</v>
      </c>
      <c r="D1639" s="76" t="s">
        <v>3244</v>
      </c>
      <c r="E1639" s="76" t="s">
        <v>3249</v>
      </c>
      <c r="F1639" s="76" t="s">
        <v>1532</v>
      </c>
      <c r="H1639" s="94">
        <f>STOCK[[#This Row],[Precio Final]]</f>
        <v>35</v>
      </c>
      <c r="I1639" s="98">
        <f>STOCK[[#This Row],[Precio Venta Ideal (x1.5)]]</f>
        <v>23.25</v>
      </c>
      <c r="J1639" s="91">
        <v>1</v>
      </c>
      <c r="K1639" s="96">
        <f>SUMIFS(VENTAS[Cantidad],VENTAS[Código del producto Vendido],STOCK[[#This Row],[Code]])</f>
        <v>0</v>
      </c>
      <c r="L1639" s="96">
        <f>STOCK[[#This Row],[Entradas]]-STOCK[[#This Row],[Salidas]]</f>
        <v>1</v>
      </c>
      <c r="M1639" s="94">
        <f>STOCK[[#This Row],[Precio Final]]*10%</f>
        <v>3.5</v>
      </c>
      <c r="N1639" s="77">
        <v>0</v>
      </c>
      <c r="O1639" s="94">
        <v>0</v>
      </c>
      <c r="P1639" s="76">
        <v>12</v>
      </c>
      <c r="Q1639" s="91">
        <v>0</v>
      </c>
      <c r="R1639" s="76">
        <v>0</v>
      </c>
      <c r="S1639" s="76">
        <v>0</v>
      </c>
      <c r="T1639" s="94">
        <f>STOCK[[#This Row],[Costo Unitario (USD)]]+STOCK[[#This Row],[Costo Envío (USD)]]+STOCK[[#This Row],[Comisión 10%]]</f>
        <v>15.5</v>
      </c>
      <c r="U1639" s="76">
        <f>STOCK[[#This Row],[Costo total]]*1.5</f>
        <v>23.25</v>
      </c>
      <c r="V1639" s="76">
        <v>35</v>
      </c>
      <c r="W1639" s="94">
        <f>STOCK[[#This Row],[Precio Final]]-STOCK[[#This Row],[Costo total]]</f>
        <v>19.5</v>
      </c>
      <c r="X1639" s="94">
        <f>STOCK[[#This Row],[Ganancia Unitaria]]*STOCK[[#This Row],[Salidas]]</f>
        <v>0</v>
      </c>
      <c r="Y1639" s="94"/>
      <c r="Z1639" s="94"/>
      <c r="AA1639" s="94">
        <f>STOCK[[#This Row],[Costo total]]*STOCK[[#This Row],[Entradas]]</f>
        <v>15.5</v>
      </c>
      <c r="AB1639" s="94">
        <f>STOCK[[#This Row],[Stock Actual]]*STOCK[[#This Row],[Costo total]]</f>
        <v>15.5</v>
      </c>
      <c r="AC1639" s="94"/>
      <c r="AD1639" s="100"/>
    </row>
    <row r="1640" s="76" customFormat="1" ht="50" customHeight="1" spans="1:30">
      <c r="A1640" s="76" t="s">
        <v>3250</v>
      </c>
      <c r="B1640" s="91" t="str">
        <f>_xlfn.DISPIMG("ID_F0D76E3F1A9C42489C4E2DA0176D3388",1)</f>
        <v>=DISPIMG("ID_F0D76E3F1A9C42489C4E2DA0176D3388",1)</v>
      </c>
      <c r="C1640" s="76" t="s">
        <v>30</v>
      </c>
      <c r="D1640" s="76" t="s">
        <v>3244</v>
      </c>
      <c r="E1640" s="76" t="s">
        <v>3251</v>
      </c>
      <c r="F1640" s="76" t="s">
        <v>3052</v>
      </c>
      <c r="H1640" s="94">
        <f>STOCK[[#This Row],[Precio Final]]</f>
        <v>30</v>
      </c>
      <c r="I1640" s="98">
        <f>STOCK[[#This Row],[Precio Venta Ideal (x1.5)]]</f>
        <v>22.5</v>
      </c>
      <c r="J1640" s="91">
        <v>1</v>
      </c>
      <c r="K1640" s="96">
        <f>SUMIFS(VENTAS[Cantidad],VENTAS[Código del producto Vendido],STOCK[[#This Row],[Code]])</f>
        <v>0</v>
      </c>
      <c r="L1640" s="96">
        <f>STOCK[[#This Row],[Entradas]]-STOCK[[#This Row],[Salidas]]</f>
        <v>1</v>
      </c>
      <c r="M1640" s="94">
        <f>STOCK[[#This Row],[Precio Final]]*10%</f>
        <v>3</v>
      </c>
      <c r="N1640" s="77">
        <v>0</v>
      </c>
      <c r="O1640" s="94">
        <v>0</v>
      </c>
      <c r="P1640" s="76">
        <v>12</v>
      </c>
      <c r="Q1640" s="91">
        <v>0</v>
      </c>
      <c r="R1640" s="76">
        <v>0</v>
      </c>
      <c r="S1640" s="77">
        <v>0</v>
      </c>
      <c r="T1640" s="94">
        <f>STOCK[[#This Row],[Costo Unitario (USD)]]+STOCK[[#This Row],[Costo Envío (USD)]]+STOCK[[#This Row],[Comisión 10%]]</f>
        <v>15</v>
      </c>
      <c r="U1640" s="76">
        <f>STOCK[[#This Row],[Costo total]]*1.5</f>
        <v>22.5</v>
      </c>
      <c r="V1640" s="76">
        <v>30</v>
      </c>
      <c r="W1640" s="94">
        <f>STOCK[[#This Row],[Precio Final]]-STOCK[[#This Row],[Costo total]]</f>
        <v>15</v>
      </c>
      <c r="X1640" s="94">
        <f>STOCK[[#This Row],[Ganancia Unitaria]]*STOCK[[#This Row],[Salidas]]</f>
        <v>0</v>
      </c>
      <c r="Y1640" s="94"/>
      <c r="Z1640" s="94"/>
      <c r="AA1640" s="94">
        <f>STOCK[[#This Row],[Costo total]]*STOCK[[#This Row],[Entradas]]</f>
        <v>15</v>
      </c>
      <c r="AB1640" s="94">
        <f>STOCK[[#This Row],[Stock Actual]]*STOCK[[#This Row],[Costo total]]</f>
        <v>15</v>
      </c>
      <c r="AC1640" s="94"/>
      <c r="AD1640" s="100"/>
    </row>
    <row r="1641" s="76" customFormat="1" ht="50" customHeight="1" spans="1:30">
      <c r="A1641" s="76" t="s">
        <v>3252</v>
      </c>
      <c r="B1641" s="91" t="str">
        <f>_xlfn.DISPIMG("ID_252A756DF14448CB950ADF167E6B2F36",1)</f>
        <v>=DISPIMG("ID_252A756DF14448CB950ADF167E6B2F36",1)</v>
      </c>
      <c r="C1641" s="76" t="s">
        <v>30</v>
      </c>
      <c r="D1641" s="76" t="s">
        <v>3244</v>
      </c>
      <c r="E1641" s="76" t="s">
        <v>3253</v>
      </c>
      <c r="F1641" s="76" t="s">
        <v>1532</v>
      </c>
      <c r="H1641" s="94">
        <f>STOCK[[#This Row],[Precio Final]]</f>
        <v>30</v>
      </c>
      <c r="I1641" s="98">
        <f>STOCK[[#This Row],[Precio Venta Ideal (x1.5)]]</f>
        <v>22.5</v>
      </c>
      <c r="J1641" s="91">
        <v>1</v>
      </c>
      <c r="K1641" s="96">
        <f>SUMIFS(VENTAS[Cantidad],VENTAS[Código del producto Vendido],STOCK[[#This Row],[Code]])</f>
        <v>0</v>
      </c>
      <c r="L1641" s="96">
        <f>STOCK[[#This Row],[Entradas]]-STOCK[[#This Row],[Salidas]]</f>
        <v>1</v>
      </c>
      <c r="M1641" s="94">
        <f>STOCK[[#This Row],[Precio Final]]*10%</f>
        <v>3</v>
      </c>
      <c r="N1641" s="76">
        <v>0</v>
      </c>
      <c r="O1641" s="94">
        <v>0</v>
      </c>
      <c r="P1641" s="76">
        <v>12</v>
      </c>
      <c r="Q1641" s="92">
        <v>0</v>
      </c>
      <c r="R1641" s="76">
        <v>0</v>
      </c>
      <c r="S1641" s="77">
        <v>0</v>
      </c>
      <c r="T1641" s="94">
        <f>STOCK[[#This Row],[Costo Unitario (USD)]]+STOCK[[#This Row],[Costo Envío (USD)]]+STOCK[[#This Row],[Comisión 10%]]</f>
        <v>15</v>
      </c>
      <c r="U1641" s="76">
        <f>STOCK[[#This Row],[Costo total]]*1.5</f>
        <v>22.5</v>
      </c>
      <c r="V1641" s="76">
        <v>30</v>
      </c>
      <c r="W1641" s="94">
        <f>STOCK[[#This Row],[Precio Final]]-STOCK[[#This Row],[Costo total]]</f>
        <v>15</v>
      </c>
      <c r="X1641" s="94">
        <f>STOCK[[#This Row],[Ganancia Unitaria]]*STOCK[[#This Row],[Salidas]]</f>
        <v>0</v>
      </c>
      <c r="Y1641" s="94"/>
      <c r="Z1641" s="94"/>
      <c r="AA1641" s="94">
        <f>STOCK[[#This Row],[Costo total]]*STOCK[[#This Row],[Entradas]]</f>
        <v>15</v>
      </c>
      <c r="AB1641" s="94">
        <f>STOCK[[#This Row],[Stock Actual]]*STOCK[[#This Row],[Costo total]]</f>
        <v>15</v>
      </c>
      <c r="AC1641" s="94"/>
      <c r="AD1641" s="100"/>
    </row>
    <row r="1642" s="76" customFormat="1" ht="50" customHeight="1" spans="1:30">
      <c r="A1642" s="76" t="s">
        <v>3254</v>
      </c>
      <c r="B1642" s="91" t="str">
        <f>_xlfn.DISPIMG("ID_BE20E88A6FB349A6927548A6F0EDC81B",1)</f>
        <v>=DISPIMG("ID_BE20E88A6FB349A6927548A6F0EDC81B",1)</v>
      </c>
      <c r="C1642" s="76" t="s">
        <v>30</v>
      </c>
      <c r="D1642" s="76" t="s">
        <v>3244</v>
      </c>
      <c r="E1642" s="76" t="s">
        <v>3253</v>
      </c>
      <c r="F1642" s="76" t="s">
        <v>3052</v>
      </c>
      <c r="H1642" s="94">
        <f>STOCK[[#This Row],[Precio Final]]</f>
        <v>0</v>
      </c>
      <c r="I1642" s="98">
        <f>STOCK[[#This Row],[Precio Venta Ideal (x1.5)]]</f>
        <v>18</v>
      </c>
      <c r="J1642" s="91">
        <v>1</v>
      </c>
      <c r="K1642" s="96">
        <f>SUMIFS(VENTAS[Cantidad],VENTAS[Código del producto Vendido],STOCK[[#This Row],[Code]])</f>
        <v>1</v>
      </c>
      <c r="L1642" s="96">
        <f>STOCK[[#This Row],[Entradas]]-STOCK[[#This Row],[Salidas]]</f>
        <v>0</v>
      </c>
      <c r="M1642" s="94">
        <f>STOCK[[#This Row],[Precio Final]]*10%</f>
        <v>0</v>
      </c>
      <c r="N1642" s="77">
        <v>0</v>
      </c>
      <c r="O1642" s="94">
        <v>0</v>
      </c>
      <c r="P1642" s="76">
        <v>12</v>
      </c>
      <c r="Q1642" s="91">
        <v>0</v>
      </c>
      <c r="R1642" s="76">
        <v>0</v>
      </c>
      <c r="S1642" s="76">
        <v>0</v>
      </c>
      <c r="T1642" s="94">
        <f>STOCK[[#This Row],[Costo Unitario (USD)]]+STOCK[[#This Row],[Costo Envío (USD)]]+STOCK[[#This Row],[Comisión 10%]]</f>
        <v>12</v>
      </c>
      <c r="U1642" s="76">
        <f>STOCK[[#This Row],[Costo total]]*1.5</f>
        <v>18</v>
      </c>
      <c r="W1642" s="94">
        <f>STOCK[[#This Row],[Precio Final]]-STOCK[[#This Row],[Costo total]]</f>
        <v>-12</v>
      </c>
      <c r="X1642" s="94">
        <f>STOCK[[#This Row],[Ganancia Unitaria]]*STOCK[[#This Row],[Salidas]]</f>
        <v>-12</v>
      </c>
      <c r="Y1642" s="94"/>
      <c r="Z1642" s="94"/>
      <c r="AA1642" s="94">
        <f>STOCK[[#This Row],[Costo total]]*STOCK[[#This Row],[Entradas]]</f>
        <v>12</v>
      </c>
      <c r="AB1642" s="94">
        <f>STOCK[[#This Row],[Stock Actual]]*STOCK[[#This Row],[Costo total]]</f>
        <v>0</v>
      </c>
      <c r="AC1642" s="94"/>
      <c r="AD1642" s="100"/>
    </row>
    <row r="1643" s="76" customFormat="1" ht="50" hidden="1" customHeight="1" spans="1:30">
      <c r="A1643" s="76" t="s">
        <v>3255</v>
      </c>
      <c r="B1643" s="76" t="s">
        <v>3256</v>
      </c>
      <c r="C1643" s="76" t="s">
        <v>30</v>
      </c>
      <c r="D1643" s="76" t="s">
        <v>1114</v>
      </c>
      <c r="E1643" s="76" t="s">
        <v>3257</v>
      </c>
      <c r="F1643" s="76" t="s">
        <v>3052</v>
      </c>
      <c r="H1643" s="94">
        <f>STOCK[[#This Row],[Precio Final]]</f>
        <v>0</v>
      </c>
      <c r="I1643" s="98">
        <f>STOCK[[#This Row],[Precio Venta Ideal (x1.5)]]</f>
        <v>4.5</v>
      </c>
      <c r="J1643" s="91">
        <v>1</v>
      </c>
      <c r="K1643" s="96">
        <f>SUMIFS(VENTAS[Cantidad],VENTAS[Código del producto Vendido],STOCK[[#This Row],[Code]])</f>
        <v>1</v>
      </c>
      <c r="L1643" s="96">
        <f>STOCK[[#This Row],[Entradas]]-STOCK[[#This Row],[Salidas]]</f>
        <v>0</v>
      </c>
      <c r="M1643" s="94">
        <f>STOCK[[#This Row],[Precio Final]]*10%</f>
        <v>0</v>
      </c>
      <c r="N1643" s="77">
        <v>0</v>
      </c>
      <c r="O1643" s="94">
        <v>0</v>
      </c>
      <c r="P1643" s="76">
        <v>3</v>
      </c>
      <c r="Q1643" s="91">
        <v>0</v>
      </c>
      <c r="R1643" s="76">
        <v>0</v>
      </c>
      <c r="S1643" s="77">
        <v>0</v>
      </c>
      <c r="T1643" s="94">
        <f>STOCK[[#This Row],[Costo Unitario (USD)]]+STOCK[[#This Row],[Costo Envío (USD)]]+STOCK[[#This Row],[Comisión 10%]]</f>
        <v>3</v>
      </c>
      <c r="U1643" s="76">
        <f>STOCK[[#This Row],[Costo total]]*1.5</f>
        <v>4.5</v>
      </c>
      <c r="W1643" s="94">
        <f>STOCK[[#This Row],[Precio Final]]-STOCK[[#This Row],[Costo total]]</f>
        <v>-3</v>
      </c>
      <c r="X1643" s="94">
        <f>STOCK[[#This Row],[Ganancia Unitaria]]*STOCK[[#This Row],[Salidas]]</f>
        <v>-3</v>
      </c>
      <c r="Y1643" s="94"/>
      <c r="Z1643" s="94"/>
      <c r="AA1643" s="94">
        <f>STOCK[[#This Row],[Costo total]]*STOCK[[#This Row],[Entradas]]</f>
        <v>3</v>
      </c>
      <c r="AB1643" s="94">
        <f>STOCK[[#This Row],[Stock Actual]]*STOCK[[#This Row],[Costo total]]</f>
        <v>0</v>
      </c>
      <c r="AC1643" s="94"/>
      <c r="AD1643" s="100"/>
    </row>
    <row r="1644" s="76" customFormat="1" ht="50" hidden="1" customHeight="1" spans="1:30">
      <c r="A1644" s="76" t="s">
        <v>3258</v>
      </c>
      <c r="B1644" s="76" t="s">
        <v>3259</v>
      </c>
      <c r="C1644" s="76" t="s">
        <v>30</v>
      </c>
      <c r="D1644" s="76" t="s">
        <v>1114</v>
      </c>
      <c r="E1644" s="76" t="s">
        <v>3260</v>
      </c>
      <c r="F1644" s="76" t="s">
        <v>3052</v>
      </c>
      <c r="H1644" s="94">
        <f>STOCK[[#This Row],[Precio Final]]</f>
        <v>0</v>
      </c>
      <c r="I1644" s="98">
        <f>STOCK[[#This Row],[Precio Venta Ideal (x1.5)]]</f>
        <v>4.5</v>
      </c>
      <c r="J1644" s="91">
        <v>1</v>
      </c>
      <c r="K1644" s="96">
        <f>SUMIFS(VENTAS[Cantidad],VENTAS[Código del producto Vendido],STOCK[[#This Row],[Code]])</f>
        <v>1</v>
      </c>
      <c r="L1644" s="96">
        <f>STOCK[[#This Row],[Entradas]]-STOCK[[#This Row],[Salidas]]</f>
        <v>0</v>
      </c>
      <c r="M1644" s="94">
        <f>STOCK[[#This Row],[Precio Final]]*10%</f>
        <v>0</v>
      </c>
      <c r="N1644" s="76">
        <v>0</v>
      </c>
      <c r="O1644" s="94">
        <v>0</v>
      </c>
      <c r="P1644" s="76">
        <v>3</v>
      </c>
      <c r="Q1644" s="92">
        <v>0</v>
      </c>
      <c r="R1644" s="76">
        <v>0</v>
      </c>
      <c r="S1644" s="77">
        <v>0</v>
      </c>
      <c r="T1644" s="94">
        <f>STOCK[[#This Row],[Costo Unitario (USD)]]+STOCK[[#This Row],[Costo Envío (USD)]]+STOCK[[#This Row],[Comisión 10%]]</f>
        <v>3</v>
      </c>
      <c r="U1644" s="76">
        <f>STOCK[[#This Row],[Costo total]]*1.5</f>
        <v>4.5</v>
      </c>
      <c r="W1644" s="94">
        <f>STOCK[[#This Row],[Precio Final]]-STOCK[[#This Row],[Costo total]]</f>
        <v>-3</v>
      </c>
      <c r="X1644" s="94">
        <f>STOCK[[#This Row],[Ganancia Unitaria]]*STOCK[[#This Row],[Salidas]]</f>
        <v>-3</v>
      </c>
      <c r="Y1644" s="94"/>
      <c r="Z1644" s="94"/>
      <c r="AA1644" s="94">
        <f>STOCK[[#This Row],[Costo total]]*STOCK[[#This Row],[Entradas]]</f>
        <v>3</v>
      </c>
      <c r="AB1644" s="94">
        <f>STOCK[[#This Row],[Stock Actual]]*STOCK[[#This Row],[Costo total]]</f>
        <v>0</v>
      </c>
      <c r="AC1644" s="94"/>
      <c r="AD1644" s="100"/>
    </row>
    <row r="1645" s="76" customFormat="1" ht="50" hidden="1" customHeight="1" spans="1:30">
      <c r="A1645" s="76" t="s">
        <v>3261</v>
      </c>
      <c r="B1645" s="76" t="s">
        <v>1343</v>
      </c>
      <c r="C1645" s="76" t="s">
        <v>30</v>
      </c>
      <c r="D1645" s="76" t="s">
        <v>741</v>
      </c>
      <c r="E1645" s="76" t="s">
        <v>3262</v>
      </c>
      <c r="F1645" s="76" t="s">
        <v>3232</v>
      </c>
      <c r="H1645" s="94">
        <f>STOCK[[#This Row],[Precio Final]]</f>
        <v>0</v>
      </c>
      <c r="I1645" s="98">
        <f>STOCK[[#This Row],[Precio Venta Ideal (x1.5)]]</f>
        <v>0</v>
      </c>
      <c r="J1645" s="91">
        <v>3</v>
      </c>
      <c r="K1645" s="96">
        <f>SUMIFS(VENTAS[Cantidad],VENTAS[Código del producto Vendido],STOCK[[#This Row],[Code]])</f>
        <v>0</v>
      </c>
      <c r="L1645" s="96">
        <f>STOCK[[#This Row],[Entradas]]-STOCK[[#This Row],[Salidas]]</f>
        <v>3</v>
      </c>
      <c r="M1645" s="94">
        <f>STOCK[[#This Row],[Precio Final]]*10%</f>
        <v>0</v>
      </c>
      <c r="N1645" s="77">
        <v>0</v>
      </c>
      <c r="O1645" s="94">
        <v>0</v>
      </c>
      <c r="Q1645" s="91">
        <v>0</v>
      </c>
      <c r="R1645" s="76">
        <v>0</v>
      </c>
      <c r="S1645" s="76">
        <v>0</v>
      </c>
      <c r="T1645" s="94">
        <f>STOCK[[#This Row],[Costo Unitario (USD)]]+STOCK[[#This Row],[Costo Envío (USD)]]+STOCK[[#This Row],[Comisión 10%]]</f>
        <v>0</v>
      </c>
      <c r="U1645" s="76">
        <f>STOCK[[#This Row],[Costo total]]*1.5</f>
        <v>0</v>
      </c>
      <c r="W1645" s="94">
        <f>STOCK[[#This Row],[Precio Final]]-STOCK[[#This Row],[Costo total]]</f>
        <v>0</v>
      </c>
      <c r="X1645" s="94">
        <f>STOCK[[#This Row],[Ganancia Unitaria]]*STOCK[[#This Row],[Salidas]]</f>
        <v>0</v>
      </c>
      <c r="Y1645" s="94"/>
      <c r="Z1645" s="94"/>
      <c r="AA1645" s="94">
        <f>STOCK[[#This Row],[Costo total]]*STOCK[[#This Row],[Entradas]]</f>
        <v>0</v>
      </c>
      <c r="AB1645" s="94">
        <f>STOCK[[#This Row],[Stock Actual]]*STOCK[[#This Row],[Costo total]]</f>
        <v>0</v>
      </c>
      <c r="AC1645" s="94"/>
      <c r="AD1645" s="100"/>
    </row>
    <row r="1646" s="76" customFormat="1" ht="50" hidden="1" customHeight="1" spans="1:30">
      <c r="A1646" s="76" t="s">
        <v>3263</v>
      </c>
      <c r="B1646" s="76" t="s">
        <v>1343</v>
      </c>
      <c r="C1646" s="76" t="s">
        <v>30</v>
      </c>
      <c r="D1646" s="76" t="s">
        <v>741</v>
      </c>
      <c r="E1646" s="76" t="s">
        <v>3262</v>
      </c>
      <c r="F1646" s="76" t="s">
        <v>2106</v>
      </c>
      <c r="H1646" s="94">
        <f>STOCK[[#This Row],[Precio Final]]</f>
        <v>0</v>
      </c>
      <c r="I1646" s="98">
        <f>STOCK[[#This Row],[Precio Venta Ideal (x1.5)]]</f>
        <v>0</v>
      </c>
      <c r="J1646" s="91">
        <v>3</v>
      </c>
      <c r="K1646" s="96">
        <f>SUMIFS(VENTAS[Cantidad],VENTAS[Código del producto Vendido],STOCK[[#This Row],[Code]])</f>
        <v>0</v>
      </c>
      <c r="L1646" s="96">
        <f>STOCK[[#This Row],[Entradas]]-STOCK[[#This Row],[Salidas]]</f>
        <v>3</v>
      </c>
      <c r="M1646" s="94">
        <f>STOCK[[#This Row],[Precio Final]]*10%</f>
        <v>0</v>
      </c>
      <c r="N1646" s="77">
        <v>0</v>
      </c>
      <c r="O1646" s="94">
        <v>0</v>
      </c>
      <c r="Q1646" s="91">
        <v>0</v>
      </c>
      <c r="R1646" s="76">
        <v>0</v>
      </c>
      <c r="S1646" s="76">
        <v>0</v>
      </c>
      <c r="T1646" s="94">
        <f>STOCK[[#This Row],[Costo Unitario (USD)]]+STOCK[[#This Row],[Costo Envío (USD)]]+STOCK[[#This Row],[Comisión 10%]]</f>
        <v>0</v>
      </c>
      <c r="U1646" s="76">
        <f>STOCK[[#This Row],[Costo total]]*1.5</f>
        <v>0</v>
      </c>
      <c r="W1646" s="94">
        <f>STOCK[[#This Row],[Precio Final]]-STOCK[[#This Row],[Costo total]]</f>
        <v>0</v>
      </c>
      <c r="X1646" s="94">
        <f>STOCK[[#This Row],[Ganancia Unitaria]]*STOCK[[#This Row],[Salidas]]</f>
        <v>0</v>
      </c>
      <c r="Y1646" s="94"/>
      <c r="Z1646" s="94"/>
      <c r="AA1646" s="94">
        <f>STOCK[[#This Row],[Costo total]]*STOCK[[#This Row],[Entradas]]</f>
        <v>0</v>
      </c>
      <c r="AB1646" s="94">
        <f>STOCK[[#This Row],[Stock Actual]]*STOCK[[#This Row],[Costo total]]</f>
        <v>0</v>
      </c>
      <c r="AC1646" s="94"/>
      <c r="AD1646" s="100"/>
    </row>
    <row r="1647" s="76" customFormat="1" ht="50" hidden="1" customHeight="1" spans="1:30">
      <c r="A1647" s="76" t="s">
        <v>3264</v>
      </c>
      <c r="B1647" s="102" t="str">
        <f>_xlfn.DISPIMG("ID_55313014813345A0B08CAA51D07E216F",1)</f>
        <v>=DISPIMG("ID_55313014813345A0B08CAA51D07E216F",1)</v>
      </c>
      <c r="C1647" s="76" t="s">
        <v>30</v>
      </c>
      <c r="D1647" s="101" t="s">
        <v>2894</v>
      </c>
      <c r="E1647" s="101" t="s">
        <v>3265</v>
      </c>
      <c r="F1647" s="101" t="s">
        <v>524</v>
      </c>
      <c r="G1647" s="101"/>
      <c r="H1647" s="94">
        <f>STOCK[[#This Row],[Precio Final]]</f>
        <v>3</v>
      </c>
      <c r="I1647" s="98">
        <f>STOCK[[#This Row],[Precio Venta Ideal (x1.5)]]</f>
        <v>1.74</v>
      </c>
      <c r="J1647" s="102">
        <v>4</v>
      </c>
      <c r="K1647" s="96">
        <f>SUMIFS(VENTAS[Cantidad],VENTAS[Código del producto Vendido],STOCK[[#This Row],[Code]])</f>
        <v>2</v>
      </c>
      <c r="L1647" s="96">
        <f>STOCK[[#This Row],[Entradas]]-STOCK[[#This Row],[Salidas]]</f>
        <v>2</v>
      </c>
      <c r="M1647" s="94">
        <f>STOCK[[#This Row],[Precio Final]]*10%</f>
        <v>0.3</v>
      </c>
      <c r="N1647" s="77">
        <v>0</v>
      </c>
      <c r="O1647" s="94">
        <v>0</v>
      </c>
      <c r="P1647" s="101">
        <v>0.86</v>
      </c>
      <c r="Q1647" s="91">
        <v>0</v>
      </c>
      <c r="R1647" s="76">
        <v>0</v>
      </c>
      <c r="S1647" s="76">
        <v>0</v>
      </c>
      <c r="T1647" s="94">
        <f>STOCK[[#This Row],[Costo Unitario (USD)]]+STOCK[[#This Row],[Costo Envío (USD)]]+STOCK[[#This Row],[Comisión 10%]]</f>
        <v>1.16</v>
      </c>
      <c r="U1647" s="76">
        <f>STOCK[[#This Row],[Costo total]]*1.5</f>
        <v>1.74</v>
      </c>
      <c r="V1647" s="101">
        <v>3</v>
      </c>
      <c r="W1647" s="94">
        <f>STOCK[[#This Row],[Precio Final]]-STOCK[[#This Row],[Costo total]]</f>
        <v>1.84</v>
      </c>
      <c r="X1647" s="94">
        <f>STOCK[[#This Row],[Ganancia Unitaria]]*STOCK[[#This Row],[Salidas]]</f>
        <v>3.68</v>
      </c>
      <c r="Y1647" s="94"/>
      <c r="Z1647" s="94"/>
      <c r="AA1647" s="94">
        <f>STOCK[[#This Row],[Costo total]]*STOCK[[#This Row],[Entradas]]</f>
        <v>4.64</v>
      </c>
      <c r="AB1647" s="94">
        <f>STOCK[[#This Row],[Stock Actual]]*STOCK[[#This Row],[Costo total]]</f>
        <v>2.32</v>
      </c>
      <c r="AC1647" s="94"/>
      <c r="AD1647" s="100"/>
    </row>
    <row r="1648" s="76" customFormat="1" ht="50" hidden="1" customHeight="1" spans="1:30">
      <c r="A1648" s="76" t="s">
        <v>3266</v>
      </c>
      <c r="B1648" s="102" t="str">
        <f>_xlfn.DISPIMG("ID_55313014813345A0B08CAA51D07E216F",1)</f>
        <v>=DISPIMG("ID_55313014813345A0B08CAA51D07E216F",1)</v>
      </c>
      <c r="C1648" s="76" t="s">
        <v>30</v>
      </c>
      <c r="D1648" s="101" t="s">
        <v>2894</v>
      </c>
      <c r="E1648" s="101" t="s">
        <v>3267</v>
      </c>
      <c r="F1648" s="101" t="s">
        <v>524</v>
      </c>
      <c r="G1648" s="101"/>
      <c r="H1648" s="94">
        <f>STOCK[[#This Row],[Precio Final]]</f>
        <v>3</v>
      </c>
      <c r="I1648" s="98">
        <f>STOCK[[#This Row],[Precio Venta Ideal (x1.5)]]</f>
        <v>1.74</v>
      </c>
      <c r="J1648" s="102">
        <v>3</v>
      </c>
      <c r="K1648" s="96">
        <f>SUMIFS(VENTAS[Cantidad],VENTAS[Código del producto Vendido],STOCK[[#This Row],[Code]])</f>
        <v>1</v>
      </c>
      <c r="L1648" s="96">
        <f>STOCK[[#This Row],[Entradas]]-STOCK[[#This Row],[Salidas]]</f>
        <v>2</v>
      </c>
      <c r="M1648" s="94">
        <f>STOCK[[#This Row],[Precio Final]]*10%</f>
        <v>0.3</v>
      </c>
      <c r="N1648" s="77">
        <v>0</v>
      </c>
      <c r="O1648" s="94">
        <v>0</v>
      </c>
      <c r="P1648" s="101">
        <v>0.86</v>
      </c>
      <c r="Q1648" s="91">
        <v>0</v>
      </c>
      <c r="R1648" s="76">
        <v>0</v>
      </c>
      <c r="S1648" s="76">
        <v>0</v>
      </c>
      <c r="T1648" s="94">
        <f>STOCK[[#This Row],[Costo Unitario (USD)]]+STOCK[[#This Row],[Costo Envío (USD)]]+STOCK[[#This Row],[Comisión 10%]]</f>
        <v>1.16</v>
      </c>
      <c r="U1648" s="76">
        <f>STOCK[[#This Row],[Costo total]]*1.5</f>
        <v>1.74</v>
      </c>
      <c r="V1648" s="76">
        <v>3</v>
      </c>
      <c r="W1648" s="94">
        <f>STOCK[[#This Row],[Precio Final]]-STOCK[[#This Row],[Costo total]]</f>
        <v>1.84</v>
      </c>
      <c r="X1648" s="94">
        <f>STOCK[[#This Row],[Ganancia Unitaria]]*STOCK[[#This Row],[Salidas]]</f>
        <v>1.84</v>
      </c>
      <c r="Y1648" s="94"/>
      <c r="Z1648" s="94"/>
      <c r="AA1648" s="94">
        <f>STOCK[[#This Row],[Costo total]]*STOCK[[#This Row],[Entradas]]</f>
        <v>3.48</v>
      </c>
      <c r="AB1648" s="94">
        <f>STOCK[[#This Row],[Stock Actual]]*STOCK[[#This Row],[Costo total]]</f>
        <v>2.32</v>
      </c>
      <c r="AC1648" s="94"/>
      <c r="AD1648" s="100"/>
    </row>
    <row r="1649" s="76" customFormat="1" ht="50" hidden="1" customHeight="1" spans="1:30">
      <c r="A1649" s="76" t="s">
        <v>3268</v>
      </c>
      <c r="B1649" s="101" t="s">
        <v>1343</v>
      </c>
      <c r="C1649" s="76" t="s">
        <v>30</v>
      </c>
      <c r="D1649" s="101" t="s">
        <v>2894</v>
      </c>
      <c r="E1649" s="101" t="s">
        <v>3269</v>
      </c>
      <c r="F1649" s="101" t="s">
        <v>60</v>
      </c>
      <c r="G1649" s="101"/>
      <c r="H1649" s="94">
        <f>STOCK[[#This Row],[Precio Final]]</f>
        <v>2.5</v>
      </c>
      <c r="I1649" s="98">
        <f>STOCK[[#This Row],[Precio Venta Ideal (x1.5)]]</f>
        <v>1.665</v>
      </c>
      <c r="J1649" s="102">
        <v>2</v>
      </c>
      <c r="K1649" s="96">
        <f>SUMIFS(VENTAS[Cantidad],VENTAS[Código del producto Vendido],STOCK[[#This Row],[Code]])</f>
        <v>0</v>
      </c>
      <c r="L1649" s="96">
        <f>STOCK[[#This Row],[Entradas]]-STOCK[[#This Row],[Salidas]]</f>
        <v>2</v>
      </c>
      <c r="M1649" s="94">
        <f>STOCK[[#This Row],[Precio Final]]*10%</f>
        <v>0.25</v>
      </c>
      <c r="N1649" s="77">
        <v>0</v>
      </c>
      <c r="O1649" s="94">
        <v>0</v>
      </c>
      <c r="P1649" s="101">
        <v>0.86</v>
      </c>
      <c r="Q1649" s="91">
        <v>0</v>
      </c>
      <c r="R1649" s="76">
        <v>0</v>
      </c>
      <c r="S1649" s="76">
        <v>0</v>
      </c>
      <c r="T1649" s="94">
        <f>STOCK[[#This Row],[Costo Unitario (USD)]]+STOCK[[#This Row],[Costo Envío (USD)]]+STOCK[[#This Row],[Comisión 10%]]</f>
        <v>1.11</v>
      </c>
      <c r="U1649" s="76">
        <f>STOCK[[#This Row],[Costo total]]*1.5</f>
        <v>1.665</v>
      </c>
      <c r="V1649" s="101">
        <v>2.5</v>
      </c>
      <c r="W1649" s="94">
        <f>STOCK[[#This Row],[Precio Final]]-STOCK[[#This Row],[Costo total]]</f>
        <v>1.39</v>
      </c>
      <c r="X1649" s="94">
        <f>STOCK[[#This Row],[Ganancia Unitaria]]*STOCK[[#This Row],[Salidas]]</f>
        <v>0</v>
      </c>
      <c r="Y1649" s="94"/>
      <c r="Z1649" s="94"/>
      <c r="AA1649" s="94">
        <f>STOCK[[#This Row],[Costo total]]*STOCK[[#This Row],[Entradas]]</f>
        <v>2.22</v>
      </c>
      <c r="AB1649" s="94">
        <f>STOCK[[#This Row],[Stock Actual]]*STOCK[[#This Row],[Costo total]]</f>
        <v>2.22</v>
      </c>
      <c r="AC1649" s="94"/>
      <c r="AD1649" s="100"/>
    </row>
    <row r="1650" s="76" customFormat="1" ht="50" hidden="1" customHeight="1" spans="1:30">
      <c r="A1650" s="76" t="s">
        <v>3270</v>
      </c>
      <c r="B1650" s="101" t="s">
        <v>1343</v>
      </c>
      <c r="C1650" s="76" t="s">
        <v>30</v>
      </c>
      <c r="D1650" s="101" t="s">
        <v>2894</v>
      </c>
      <c r="E1650" s="101" t="s">
        <v>3271</v>
      </c>
      <c r="F1650" s="101" t="s">
        <v>60</v>
      </c>
      <c r="G1650" s="101"/>
      <c r="H1650" s="94">
        <f>STOCK[[#This Row],[Precio Final]]</f>
        <v>2.5</v>
      </c>
      <c r="I1650" s="98">
        <f>STOCK[[#This Row],[Precio Venta Ideal (x1.5)]]</f>
        <v>1.665</v>
      </c>
      <c r="J1650" s="102">
        <v>2</v>
      </c>
      <c r="K1650" s="96">
        <f>SUMIFS(VENTAS[Cantidad],VENTAS[Código del producto Vendido],STOCK[[#This Row],[Code]])</f>
        <v>0</v>
      </c>
      <c r="L1650" s="96">
        <f>STOCK[[#This Row],[Entradas]]-STOCK[[#This Row],[Salidas]]</f>
        <v>2</v>
      </c>
      <c r="M1650" s="94">
        <f>STOCK[[#This Row],[Precio Final]]*10%</f>
        <v>0.25</v>
      </c>
      <c r="N1650" s="77">
        <v>0</v>
      </c>
      <c r="O1650" s="94">
        <v>0</v>
      </c>
      <c r="P1650" s="101">
        <v>0.86</v>
      </c>
      <c r="Q1650" s="91">
        <v>0</v>
      </c>
      <c r="R1650" s="76">
        <v>0</v>
      </c>
      <c r="S1650" s="76">
        <v>0</v>
      </c>
      <c r="T1650" s="94">
        <f>STOCK[[#This Row],[Costo Unitario (USD)]]+STOCK[[#This Row],[Costo Envío (USD)]]+STOCK[[#This Row],[Comisión 10%]]</f>
        <v>1.11</v>
      </c>
      <c r="U1650" s="76">
        <f>STOCK[[#This Row],[Costo total]]*1.5</f>
        <v>1.665</v>
      </c>
      <c r="V1650" s="76">
        <v>2.5</v>
      </c>
      <c r="W1650" s="94">
        <f>STOCK[[#This Row],[Precio Final]]-STOCK[[#This Row],[Costo total]]</f>
        <v>1.39</v>
      </c>
      <c r="X1650" s="94">
        <f>STOCK[[#This Row],[Ganancia Unitaria]]*STOCK[[#This Row],[Salidas]]</f>
        <v>0</v>
      </c>
      <c r="Y1650" s="94"/>
      <c r="Z1650" s="94"/>
      <c r="AA1650" s="94">
        <f>STOCK[[#This Row],[Costo total]]*STOCK[[#This Row],[Entradas]]</f>
        <v>2.22</v>
      </c>
      <c r="AB1650" s="94">
        <f>STOCK[[#This Row],[Stock Actual]]*STOCK[[#This Row],[Costo total]]</f>
        <v>2.22</v>
      </c>
      <c r="AC1650" s="94"/>
      <c r="AD1650" s="100"/>
    </row>
    <row r="1651" s="76" customFormat="1" ht="50" hidden="1" customHeight="1" spans="1:30">
      <c r="A1651" s="76" t="s">
        <v>3272</v>
      </c>
      <c r="B1651" s="101" t="s">
        <v>1343</v>
      </c>
      <c r="C1651" s="76" t="s">
        <v>30</v>
      </c>
      <c r="D1651" s="101" t="s">
        <v>2894</v>
      </c>
      <c r="E1651" s="101" t="s">
        <v>3273</v>
      </c>
      <c r="F1651" s="101" t="s">
        <v>60</v>
      </c>
      <c r="G1651" s="101"/>
      <c r="H1651" s="94">
        <f>STOCK[[#This Row],[Precio Final]]</f>
        <v>2.5</v>
      </c>
      <c r="I1651" s="98">
        <f>STOCK[[#This Row],[Precio Venta Ideal (x1.5)]]</f>
        <v>1.665</v>
      </c>
      <c r="J1651" s="102">
        <v>1</v>
      </c>
      <c r="K1651" s="96">
        <f>SUMIFS(VENTAS[Cantidad],VENTAS[Código del producto Vendido],STOCK[[#This Row],[Code]])</f>
        <v>0</v>
      </c>
      <c r="L1651" s="96">
        <f>STOCK[[#This Row],[Entradas]]-STOCK[[#This Row],[Salidas]]</f>
        <v>1</v>
      </c>
      <c r="M1651" s="94">
        <f>STOCK[[#This Row],[Precio Final]]*10%</f>
        <v>0.25</v>
      </c>
      <c r="N1651" s="77">
        <v>0</v>
      </c>
      <c r="O1651" s="94">
        <v>0</v>
      </c>
      <c r="P1651" s="101">
        <v>0.86</v>
      </c>
      <c r="Q1651" s="91">
        <v>0</v>
      </c>
      <c r="R1651" s="76">
        <v>0</v>
      </c>
      <c r="S1651" s="76">
        <v>0</v>
      </c>
      <c r="T1651" s="94">
        <f>STOCK[[#This Row],[Costo Unitario (USD)]]+STOCK[[#This Row],[Costo Envío (USD)]]+STOCK[[#This Row],[Comisión 10%]]</f>
        <v>1.11</v>
      </c>
      <c r="U1651" s="76">
        <f>STOCK[[#This Row],[Costo total]]*1.5</f>
        <v>1.665</v>
      </c>
      <c r="V1651" s="101">
        <v>2.5</v>
      </c>
      <c r="W1651" s="94">
        <f>STOCK[[#This Row],[Precio Final]]-STOCK[[#This Row],[Costo total]]</f>
        <v>1.39</v>
      </c>
      <c r="X1651" s="94">
        <f>STOCK[[#This Row],[Ganancia Unitaria]]*STOCK[[#This Row],[Salidas]]</f>
        <v>0</v>
      </c>
      <c r="Y1651" s="94"/>
      <c r="Z1651" s="94"/>
      <c r="AA1651" s="94">
        <f>STOCK[[#This Row],[Costo total]]*STOCK[[#This Row],[Entradas]]</f>
        <v>1.11</v>
      </c>
      <c r="AB1651" s="94">
        <f>STOCK[[#This Row],[Stock Actual]]*STOCK[[#This Row],[Costo total]]</f>
        <v>1.11</v>
      </c>
      <c r="AC1651" s="94"/>
      <c r="AD1651" s="100"/>
    </row>
    <row r="1652" s="76" customFormat="1" ht="50" hidden="1" customHeight="1" spans="1:30">
      <c r="A1652" s="76" t="s">
        <v>3274</v>
      </c>
      <c r="B1652" s="102" t="str">
        <f>_xlfn.DISPIMG("ID_3D450F2A6B7C47C59B1BC9781F1455B8",1)</f>
        <v>=DISPIMG("ID_3D450F2A6B7C47C59B1BC9781F1455B8",1)</v>
      </c>
      <c r="C1652" s="76" t="s">
        <v>30</v>
      </c>
      <c r="D1652" s="101" t="s">
        <v>3275</v>
      </c>
      <c r="E1652" s="101" t="s">
        <v>3276</v>
      </c>
      <c r="F1652" s="101" t="s">
        <v>524</v>
      </c>
      <c r="G1652" s="101"/>
      <c r="H1652" s="94">
        <f>STOCK[[#This Row],[Precio Final]]</f>
        <v>3.5</v>
      </c>
      <c r="I1652" s="98">
        <f>STOCK[[#This Row],[Precio Venta Ideal (x1.5)]]</f>
        <v>3.525</v>
      </c>
      <c r="J1652" s="102">
        <v>1</v>
      </c>
      <c r="K1652" s="96">
        <f>SUMIFS(VENTAS[Cantidad],VENTAS[Código del producto Vendido],STOCK[[#This Row],[Code]])</f>
        <v>0</v>
      </c>
      <c r="L1652" s="96">
        <f>STOCK[[#This Row],[Entradas]]-STOCK[[#This Row],[Salidas]]</f>
        <v>1</v>
      </c>
      <c r="M1652" s="94">
        <f>STOCK[[#This Row],[Precio Final]]*10%</f>
        <v>0.35</v>
      </c>
      <c r="N1652" s="77">
        <v>0</v>
      </c>
      <c r="O1652" s="94">
        <v>0</v>
      </c>
      <c r="P1652" s="101">
        <v>2</v>
      </c>
      <c r="Q1652" s="91">
        <v>0</v>
      </c>
      <c r="R1652" s="76">
        <v>0</v>
      </c>
      <c r="S1652" s="76">
        <v>0</v>
      </c>
      <c r="T1652" s="94">
        <f>STOCK[[#This Row],[Costo Unitario (USD)]]+STOCK[[#This Row],[Costo Envío (USD)]]+STOCK[[#This Row],[Comisión 10%]]</f>
        <v>2.35</v>
      </c>
      <c r="U1652" s="76">
        <f>STOCK[[#This Row],[Costo total]]*1.5</f>
        <v>3.525</v>
      </c>
      <c r="V1652" s="76">
        <v>3.5</v>
      </c>
      <c r="W1652" s="94">
        <f>STOCK[[#This Row],[Precio Final]]-STOCK[[#This Row],[Costo total]]</f>
        <v>1.15</v>
      </c>
      <c r="X1652" s="94">
        <f>STOCK[[#This Row],[Ganancia Unitaria]]*STOCK[[#This Row],[Salidas]]</f>
        <v>0</v>
      </c>
      <c r="Y1652" s="94"/>
      <c r="Z1652" s="94"/>
      <c r="AA1652" s="94">
        <f>STOCK[[#This Row],[Costo total]]*STOCK[[#This Row],[Entradas]]</f>
        <v>2.35</v>
      </c>
      <c r="AB1652" s="94">
        <f>STOCK[[#This Row],[Stock Actual]]*STOCK[[#This Row],[Costo total]]</f>
        <v>2.35</v>
      </c>
      <c r="AC1652" s="94"/>
      <c r="AD1652" s="100"/>
    </row>
    <row r="1653" s="76" customFormat="1" ht="50" hidden="1" customHeight="1" spans="1:30">
      <c r="A1653" s="76" t="s">
        <v>3277</v>
      </c>
      <c r="B1653" s="102" t="str">
        <f>_xlfn.DISPIMG("ID_FEA31DA4C4624707BACE85D4A3AE66F3",1)</f>
        <v>=DISPIMG("ID_FEA31DA4C4624707BACE85D4A3AE66F3",1)</v>
      </c>
      <c r="C1653" s="76" t="s">
        <v>30</v>
      </c>
      <c r="D1653" s="101" t="s">
        <v>3275</v>
      </c>
      <c r="E1653" s="101" t="s">
        <v>3278</v>
      </c>
      <c r="F1653" s="101" t="s">
        <v>524</v>
      </c>
      <c r="G1653" s="101"/>
      <c r="H1653" s="94">
        <f>STOCK[[#This Row],[Precio Final]]</f>
        <v>5</v>
      </c>
      <c r="I1653" s="98">
        <f>STOCK[[#This Row],[Precio Venta Ideal (x1.5)]]</f>
        <v>3.75</v>
      </c>
      <c r="J1653" s="102">
        <v>2</v>
      </c>
      <c r="K1653" s="96">
        <f>SUMIFS(VENTAS[Cantidad],VENTAS[Código del producto Vendido],STOCK[[#This Row],[Code]])</f>
        <v>0</v>
      </c>
      <c r="L1653" s="96">
        <f>STOCK[[#This Row],[Entradas]]-STOCK[[#This Row],[Salidas]]</f>
        <v>2</v>
      </c>
      <c r="M1653" s="94">
        <f>STOCK[[#This Row],[Precio Final]]*10%</f>
        <v>0.5</v>
      </c>
      <c r="N1653" s="77">
        <v>0</v>
      </c>
      <c r="O1653" s="94">
        <v>0</v>
      </c>
      <c r="P1653" s="101">
        <v>2</v>
      </c>
      <c r="Q1653" s="91">
        <v>0</v>
      </c>
      <c r="R1653" s="76">
        <v>0</v>
      </c>
      <c r="S1653" s="76">
        <v>0</v>
      </c>
      <c r="T1653" s="94">
        <f>STOCK[[#This Row],[Costo Unitario (USD)]]+STOCK[[#This Row],[Costo Envío (USD)]]+STOCK[[#This Row],[Comisión 10%]]</f>
        <v>2.5</v>
      </c>
      <c r="U1653" s="76">
        <f>STOCK[[#This Row],[Costo total]]*1.5</f>
        <v>3.75</v>
      </c>
      <c r="V1653" s="101">
        <v>5</v>
      </c>
      <c r="W1653" s="94">
        <f>STOCK[[#This Row],[Precio Final]]-STOCK[[#This Row],[Costo total]]</f>
        <v>2.5</v>
      </c>
      <c r="X1653" s="94">
        <f>STOCK[[#This Row],[Ganancia Unitaria]]*STOCK[[#This Row],[Salidas]]</f>
        <v>0</v>
      </c>
      <c r="Y1653" s="103"/>
      <c r="Z1653" s="94"/>
      <c r="AA1653" s="94">
        <f>STOCK[[#This Row],[Costo total]]*STOCK[[#This Row],[Entradas]]</f>
        <v>5</v>
      </c>
      <c r="AB1653" s="94">
        <f>STOCK[[#This Row],[Stock Actual]]*STOCK[[#This Row],[Costo total]]</f>
        <v>5</v>
      </c>
      <c r="AC1653" s="94"/>
      <c r="AD1653" s="100"/>
    </row>
    <row r="1654" s="76" customFormat="1" ht="50" hidden="1" customHeight="1" spans="1:30">
      <c r="A1654" s="76" t="s">
        <v>3279</v>
      </c>
      <c r="B1654" s="102" t="str">
        <f>_xlfn.DISPIMG("ID_22CAB55638B04FF8A0B296359D1A0FC6",1)</f>
        <v>=DISPIMG("ID_22CAB55638B04FF8A0B296359D1A0FC6",1)</v>
      </c>
      <c r="C1654" s="76" t="s">
        <v>30</v>
      </c>
      <c r="D1654" s="101" t="s">
        <v>3275</v>
      </c>
      <c r="E1654" s="101" t="s">
        <v>3280</v>
      </c>
      <c r="F1654" s="101" t="s">
        <v>524</v>
      </c>
      <c r="G1654" s="101"/>
      <c r="H1654" s="94">
        <f>STOCK[[#This Row],[Precio Final]]</f>
        <v>5</v>
      </c>
      <c r="I1654" s="98">
        <f>STOCK[[#This Row],[Precio Venta Ideal (x1.5)]]</f>
        <v>3.75</v>
      </c>
      <c r="J1654" s="102">
        <v>1</v>
      </c>
      <c r="K1654" s="96">
        <f>SUMIFS(VENTAS[Cantidad],VENTAS[Código del producto Vendido],STOCK[[#This Row],[Code]])</f>
        <v>0</v>
      </c>
      <c r="L1654" s="96">
        <f>STOCK[[#This Row],[Entradas]]-STOCK[[#This Row],[Salidas]]</f>
        <v>1</v>
      </c>
      <c r="M1654" s="94">
        <f>STOCK[[#This Row],[Precio Final]]*10%</f>
        <v>0.5</v>
      </c>
      <c r="N1654" s="77">
        <v>0</v>
      </c>
      <c r="O1654" s="94">
        <v>0</v>
      </c>
      <c r="P1654" s="101">
        <v>2</v>
      </c>
      <c r="Q1654" s="91">
        <v>0</v>
      </c>
      <c r="R1654" s="76">
        <v>0</v>
      </c>
      <c r="S1654" s="76">
        <v>0</v>
      </c>
      <c r="T1654" s="94">
        <f>STOCK[[#This Row],[Costo Unitario (USD)]]+STOCK[[#This Row],[Costo Envío (USD)]]+STOCK[[#This Row],[Comisión 10%]]</f>
        <v>2.5</v>
      </c>
      <c r="U1654" s="76">
        <f>STOCK[[#This Row],[Costo total]]*1.5</f>
        <v>3.75</v>
      </c>
      <c r="V1654" s="101">
        <v>5</v>
      </c>
      <c r="W1654" s="94">
        <f>STOCK[[#This Row],[Precio Final]]-STOCK[[#This Row],[Costo total]]</f>
        <v>2.5</v>
      </c>
      <c r="X1654" s="94">
        <f>STOCK[[#This Row],[Ganancia Unitaria]]*STOCK[[#This Row],[Salidas]]</f>
        <v>0</v>
      </c>
      <c r="Y1654" s="103"/>
      <c r="Z1654" s="94"/>
      <c r="AA1654" s="94">
        <f>STOCK[[#This Row],[Costo total]]*STOCK[[#This Row],[Entradas]]</f>
        <v>2.5</v>
      </c>
      <c r="AB1654" s="94">
        <f>STOCK[[#This Row],[Stock Actual]]*STOCK[[#This Row],[Costo total]]</f>
        <v>2.5</v>
      </c>
      <c r="AC1654" s="94"/>
      <c r="AD1654" s="100"/>
    </row>
    <row r="1655" s="76" customFormat="1" ht="50" hidden="1" customHeight="1" spans="2:30">
      <c r="B1655" s="101"/>
      <c r="C1655" s="101"/>
      <c r="D1655" s="101"/>
      <c r="E1655" s="101"/>
      <c r="F1655" s="101"/>
      <c r="G1655" s="101"/>
      <c r="H1655" s="94"/>
      <c r="I1655" s="98"/>
      <c r="J1655" s="102"/>
      <c r="K1655" s="96"/>
      <c r="L1655" s="96"/>
      <c r="M1655" s="94"/>
      <c r="N1655" s="77"/>
      <c r="O1655" s="94"/>
      <c r="P1655" s="101"/>
      <c r="Q1655" s="91"/>
      <c r="R1655" s="76"/>
      <c r="S1655" s="76"/>
      <c r="T1655" s="94"/>
      <c r="U1655" s="76"/>
      <c r="V1655" s="101"/>
      <c r="W1655" s="94"/>
      <c r="X1655" s="94"/>
      <c r="Y1655" s="103"/>
      <c r="Z1655" s="94"/>
      <c r="AA1655" s="94"/>
      <c r="AB1655" s="94"/>
      <c r="AC1655" s="94"/>
      <c r="AD1655" s="100"/>
    </row>
    <row r="1656" s="76" customFormat="1" ht="50" hidden="1" customHeight="1" spans="1:30">
      <c r="A1656" s="101"/>
      <c r="B1656" s="101"/>
      <c r="C1656" s="101"/>
      <c r="D1656" s="101"/>
      <c r="E1656" s="101"/>
      <c r="F1656" s="101"/>
      <c r="G1656" s="101"/>
      <c r="H1656" s="94">
        <f>STOCK[[#This Row],[Precio Final]]</f>
        <v>0</v>
      </c>
      <c r="I1656" s="98">
        <f>STOCK[[#This Row],[Precio Venta Ideal (x1.5)]]</f>
        <v>0</v>
      </c>
      <c r="J1656" s="102"/>
      <c r="K1656" s="96">
        <f>SUMIFS(VENTAS[Cantidad],VENTAS[Código del producto Vendido],STOCK[[#This Row],[Code]])</f>
        <v>0</v>
      </c>
      <c r="L1656" s="96">
        <f>STOCK[[#This Row],[Entradas]]-STOCK[[#This Row],[Salidas]]</f>
        <v>0</v>
      </c>
      <c r="M1656" s="94">
        <f>STOCK[[#This Row],[Precio Final]]*10%</f>
        <v>0</v>
      </c>
      <c r="N1656" s="77">
        <v>0</v>
      </c>
      <c r="O1656" s="94">
        <v>0</v>
      </c>
      <c r="P1656" s="101"/>
      <c r="Q1656" s="91">
        <v>0</v>
      </c>
      <c r="R1656" s="76">
        <v>0</v>
      </c>
      <c r="S1656" s="76">
        <v>0</v>
      </c>
      <c r="T1656" s="94">
        <f>STOCK[[#This Row],[Costo Unitario (USD)]]+STOCK[[#This Row],[Costo Envío (USD)]]+STOCK[[#This Row],[Comisión 10%]]</f>
        <v>0</v>
      </c>
      <c r="U1656" s="76">
        <f>STOCK[[#This Row],[Costo total]]*1.5</f>
        <v>0</v>
      </c>
      <c r="V1656" s="101"/>
      <c r="W1656" s="94">
        <f>STOCK[[#This Row],[Precio Final]]-STOCK[[#This Row],[Costo total]]</f>
        <v>0</v>
      </c>
      <c r="X1656" s="94">
        <f>STOCK[[#This Row],[Ganancia Unitaria]]*STOCK[[#This Row],[Salidas]]</f>
        <v>0</v>
      </c>
      <c r="Y1656" s="103"/>
      <c r="Z1656" s="94"/>
      <c r="AA1656" s="94">
        <f>STOCK[[#This Row],[Costo total]]*STOCK[[#This Row],[Entradas]]</f>
        <v>0</v>
      </c>
      <c r="AB1656" s="94">
        <f>STOCK[[#This Row],[Stock Actual]]*STOCK[[#This Row],[Costo total]]</f>
        <v>0</v>
      </c>
      <c r="AC1656" s="94"/>
      <c r="AD1656" s="100"/>
    </row>
    <row r="1657" s="76" customFormat="1" ht="50" hidden="1" customHeight="1" spans="1:30">
      <c r="A1657" s="101"/>
      <c r="B1657" s="101"/>
      <c r="C1657" s="101"/>
      <c r="D1657" s="101"/>
      <c r="E1657" s="101"/>
      <c r="F1657" s="101"/>
      <c r="G1657" s="101"/>
      <c r="H1657" s="94">
        <f>STOCK[[#This Row],[Precio Final]]</f>
        <v>0</v>
      </c>
      <c r="I1657" s="98">
        <f>STOCK[[#This Row],[Precio Venta Ideal (x1.5)]]</f>
        <v>0</v>
      </c>
      <c r="J1657" s="102"/>
      <c r="K1657" s="96">
        <f>SUMIFS(VENTAS[Cantidad],VENTAS[Código del producto Vendido],STOCK[[#This Row],[Code]])</f>
        <v>0</v>
      </c>
      <c r="L1657" s="96">
        <f>STOCK[[#This Row],[Entradas]]-STOCK[[#This Row],[Salidas]]</f>
        <v>0</v>
      </c>
      <c r="M1657" s="94">
        <f>STOCK[[#This Row],[Precio Final]]*10%</f>
        <v>0</v>
      </c>
      <c r="N1657" s="77">
        <v>0</v>
      </c>
      <c r="O1657" s="94">
        <v>0</v>
      </c>
      <c r="P1657" s="101"/>
      <c r="Q1657" s="91">
        <v>0</v>
      </c>
      <c r="R1657" s="76">
        <v>0</v>
      </c>
      <c r="S1657" s="76">
        <v>0</v>
      </c>
      <c r="T1657" s="94">
        <f>STOCK[[#This Row],[Costo Unitario (USD)]]+STOCK[[#This Row],[Costo Envío (USD)]]+STOCK[[#This Row],[Comisión 10%]]</f>
        <v>0</v>
      </c>
      <c r="U1657" s="76">
        <f>STOCK[[#This Row],[Costo total]]*1.5</f>
        <v>0</v>
      </c>
      <c r="V1657" s="101"/>
      <c r="W1657" s="94">
        <f>STOCK[[#This Row],[Precio Final]]-STOCK[[#This Row],[Costo total]]</f>
        <v>0</v>
      </c>
      <c r="X1657" s="94">
        <f>STOCK[[#This Row],[Ganancia Unitaria]]*STOCK[[#This Row],[Salidas]]</f>
        <v>0</v>
      </c>
      <c r="Y1657" s="103"/>
      <c r="Z1657" s="94"/>
      <c r="AA1657" s="94">
        <f>STOCK[[#This Row],[Costo total]]*STOCK[[#This Row],[Entradas]]</f>
        <v>0</v>
      </c>
      <c r="AB1657" s="94">
        <f>STOCK[[#This Row],[Stock Actual]]*STOCK[[#This Row],[Costo total]]</f>
        <v>0</v>
      </c>
      <c r="AC1657" s="94"/>
      <c r="AD1657" s="100"/>
    </row>
    <row r="1658" s="76" customFormat="1" ht="50" hidden="1" customHeight="1" spans="1:30">
      <c r="A1658" s="101"/>
      <c r="B1658" s="101"/>
      <c r="C1658" s="101"/>
      <c r="D1658" s="101"/>
      <c r="E1658" s="101"/>
      <c r="F1658" s="101"/>
      <c r="G1658" s="101"/>
      <c r="H1658" s="94">
        <f>STOCK[[#This Row],[Precio Final]]</f>
        <v>0</v>
      </c>
      <c r="I1658" s="98">
        <f>STOCK[[#This Row],[Precio Venta Ideal (x1.5)]]</f>
        <v>0</v>
      </c>
      <c r="J1658" s="102"/>
      <c r="K1658" s="96">
        <f>SUMIFS(VENTAS[Cantidad],VENTAS[Código del producto Vendido],STOCK[[#This Row],[Code]])</f>
        <v>0</v>
      </c>
      <c r="L1658" s="96">
        <f>STOCK[[#This Row],[Entradas]]-STOCK[[#This Row],[Salidas]]</f>
        <v>0</v>
      </c>
      <c r="M1658" s="94">
        <f>STOCK[[#This Row],[Precio Final]]*10%</f>
        <v>0</v>
      </c>
      <c r="N1658" s="77">
        <v>0</v>
      </c>
      <c r="O1658" s="94">
        <v>0</v>
      </c>
      <c r="P1658" s="101"/>
      <c r="Q1658" s="91">
        <v>0</v>
      </c>
      <c r="R1658" s="76">
        <v>0</v>
      </c>
      <c r="S1658" s="76">
        <v>0</v>
      </c>
      <c r="T1658" s="94">
        <f>STOCK[[#This Row],[Costo Unitario (USD)]]+STOCK[[#This Row],[Costo Envío (USD)]]+STOCK[[#This Row],[Comisión 10%]]</f>
        <v>0</v>
      </c>
      <c r="U1658" s="76">
        <f>STOCK[[#This Row],[Costo total]]*1.5</f>
        <v>0</v>
      </c>
      <c r="V1658" s="101"/>
      <c r="W1658" s="94">
        <f>STOCK[[#This Row],[Precio Final]]-STOCK[[#This Row],[Costo total]]</f>
        <v>0</v>
      </c>
      <c r="X1658" s="94">
        <f>STOCK[[#This Row],[Ganancia Unitaria]]*STOCK[[#This Row],[Salidas]]</f>
        <v>0</v>
      </c>
      <c r="Y1658" s="103"/>
      <c r="Z1658" s="94"/>
      <c r="AA1658" s="94">
        <f>STOCK[[#This Row],[Costo total]]*STOCK[[#This Row],[Entradas]]</f>
        <v>0</v>
      </c>
      <c r="AB1658" s="94">
        <f>STOCK[[#This Row],[Stock Actual]]*STOCK[[#This Row],[Costo total]]</f>
        <v>0</v>
      </c>
      <c r="AC1658" s="94"/>
      <c r="AD1658" s="100"/>
    </row>
    <row r="1659" s="76" customFormat="1" ht="50" hidden="1" customHeight="1" spans="1:30">
      <c r="A1659" s="101"/>
      <c r="B1659" s="101"/>
      <c r="C1659" s="101"/>
      <c r="D1659" s="101"/>
      <c r="E1659" s="101"/>
      <c r="F1659" s="101"/>
      <c r="G1659" s="101"/>
      <c r="H1659" s="94">
        <f>STOCK[[#This Row],[Precio Final]]</f>
        <v>0</v>
      </c>
      <c r="I1659" s="98">
        <f>STOCK[[#This Row],[Precio Venta Ideal (x1.5)]]</f>
        <v>0</v>
      </c>
      <c r="J1659" s="102"/>
      <c r="K1659" s="96">
        <f>SUMIFS(VENTAS[Cantidad],VENTAS[Código del producto Vendido],STOCK[[#This Row],[Code]])</f>
        <v>0</v>
      </c>
      <c r="L1659" s="96">
        <f>STOCK[[#This Row],[Entradas]]-STOCK[[#This Row],[Salidas]]</f>
        <v>0</v>
      </c>
      <c r="M1659" s="94">
        <f>STOCK[[#This Row],[Precio Final]]*10%</f>
        <v>0</v>
      </c>
      <c r="N1659" s="77">
        <v>0</v>
      </c>
      <c r="O1659" s="94">
        <v>0</v>
      </c>
      <c r="P1659" s="101"/>
      <c r="Q1659" s="91">
        <v>0</v>
      </c>
      <c r="R1659" s="76">
        <v>0</v>
      </c>
      <c r="S1659" s="76">
        <v>0</v>
      </c>
      <c r="T1659" s="94">
        <f>STOCK[[#This Row],[Costo Unitario (USD)]]+STOCK[[#This Row],[Costo Envío (USD)]]+STOCK[[#This Row],[Comisión 10%]]</f>
        <v>0</v>
      </c>
      <c r="U1659" s="76">
        <f>STOCK[[#This Row],[Costo total]]*1.5</f>
        <v>0</v>
      </c>
      <c r="V1659" s="101"/>
      <c r="W1659" s="94">
        <f>STOCK[[#This Row],[Precio Final]]-STOCK[[#This Row],[Costo total]]</f>
        <v>0</v>
      </c>
      <c r="X1659" s="94">
        <f>STOCK[[#This Row],[Ganancia Unitaria]]*STOCK[[#This Row],[Salidas]]</f>
        <v>0</v>
      </c>
      <c r="Y1659" s="103"/>
      <c r="Z1659" s="94"/>
      <c r="AA1659" s="94">
        <f>STOCK[[#This Row],[Costo total]]*STOCK[[#This Row],[Entradas]]</f>
        <v>0</v>
      </c>
      <c r="AB1659" s="94">
        <f>STOCK[[#This Row],[Stock Actual]]*STOCK[[#This Row],[Costo total]]</f>
        <v>0</v>
      </c>
      <c r="AC1659" s="94"/>
      <c r="AD1659" s="100"/>
    </row>
    <row r="1660" s="76" customFormat="1" ht="50" hidden="1" customHeight="1" spans="1:30">
      <c r="A1660" s="101"/>
      <c r="B1660" s="101"/>
      <c r="C1660" s="101"/>
      <c r="D1660" s="101"/>
      <c r="E1660" s="101"/>
      <c r="F1660" s="101"/>
      <c r="G1660" s="101"/>
      <c r="H1660" s="94">
        <f>STOCK[[#This Row],[Precio Final]]</f>
        <v>0</v>
      </c>
      <c r="I1660" s="98">
        <f>STOCK[[#This Row],[Precio Venta Ideal (x1.5)]]</f>
        <v>0</v>
      </c>
      <c r="J1660" s="102"/>
      <c r="K1660" s="96">
        <f>SUMIFS(VENTAS[Cantidad],VENTAS[Código del producto Vendido],STOCK[[#This Row],[Code]])</f>
        <v>0</v>
      </c>
      <c r="L1660" s="96">
        <f>STOCK[[#This Row],[Entradas]]-STOCK[[#This Row],[Salidas]]</f>
        <v>0</v>
      </c>
      <c r="M1660" s="94">
        <f>STOCK[[#This Row],[Precio Final]]*10%</f>
        <v>0</v>
      </c>
      <c r="N1660" s="77">
        <v>0</v>
      </c>
      <c r="O1660" s="94">
        <v>0</v>
      </c>
      <c r="P1660" s="101"/>
      <c r="Q1660" s="91">
        <v>0</v>
      </c>
      <c r="R1660" s="76">
        <v>0</v>
      </c>
      <c r="S1660" s="76">
        <v>0</v>
      </c>
      <c r="T1660" s="94">
        <f>STOCK[[#This Row],[Costo Unitario (USD)]]+STOCK[[#This Row],[Costo Envío (USD)]]+STOCK[[#This Row],[Comisión 10%]]</f>
        <v>0</v>
      </c>
      <c r="U1660" s="76">
        <f>STOCK[[#This Row],[Costo total]]*1.5</f>
        <v>0</v>
      </c>
      <c r="V1660" s="101"/>
      <c r="W1660" s="94">
        <f>STOCK[[#This Row],[Precio Final]]-STOCK[[#This Row],[Costo total]]</f>
        <v>0</v>
      </c>
      <c r="X1660" s="94">
        <f>STOCK[[#This Row],[Ganancia Unitaria]]*STOCK[[#This Row],[Salidas]]</f>
        <v>0</v>
      </c>
      <c r="Y1660" s="103"/>
      <c r="Z1660" s="94"/>
      <c r="AA1660" s="94">
        <f>STOCK[[#This Row],[Costo total]]*STOCK[[#This Row],[Entradas]]</f>
        <v>0</v>
      </c>
      <c r="AB1660" s="94">
        <f>STOCK[[#This Row],[Stock Actual]]*STOCK[[#This Row],[Costo total]]</f>
        <v>0</v>
      </c>
      <c r="AC1660" s="94"/>
      <c r="AD1660" s="100"/>
    </row>
    <row r="1661" s="76" customFormat="1" ht="50" hidden="1" customHeight="1" spans="1:30">
      <c r="A1661" s="101"/>
      <c r="B1661" s="101"/>
      <c r="C1661" s="101"/>
      <c r="D1661" s="101"/>
      <c r="E1661" s="101"/>
      <c r="F1661" s="101"/>
      <c r="G1661" s="101"/>
      <c r="H1661" s="94">
        <f>STOCK[[#This Row],[Precio Final]]</f>
        <v>0</v>
      </c>
      <c r="I1661" s="98">
        <f>STOCK[[#This Row],[Precio Venta Ideal (x1.5)]]</f>
        <v>0</v>
      </c>
      <c r="J1661" s="102"/>
      <c r="K1661" s="96">
        <f>SUMIFS(VENTAS[Cantidad],VENTAS[Código del producto Vendido],STOCK[[#This Row],[Code]])</f>
        <v>0</v>
      </c>
      <c r="L1661" s="96">
        <f>STOCK[[#This Row],[Entradas]]-STOCK[[#This Row],[Salidas]]</f>
        <v>0</v>
      </c>
      <c r="M1661" s="94">
        <f>STOCK[[#This Row],[Precio Final]]*10%</f>
        <v>0</v>
      </c>
      <c r="N1661" s="77">
        <v>0</v>
      </c>
      <c r="O1661" s="94">
        <v>0</v>
      </c>
      <c r="P1661" s="101"/>
      <c r="Q1661" s="91">
        <v>0</v>
      </c>
      <c r="R1661" s="76">
        <v>0</v>
      </c>
      <c r="S1661" s="76">
        <v>0</v>
      </c>
      <c r="T1661" s="94">
        <f>STOCK[[#This Row],[Costo Unitario (USD)]]+STOCK[[#This Row],[Costo Envío (USD)]]+STOCK[[#This Row],[Comisión 10%]]</f>
        <v>0</v>
      </c>
      <c r="U1661" s="76">
        <f>STOCK[[#This Row],[Costo total]]*1.5</f>
        <v>0</v>
      </c>
      <c r="V1661" s="101"/>
      <c r="W1661" s="94">
        <f>STOCK[[#This Row],[Precio Final]]-STOCK[[#This Row],[Costo total]]</f>
        <v>0</v>
      </c>
      <c r="X1661" s="94">
        <f>STOCK[[#This Row],[Ganancia Unitaria]]*STOCK[[#This Row],[Salidas]]</f>
        <v>0</v>
      </c>
      <c r="Y1661" s="103"/>
      <c r="Z1661" s="94"/>
      <c r="AA1661" s="94">
        <f>STOCK[[#This Row],[Costo total]]*STOCK[[#This Row],[Entradas]]</f>
        <v>0</v>
      </c>
      <c r="AB1661" s="94">
        <f>STOCK[[#This Row],[Stock Actual]]*STOCK[[#This Row],[Costo total]]</f>
        <v>0</v>
      </c>
      <c r="AC1661" s="94"/>
      <c r="AD1661" s="100"/>
    </row>
    <row r="1662" s="76" customFormat="1" ht="50" hidden="1" customHeight="1" spans="1:30">
      <c r="A1662" s="101"/>
      <c r="B1662" s="101"/>
      <c r="C1662" s="101"/>
      <c r="D1662" s="101"/>
      <c r="E1662" s="101"/>
      <c r="F1662" s="101"/>
      <c r="G1662" s="101"/>
      <c r="H1662" s="94">
        <f>STOCK[[#This Row],[Precio Final]]</f>
        <v>0</v>
      </c>
      <c r="I1662" s="98">
        <f>STOCK[[#This Row],[Precio Venta Ideal (x1.5)]]</f>
        <v>0</v>
      </c>
      <c r="J1662" s="102"/>
      <c r="K1662" s="96">
        <f>SUMIFS(VENTAS[Cantidad],VENTAS[Código del producto Vendido],STOCK[[#This Row],[Code]])</f>
        <v>0</v>
      </c>
      <c r="L1662" s="96">
        <f>STOCK[[#This Row],[Entradas]]-STOCK[[#This Row],[Salidas]]</f>
        <v>0</v>
      </c>
      <c r="M1662" s="94">
        <f>STOCK[[#This Row],[Precio Final]]*10%</f>
        <v>0</v>
      </c>
      <c r="N1662" s="77">
        <v>0</v>
      </c>
      <c r="O1662" s="94">
        <v>0</v>
      </c>
      <c r="P1662" s="101"/>
      <c r="Q1662" s="91">
        <v>0</v>
      </c>
      <c r="R1662" s="76">
        <v>0</v>
      </c>
      <c r="S1662" s="76">
        <v>0</v>
      </c>
      <c r="T1662" s="94">
        <f>STOCK[[#This Row],[Costo Unitario (USD)]]+STOCK[[#This Row],[Costo Envío (USD)]]+STOCK[[#This Row],[Comisión 10%]]</f>
        <v>0</v>
      </c>
      <c r="U1662" s="76">
        <f>STOCK[[#This Row],[Costo total]]*1.5</f>
        <v>0</v>
      </c>
      <c r="V1662" s="101"/>
      <c r="W1662" s="94">
        <f>STOCK[[#This Row],[Precio Final]]-STOCK[[#This Row],[Costo total]]</f>
        <v>0</v>
      </c>
      <c r="X1662" s="94">
        <f>STOCK[[#This Row],[Ganancia Unitaria]]*STOCK[[#This Row],[Salidas]]</f>
        <v>0</v>
      </c>
      <c r="Y1662" s="103"/>
      <c r="Z1662" s="94"/>
      <c r="AA1662" s="94">
        <f>STOCK[[#This Row],[Costo total]]*STOCK[[#This Row],[Entradas]]</f>
        <v>0</v>
      </c>
      <c r="AB1662" s="94">
        <f>STOCK[[#This Row],[Stock Actual]]*STOCK[[#This Row],[Costo total]]</f>
        <v>0</v>
      </c>
      <c r="AC1662" s="94"/>
      <c r="AD1662" s="100"/>
    </row>
    <row r="1663" s="76" customFormat="1" ht="50" hidden="1" customHeight="1" spans="1:30">
      <c r="A1663" s="101"/>
      <c r="B1663" s="101"/>
      <c r="C1663" s="101"/>
      <c r="D1663" s="101"/>
      <c r="E1663" s="101"/>
      <c r="F1663" s="101"/>
      <c r="G1663" s="101"/>
      <c r="H1663" s="94">
        <f>STOCK[[#This Row],[Precio Final]]</f>
        <v>0</v>
      </c>
      <c r="I1663" s="98">
        <f>STOCK[[#This Row],[Precio Venta Ideal (x1.5)]]</f>
        <v>0</v>
      </c>
      <c r="J1663" s="102"/>
      <c r="K1663" s="96">
        <f>SUMIFS(VENTAS[Cantidad],VENTAS[Código del producto Vendido],STOCK[[#This Row],[Code]])</f>
        <v>0</v>
      </c>
      <c r="L1663" s="96">
        <f>STOCK[[#This Row],[Entradas]]-STOCK[[#This Row],[Salidas]]</f>
        <v>0</v>
      </c>
      <c r="M1663" s="94">
        <f>STOCK[[#This Row],[Precio Final]]*10%</f>
        <v>0</v>
      </c>
      <c r="N1663" s="77">
        <v>0</v>
      </c>
      <c r="O1663" s="94">
        <v>0</v>
      </c>
      <c r="P1663" s="101"/>
      <c r="Q1663" s="91">
        <v>0</v>
      </c>
      <c r="R1663" s="76">
        <v>0</v>
      </c>
      <c r="S1663" s="76">
        <v>0</v>
      </c>
      <c r="T1663" s="94">
        <f>STOCK[[#This Row],[Costo Unitario (USD)]]+STOCK[[#This Row],[Costo Envío (USD)]]+STOCK[[#This Row],[Comisión 10%]]</f>
        <v>0</v>
      </c>
      <c r="U1663" s="76">
        <f>STOCK[[#This Row],[Costo total]]*1.5</f>
        <v>0</v>
      </c>
      <c r="V1663" s="101"/>
      <c r="W1663" s="94">
        <f>STOCK[[#This Row],[Precio Final]]-STOCK[[#This Row],[Costo total]]</f>
        <v>0</v>
      </c>
      <c r="X1663" s="94">
        <f>STOCK[[#This Row],[Ganancia Unitaria]]*STOCK[[#This Row],[Salidas]]</f>
        <v>0</v>
      </c>
      <c r="Y1663" s="103"/>
      <c r="Z1663" s="94"/>
      <c r="AA1663" s="94">
        <f>STOCK[[#This Row],[Costo total]]*STOCK[[#This Row],[Entradas]]</f>
        <v>0</v>
      </c>
      <c r="AB1663" s="94">
        <f>STOCK[[#This Row],[Stock Actual]]*STOCK[[#This Row],[Costo total]]</f>
        <v>0</v>
      </c>
      <c r="AC1663" s="94"/>
      <c r="AD1663" s="100"/>
    </row>
    <row r="1664" s="76" customFormat="1" ht="50" hidden="1" customHeight="1" spans="1:30">
      <c r="A1664" s="101"/>
      <c r="B1664" s="101"/>
      <c r="C1664" s="101"/>
      <c r="D1664" s="101"/>
      <c r="E1664" s="101"/>
      <c r="F1664" s="101"/>
      <c r="G1664" s="101"/>
      <c r="H1664" s="94">
        <f>STOCK[[#This Row],[Precio Final]]</f>
        <v>0</v>
      </c>
      <c r="I1664" s="98">
        <f>STOCK[[#This Row],[Precio Venta Ideal (x1.5)]]</f>
        <v>0</v>
      </c>
      <c r="J1664" s="102"/>
      <c r="K1664" s="96">
        <f>SUMIFS(VENTAS[Cantidad],VENTAS[Código del producto Vendido],STOCK[[#This Row],[Code]])</f>
        <v>0</v>
      </c>
      <c r="L1664" s="96">
        <f>STOCK[[#This Row],[Entradas]]-STOCK[[#This Row],[Salidas]]</f>
        <v>0</v>
      </c>
      <c r="M1664" s="94">
        <f>STOCK[[#This Row],[Precio Final]]*10%</f>
        <v>0</v>
      </c>
      <c r="N1664" s="77">
        <v>0</v>
      </c>
      <c r="O1664" s="94">
        <v>0</v>
      </c>
      <c r="P1664" s="101"/>
      <c r="Q1664" s="91">
        <v>0</v>
      </c>
      <c r="R1664" s="76">
        <v>0</v>
      </c>
      <c r="S1664" s="76">
        <v>0</v>
      </c>
      <c r="T1664" s="94">
        <f>STOCK[[#This Row],[Costo Unitario (USD)]]+STOCK[[#This Row],[Costo Envío (USD)]]+STOCK[[#This Row],[Comisión 10%]]</f>
        <v>0</v>
      </c>
      <c r="U1664" s="76">
        <f>STOCK[[#This Row],[Costo total]]*1.5</f>
        <v>0</v>
      </c>
      <c r="V1664" s="101"/>
      <c r="W1664" s="94">
        <f>STOCK[[#This Row],[Precio Final]]-STOCK[[#This Row],[Costo total]]</f>
        <v>0</v>
      </c>
      <c r="X1664" s="94">
        <f>STOCK[[#This Row],[Ganancia Unitaria]]*STOCK[[#This Row],[Salidas]]</f>
        <v>0</v>
      </c>
      <c r="Y1664" s="103"/>
      <c r="Z1664" s="94"/>
      <c r="AA1664" s="94">
        <f>STOCK[[#This Row],[Costo total]]*STOCK[[#This Row],[Entradas]]</f>
        <v>0</v>
      </c>
      <c r="AB1664" s="94">
        <f>STOCK[[#This Row],[Stock Actual]]*STOCK[[#This Row],[Costo total]]</f>
        <v>0</v>
      </c>
      <c r="AC1664" s="94"/>
      <c r="AD1664" s="100"/>
    </row>
    <row r="1665" s="76" customFormat="1" ht="50" hidden="1" customHeight="1" spans="1:30">
      <c r="A1665" s="101"/>
      <c r="B1665" s="101"/>
      <c r="C1665" s="101"/>
      <c r="D1665" s="101"/>
      <c r="E1665" s="101"/>
      <c r="F1665" s="101"/>
      <c r="G1665" s="101"/>
      <c r="H1665" s="94">
        <f>STOCK[[#This Row],[Precio Final]]</f>
        <v>0</v>
      </c>
      <c r="I1665" s="98">
        <f>STOCK[[#This Row],[Precio Venta Ideal (x1.5)]]</f>
        <v>0</v>
      </c>
      <c r="J1665" s="102"/>
      <c r="K1665" s="96">
        <f>SUMIFS(VENTAS[Cantidad],VENTAS[Código del producto Vendido],STOCK[[#This Row],[Code]])</f>
        <v>0</v>
      </c>
      <c r="L1665" s="96">
        <f>STOCK[[#This Row],[Entradas]]-STOCK[[#This Row],[Salidas]]</f>
        <v>0</v>
      </c>
      <c r="M1665" s="94">
        <f>STOCK[[#This Row],[Precio Final]]*10%</f>
        <v>0</v>
      </c>
      <c r="N1665" s="77">
        <v>0</v>
      </c>
      <c r="O1665" s="94">
        <v>0</v>
      </c>
      <c r="P1665" s="101"/>
      <c r="Q1665" s="91">
        <v>0</v>
      </c>
      <c r="R1665" s="76">
        <v>0</v>
      </c>
      <c r="S1665" s="76">
        <v>0</v>
      </c>
      <c r="T1665" s="94">
        <f>STOCK[[#This Row],[Costo Unitario (USD)]]+STOCK[[#This Row],[Costo Envío (USD)]]+STOCK[[#This Row],[Comisión 10%]]</f>
        <v>0</v>
      </c>
      <c r="U1665" s="76">
        <f>STOCK[[#This Row],[Costo total]]*1.5</f>
        <v>0</v>
      </c>
      <c r="V1665" s="101"/>
      <c r="W1665" s="94">
        <f>STOCK[[#This Row],[Precio Final]]-STOCK[[#This Row],[Costo total]]</f>
        <v>0</v>
      </c>
      <c r="X1665" s="94">
        <f>STOCK[[#This Row],[Ganancia Unitaria]]*STOCK[[#This Row],[Salidas]]</f>
        <v>0</v>
      </c>
      <c r="Y1665" s="103"/>
      <c r="Z1665" s="94"/>
      <c r="AA1665" s="94">
        <f>STOCK[[#This Row],[Costo total]]*STOCK[[#This Row],[Entradas]]</f>
        <v>0</v>
      </c>
      <c r="AB1665" s="94">
        <f>STOCK[[#This Row],[Stock Actual]]*STOCK[[#This Row],[Costo total]]</f>
        <v>0</v>
      </c>
      <c r="AC1665" s="94"/>
      <c r="AD1665" s="100"/>
    </row>
    <row r="1666" s="76" customFormat="1" ht="50" hidden="1" customHeight="1" spans="1:30">
      <c r="A1666" s="101"/>
      <c r="B1666" s="101"/>
      <c r="C1666" s="101"/>
      <c r="D1666" s="101"/>
      <c r="E1666" s="101"/>
      <c r="F1666" s="101"/>
      <c r="G1666" s="101"/>
      <c r="H1666" s="94">
        <f>STOCK[[#This Row],[Precio Final]]</f>
        <v>0</v>
      </c>
      <c r="I1666" s="98">
        <f>STOCK[[#This Row],[Precio Venta Ideal (x1.5)]]</f>
        <v>0</v>
      </c>
      <c r="J1666" s="102"/>
      <c r="K1666" s="96">
        <f>SUMIFS(VENTAS[Cantidad],VENTAS[Código del producto Vendido],STOCK[[#This Row],[Code]])</f>
        <v>0</v>
      </c>
      <c r="L1666" s="96">
        <f>STOCK[[#This Row],[Entradas]]-STOCK[[#This Row],[Salidas]]</f>
        <v>0</v>
      </c>
      <c r="M1666" s="94">
        <f>STOCK[[#This Row],[Precio Final]]*10%</f>
        <v>0</v>
      </c>
      <c r="N1666" s="77">
        <v>0</v>
      </c>
      <c r="O1666" s="94">
        <v>0</v>
      </c>
      <c r="P1666" s="101"/>
      <c r="Q1666" s="91">
        <v>0</v>
      </c>
      <c r="R1666" s="76">
        <v>0</v>
      </c>
      <c r="S1666" s="76">
        <v>0</v>
      </c>
      <c r="T1666" s="94">
        <f>STOCK[[#This Row],[Costo Unitario (USD)]]+STOCK[[#This Row],[Costo Envío (USD)]]+STOCK[[#This Row],[Comisión 10%]]</f>
        <v>0</v>
      </c>
      <c r="U1666" s="76">
        <f>STOCK[[#This Row],[Costo total]]*1.5</f>
        <v>0</v>
      </c>
      <c r="V1666" s="101"/>
      <c r="W1666" s="94">
        <f>STOCK[[#This Row],[Precio Final]]-STOCK[[#This Row],[Costo total]]</f>
        <v>0</v>
      </c>
      <c r="X1666" s="94">
        <f>STOCK[[#This Row],[Ganancia Unitaria]]*STOCK[[#This Row],[Salidas]]</f>
        <v>0</v>
      </c>
      <c r="Y1666" s="103"/>
      <c r="Z1666" s="94"/>
      <c r="AA1666" s="94">
        <f>STOCK[[#This Row],[Costo total]]*STOCK[[#This Row],[Entradas]]</f>
        <v>0</v>
      </c>
      <c r="AB1666" s="94">
        <f>STOCK[[#This Row],[Stock Actual]]*STOCK[[#This Row],[Costo total]]</f>
        <v>0</v>
      </c>
      <c r="AC1666" s="94"/>
      <c r="AD1666" s="100"/>
    </row>
    <row r="1667" s="76" customFormat="1" ht="50" hidden="1" customHeight="1" spans="1:30">
      <c r="A1667" s="101"/>
      <c r="B1667" s="101"/>
      <c r="C1667" s="101"/>
      <c r="D1667" s="101"/>
      <c r="E1667" s="101"/>
      <c r="F1667" s="101"/>
      <c r="G1667" s="101"/>
      <c r="H1667" s="94">
        <f>STOCK[[#This Row],[Precio Final]]</f>
        <v>0</v>
      </c>
      <c r="I1667" s="98">
        <f>STOCK[[#This Row],[Precio Venta Ideal (x1.5)]]</f>
        <v>0</v>
      </c>
      <c r="J1667" s="102"/>
      <c r="K1667" s="96">
        <f>SUMIFS(VENTAS[Cantidad],VENTAS[Código del producto Vendido],STOCK[[#This Row],[Code]])</f>
        <v>0</v>
      </c>
      <c r="L1667" s="96">
        <f>STOCK[[#This Row],[Entradas]]-STOCK[[#This Row],[Salidas]]</f>
        <v>0</v>
      </c>
      <c r="M1667" s="94">
        <f>STOCK[[#This Row],[Precio Final]]*10%</f>
        <v>0</v>
      </c>
      <c r="N1667" s="77">
        <v>0</v>
      </c>
      <c r="O1667" s="94">
        <v>0</v>
      </c>
      <c r="P1667" s="101"/>
      <c r="Q1667" s="91">
        <v>0</v>
      </c>
      <c r="R1667" s="76">
        <v>0</v>
      </c>
      <c r="S1667" s="76">
        <v>0</v>
      </c>
      <c r="T1667" s="94">
        <f>STOCK[[#This Row],[Costo Unitario (USD)]]+STOCK[[#This Row],[Costo Envío (USD)]]+STOCK[[#This Row],[Comisión 10%]]</f>
        <v>0</v>
      </c>
      <c r="U1667" s="76">
        <f>STOCK[[#This Row],[Costo total]]*1.5</f>
        <v>0</v>
      </c>
      <c r="V1667" s="101"/>
      <c r="W1667" s="94">
        <f>STOCK[[#This Row],[Precio Final]]-STOCK[[#This Row],[Costo total]]</f>
        <v>0</v>
      </c>
      <c r="X1667" s="94">
        <f>STOCK[[#This Row],[Ganancia Unitaria]]*STOCK[[#This Row],[Salidas]]</f>
        <v>0</v>
      </c>
      <c r="Y1667" s="103"/>
      <c r="Z1667" s="94"/>
      <c r="AA1667" s="94">
        <f>STOCK[[#This Row],[Costo total]]*STOCK[[#This Row],[Entradas]]</f>
        <v>0</v>
      </c>
      <c r="AB1667" s="94">
        <f>STOCK[[#This Row],[Stock Actual]]*STOCK[[#This Row],[Costo total]]</f>
        <v>0</v>
      </c>
      <c r="AC1667" s="94"/>
      <c r="AD1667" s="100"/>
    </row>
    <row r="1668" s="76" customFormat="1" ht="50" hidden="1" customHeight="1" spans="1:30">
      <c r="A1668" s="101"/>
      <c r="B1668" s="101"/>
      <c r="C1668" s="101"/>
      <c r="D1668" s="101"/>
      <c r="E1668" s="101"/>
      <c r="F1668" s="101"/>
      <c r="G1668" s="101"/>
      <c r="H1668" s="94">
        <f>STOCK[[#This Row],[Precio Final]]</f>
        <v>0</v>
      </c>
      <c r="I1668" s="98">
        <f>STOCK[[#This Row],[Precio Venta Ideal (x1.5)]]</f>
        <v>0</v>
      </c>
      <c r="J1668" s="102"/>
      <c r="K1668" s="96">
        <f>SUMIFS(VENTAS[Cantidad],VENTAS[Código del producto Vendido],STOCK[[#This Row],[Code]])</f>
        <v>0</v>
      </c>
      <c r="L1668" s="96">
        <f>STOCK[[#This Row],[Entradas]]-STOCK[[#This Row],[Salidas]]</f>
        <v>0</v>
      </c>
      <c r="M1668" s="94">
        <f>STOCK[[#This Row],[Precio Final]]*10%</f>
        <v>0</v>
      </c>
      <c r="N1668" s="77">
        <v>0</v>
      </c>
      <c r="O1668" s="94">
        <v>0</v>
      </c>
      <c r="P1668" s="101"/>
      <c r="Q1668" s="91">
        <v>0</v>
      </c>
      <c r="R1668" s="76">
        <v>0</v>
      </c>
      <c r="S1668" s="76">
        <v>0</v>
      </c>
      <c r="T1668" s="94">
        <f>STOCK[[#This Row],[Costo Unitario (USD)]]+STOCK[[#This Row],[Costo Envío (USD)]]+STOCK[[#This Row],[Comisión 10%]]</f>
        <v>0</v>
      </c>
      <c r="U1668" s="76">
        <f>STOCK[[#This Row],[Costo total]]*1.5</f>
        <v>0</v>
      </c>
      <c r="V1668" s="101"/>
      <c r="W1668" s="94">
        <f>STOCK[[#This Row],[Precio Final]]-STOCK[[#This Row],[Costo total]]</f>
        <v>0</v>
      </c>
      <c r="X1668" s="94">
        <f>STOCK[[#This Row],[Ganancia Unitaria]]*STOCK[[#This Row],[Salidas]]</f>
        <v>0</v>
      </c>
      <c r="Y1668" s="103"/>
      <c r="Z1668" s="94"/>
      <c r="AA1668" s="94">
        <f>STOCK[[#This Row],[Costo total]]*STOCK[[#This Row],[Entradas]]</f>
        <v>0</v>
      </c>
      <c r="AB1668" s="94">
        <f>STOCK[[#This Row],[Stock Actual]]*STOCK[[#This Row],[Costo total]]</f>
        <v>0</v>
      </c>
      <c r="AC1668" s="94"/>
      <c r="AD1668" s="100"/>
    </row>
    <row r="1669" s="76" customFormat="1" ht="50" hidden="1" customHeight="1" spans="1:30">
      <c r="A1669" s="101"/>
      <c r="B1669" s="101"/>
      <c r="C1669" s="101"/>
      <c r="D1669" s="101"/>
      <c r="E1669" s="101"/>
      <c r="F1669" s="101"/>
      <c r="G1669" s="101"/>
      <c r="H1669" s="94">
        <f>STOCK[[#This Row],[Precio Final]]</f>
        <v>0</v>
      </c>
      <c r="I1669" s="98">
        <f>STOCK[[#This Row],[Precio Venta Ideal (x1.5)]]</f>
        <v>0</v>
      </c>
      <c r="J1669" s="102"/>
      <c r="K1669" s="96">
        <f>SUMIFS(VENTAS[Cantidad],VENTAS[Código del producto Vendido],STOCK[[#This Row],[Code]])</f>
        <v>0</v>
      </c>
      <c r="L1669" s="96">
        <f>STOCK[[#This Row],[Entradas]]-STOCK[[#This Row],[Salidas]]</f>
        <v>0</v>
      </c>
      <c r="M1669" s="94">
        <f>STOCK[[#This Row],[Precio Final]]*10%</f>
        <v>0</v>
      </c>
      <c r="N1669" s="77">
        <v>0</v>
      </c>
      <c r="O1669" s="94">
        <v>0</v>
      </c>
      <c r="P1669" s="101"/>
      <c r="Q1669" s="91">
        <v>0</v>
      </c>
      <c r="R1669" s="76">
        <v>0</v>
      </c>
      <c r="S1669" s="76">
        <v>0</v>
      </c>
      <c r="T1669" s="94">
        <f>STOCK[[#This Row],[Costo Unitario (USD)]]+STOCK[[#This Row],[Costo Envío (USD)]]+STOCK[[#This Row],[Comisión 10%]]</f>
        <v>0</v>
      </c>
      <c r="U1669" s="76">
        <f>STOCK[[#This Row],[Costo total]]*1.5</f>
        <v>0</v>
      </c>
      <c r="V1669" s="101"/>
      <c r="W1669" s="94">
        <f>STOCK[[#This Row],[Precio Final]]-STOCK[[#This Row],[Costo total]]</f>
        <v>0</v>
      </c>
      <c r="X1669" s="94">
        <f>STOCK[[#This Row],[Ganancia Unitaria]]*STOCK[[#This Row],[Salidas]]</f>
        <v>0</v>
      </c>
      <c r="Y1669" s="103"/>
      <c r="Z1669" s="94"/>
      <c r="AA1669" s="94">
        <f>STOCK[[#This Row],[Costo total]]*STOCK[[#This Row],[Entradas]]</f>
        <v>0</v>
      </c>
      <c r="AB1669" s="94">
        <f>STOCK[[#This Row],[Stock Actual]]*STOCK[[#This Row],[Costo total]]</f>
        <v>0</v>
      </c>
      <c r="AC1669" s="94"/>
      <c r="AD1669" s="100"/>
    </row>
    <row r="1670" s="76" customFormat="1" ht="50" hidden="1" customHeight="1" spans="1:30">
      <c r="A1670" s="101"/>
      <c r="B1670" s="101"/>
      <c r="C1670" s="101"/>
      <c r="D1670" s="101"/>
      <c r="E1670" s="101"/>
      <c r="F1670" s="101"/>
      <c r="G1670" s="101"/>
      <c r="H1670" s="94">
        <f>STOCK[[#This Row],[Precio Final]]</f>
        <v>0</v>
      </c>
      <c r="I1670" s="98">
        <f>STOCK[[#This Row],[Precio Venta Ideal (x1.5)]]</f>
        <v>0</v>
      </c>
      <c r="J1670" s="102"/>
      <c r="K1670" s="96">
        <f>SUMIFS(VENTAS[Cantidad],VENTAS[Código del producto Vendido],STOCK[[#This Row],[Code]])</f>
        <v>0</v>
      </c>
      <c r="L1670" s="96">
        <f>STOCK[[#This Row],[Entradas]]-STOCK[[#This Row],[Salidas]]</f>
        <v>0</v>
      </c>
      <c r="M1670" s="94">
        <f>STOCK[[#This Row],[Precio Final]]*10%</f>
        <v>0</v>
      </c>
      <c r="N1670" s="77">
        <v>0</v>
      </c>
      <c r="O1670" s="94">
        <v>0</v>
      </c>
      <c r="P1670" s="101"/>
      <c r="Q1670" s="91">
        <v>0</v>
      </c>
      <c r="R1670" s="76">
        <v>0</v>
      </c>
      <c r="S1670" s="76">
        <v>0</v>
      </c>
      <c r="T1670" s="94">
        <f>STOCK[[#This Row],[Costo Unitario (USD)]]+STOCK[[#This Row],[Costo Envío (USD)]]+STOCK[[#This Row],[Comisión 10%]]</f>
        <v>0</v>
      </c>
      <c r="U1670" s="76">
        <f>STOCK[[#This Row],[Costo total]]*1.5</f>
        <v>0</v>
      </c>
      <c r="V1670" s="101"/>
      <c r="W1670" s="94">
        <f>STOCK[[#This Row],[Precio Final]]-STOCK[[#This Row],[Costo total]]</f>
        <v>0</v>
      </c>
      <c r="X1670" s="94">
        <f>STOCK[[#This Row],[Ganancia Unitaria]]*STOCK[[#This Row],[Salidas]]</f>
        <v>0</v>
      </c>
      <c r="Y1670" s="103"/>
      <c r="Z1670" s="94"/>
      <c r="AA1670" s="94">
        <f>STOCK[[#This Row],[Costo total]]*STOCK[[#This Row],[Entradas]]</f>
        <v>0</v>
      </c>
      <c r="AB1670" s="94">
        <f>STOCK[[#This Row],[Stock Actual]]*STOCK[[#This Row],[Costo total]]</f>
        <v>0</v>
      </c>
      <c r="AC1670" s="94"/>
      <c r="AD1670" s="100"/>
    </row>
    <row r="1671" s="76" customFormat="1" ht="50" hidden="1" customHeight="1" spans="1:30">
      <c r="A1671" s="101"/>
      <c r="B1671" s="101"/>
      <c r="C1671" s="101"/>
      <c r="D1671" s="101"/>
      <c r="E1671" s="101"/>
      <c r="F1671" s="101"/>
      <c r="G1671" s="101"/>
      <c r="H1671" s="94">
        <f>STOCK[[#This Row],[Precio Final]]</f>
        <v>0</v>
      </c>
      <c r="I1671" s="98">
        <f>STOCK[[#This Row],[Precio Venta Ideal (x1.5)]]</f>
        <v>0</v>
      </c>
      <c r="J1671" s="102"/>
      <c r="K1671" s="96">
        <f>SUMIFS(VENTAS[Cantidad],VENTAS[Código del producto Vendido],STOCK[[#This Row],[Code]])</f>
        <v>0</v>
      </c>
      <c r="L1671" s="96">
        <f>STOCK[[#This Row],[Entradas]]-STOCK[[#This Row],[Salidas]]</f>
        <v>0</v>
      </c>
      <c r="M1671" s="94">
        <f>STOCK[[#This Row],[Precio Final]]*10%</f>
        <v>0</v>
      </c>
      <c r="N1671" s="77">
        <v>0</v>
      </c>
      <c r="O1671" s="94">
        <v>0</v>
      </c>
      <c r="P1671" s="101"/>
      <c r="Q1671" s="91">
        <v>0</v>
      </c>
      <c r="R1671" s="76">
        <v>0</v>
      </c>
      <c r="S1671" s="76">
        <v>0</v>
      </c>
      <c r="T1671" s="94">
        <f>STOCK[[#This Row],[Costo Unitario (USD)]]+STOCK[[#This Row],[Costo Envío (USD)]]+STOCK[[#This Row],[Comisión 10%]]</f>
        <v>0</v>
      </c>
      <c r="U1671" s="76">
        <f>STOCK[[#This Row],[Costo total]]*1.5</f>
        <v>0</v>
      </c>
      <c r="V1671" s="101"/>
      <c r="W1671" s="94">
        <f>STOCK[[#This Row],[Precio Final]]-STOCK[[#This Row],[Costo total]]</f>
        <v>0</v>
      </c>
      <c r="X1671" s="94">
        <f>STOCK[[#This Row],[Ganancia Unitaria]]*STOCK[[#This Row],[Salidas]]</f>
        <v>0</v>
      </c>
      <c r="Y1671" s="103"/>
      <c r="Z1671" s="94"/>
      <c r="AA1671" s="94">
        <f>STOCK[[#This Row],[Costo total]]*STOCK[[#This Row],[Entradas]]</f>
        <v>0</v>
      </c>
      <c r="AB1671" s="94">
        <f>STOCK[[#This Row],[Stock Actual]]*STOCK[[#This Row],[Costo total]]</f>
        <v>0</v>
      </c>
      <c r="AC1671" s="94"/>
      <c r="AD1671" s="100"/>
    </row>
    <row r="1672" s="76" customFormat="1" ht="50" hidden="1" customHeight="1" spans="1:30">
      <c r="A1672" s="101"/>
      <c r="B1672" s="101"/>
      <c r="C1672" s="101"/>
      <c r="D1672" s="101"/>
      <c r="E1672" s="101"/>
      <c r="F1672" s="101"/>
      <c r="G1672" s="101"/>
      <c r="H1672" s="94">
        <f>STOCK[[#This Row],[Precio Final]]</f>
        <v>0</v>
      </c>
      <c r="I1672" s="98">
        <f>STOCK[[#This Row],[Precio Venta Ideal (x1.5)]]</f>
        <v>0</v>
      </c>
      <c r="J1672" s="102"/>
      <c r="K1672" s="96">
        <f>SUMIFS(VENTAS[Cantidad],VENTAS[Código del producto Vendido],STOCK[[#This Row],[Code]])</f>
        <v>0</v>
      </c>
      <c r="L1672" s="96">
        <f>STOCK[[#This Row],[Entradas]]-STOCK[[#This Row],[Salidas]]</f>
        <v>0</v>
      </c>
      <c r="M1672" s="94">
        <f>STOCK[[#This Row],[Precio Final]]*10%</f>
        <v>0</v>
      </c>
      <c r="N1672" s="77">
        <v>0</v>
      </c>
      <c r="O1672" s="94">
        <v>0</v>
      </c>
      <c r="P1672" s="101"/>
      <c r="Q1672" s="91">
        <v>0</v>
      </c>
      <c r="R1672" s="76">
        <v>0</v>
      </c>
      <c r="S1672" s="76">
        <v>0</v>
      </c>
      <c r="T1672" s="94">
        <f>STOCK[[#This Row],[Costo Unitario (USD)]]+STOCK[[#This Row],[Costo Envío (USD)]]+STOCK[[#This Row],[Comisión 10%]]</f>
        <v>0</v>
      </c>
      <c r="U1672" s="76">
        <f>STOCK[[#This Row],[Costo total]]*1.5</f>
        <v>0</v>
      </c>
      <c r="V1672" s="101"/>
      <c r="W1672" s="94">
        <f>STOCK[[#This Row],[Precio Final]]-STOCK[[#This Row],[Costo total]]</f>
        <v>0</v>
      </c>
      <c r="X1672" s="94">
        <f>STOCK[[#This Row],[Ganancia Unitaria]]*STOCK[[#This Row],[Salidas]]</f>
        <v>0</v>
      </c>
      <c r="Y1672" s="103"/>
      <c r="Z1672" s="94"/>
      <c r="AA1672" s="94">
        <f>STOCK[[#This Row],[Costo total]]*STOCK[[#This Row],[Entradas]]</f>
        <v>0</v>
      </c>
      <c r="AB1672" s="94">
        <f>STOCK[[#This Row],[Stock Actual]]*STOCK[[#This Row],[Costo total]]</f>
        <v>0</v>
      </c>
      <c r="AC1672" s="94"/>
      <c r="AD1672" s="100"/>
    </row>
    <row r="1673" s="76" customFormat="1" ht="204" hidden="1" customHeight="1" spans="1:30">
      <c r="A1673" s="104" t="s">
        <v>3281</v>
      </c>
      <c r="B1673" s="105" t="s">
        <v>3282</v>
      </c>
      <c r="C1673" s="105" t="s">
        <v>3282</v>
      </c>
      <c r="D1673" s="104" t="s">
        <v>3281</v>
      </c>
      <c r="E1673" s="104" t="s">
        <v>3281</v>
      </c>
      <c r="F1673" s="104" t="s">
        <v>3281</v>
      </c>
      <c r="G1673" s="106"/>
      <c r="H1673" s="105" t="s">
        <v>3282</v>
      </c>
      <c r="I1673" s="105" t="s">
        <v>3282</v>
      </c>
      <c r="J1673" s="104">
        <v>2</v>
      </c>
      <c r="K1673" s="105" t="s">
        <v>3282</v>
      </c>
      <c r="L1673" s="105" t="s">
        <v>3282</v>
      </c>
      <c r="M1673" s="105" t="s">
        <v>3282</v>
      </c>
      <c r="N1673" s="106"/>
      <c r="O1673" s="106"/>
      <c r="P1673" s="104" t="s">
        <v>3281</v>
      </c>
      <c r="Q1673" s="106"/>
      <c r="R1673" s="106"/>
      <c r="S1673" s="104" t="s">
        <v>3281</v>
      </c>
      <c r="T1673" s="105" t="s">
        <v>3282</v>
      </c>
      <c r="U1673" s="105" t="s">
        <v>3282</v>
      </c>
      <c r="V1673" s="104" t="s">
        <v>3281</v>
      </c>
      <c r="W1673" s="105" t="s">
        <v>3282</v>
      </c>
      <c r="X1673" s="105" t="s">
        <v>3282</v>
      </c>
      <c r="Y1673" s="107"/>
      <c r="Z1673" s="106"/>
      <c r="AA1673" s="105" t="s">
        <v>3282</v>
      </c>
      <c r="AB1673" s="105" t="s">
        <v>3282</v>
      </c>
      <c r="AC1673" s="106"/>
      <c r="AD1673" s="100"/>
    </row>
    <row r="1674" s="78" customFormat="1" ht="50" customHeight="1" spans="1:29">
      <c r="A1674" s="80"/>
      <c r="B1674" s="80"/>
      <c r="C1674" s="80"/>
      <c r="D1674" s="81"/>
      <c r="E1674" s="82"/>
      <c r="F1674" s="82"/>
      <c r="G1674" s="80"/>
      <c r="H1674" s="80"/>
      <c r="I1674" s="80"/>
      <c r="J1674" s="80"/>
      <c r="K1674" s="80"/>
      <c r="L1674" s="80"/>
      <c r="M1674" s="80"/>
      <c r="N1674" s="80"/>
      <c r="O1674" s="83"/>
      <c r="P1674" s="83"/>
      <c r="Q1674" s="80"/>
      <c r="R1674" s="80"/>
      <c r="S1674" s="83"/>
      <c r="T1674" s="83"/>
      <c r="U1674" s="84"/>
      <c r="V1674" s="83"/>
      <c r="W1674" s="83"/>
      <c r="X1674" s="83"/>
      <c r="Y1674" s="85"/>
      <c r="Z1674" s="80"/>
      <c r="AA1674" s="80"/>
      <c r="AB1674" s="80"/>
      <c r="AC1674" s="80"/>
    </row>
    <row r="1675" s="78" customFormat="1" ht="50" customHeight="1" spans="1:29">
      <c r="A1675" s="80"/>
      <c r="B1675" s="80"/>
      <c r="C1675" s="80"/>
      <c r="D1675" s="81"/>
      <c r="E1675" s="82"/>
      <c r="F1675" s="82"/>
      <c r="G1675" s="80"/>
      <c r="H1675" s="80"/>
      <c r="I1675" s="80"/>
      <c r="J1675" s="80"/>
      <c r="K1675" s="80"/>
      <c r="L1675" s="80"/>
      <c r="M1675" s="80"/>
      <c r="N1675" s="80"/>
      <c r="O1675" s="83"/>
      <c r="P1675" s="83"/>
      <c r="Q1675" s="80"/>
      <c r="R1675" s="80"/>
      <c r="S1675" s="83"/>
      <c r="T1675" s="83"/>
      <c r="U1675" s="84"/>
      <c r="V1675" s="83"/>
      <c r="W1675" s="83"/>
      <c r="X1675" s="83"/>
      <c r="Y1675" s="85"/>
      <c r="Z1675" s="80"/>
      <c r="AA1675" s="80"/>
      <c r="AB1675" s="80"/>
      <c r="AC1675" s="80"/>
    </row>
    <row r="1676" s="78" customFormat="1" ht="50" customHeight="1" spans="1:29">
      <c r="A1676" s="80"/>
      <c r="B1676" s="80"/>
      <c r="C1676" s="80"/>
      <c r="D1676" s="81"/>
      <c r="E1676" s="82"/>
      <c r="F1676" s="82"/>
      <c r="G1676" s="80"/>
      <c r="H1676" s="80"/>
      <c r="I1676" s="80"/>
      <c r="J1676" s="80"/>
      <c r="K1676" s="80"/>
      <c r="L1676" s="80"/>
      <c r="M1676" s="80"/>
      <c r="N1676" s="80"/>
      <c r="O1676" s="83"/>
      <c r="P1676" s="83"/>
      <c r="Q1676" s="80"/>
      <c r="R1676" s="80"/>
      <c r="S1676" s="83"/>
      <c r="T1676" s="83"/>
      <c r="U1676" s="84"/>
      <c r="V1676" s="83"/>
      <c r="W1676" s="83"/>
      <c r="X1676" s="83"/>
      <c r="Y1676" s="85"/>
      <c r="Z1676" s="80"/>
      <c r="AA1676" s="80"/>
      <c r="AB1676" s="80"/>
      <c r="AC1676" s="80"/>
    </row>
    <row r="1677" s="79" customFormat="1" ht="12.4" spans="1:29">
      <c r="A1677" s="80"/>
      <c r="B1677" s="80"/>
      <c r="C1677" s="80"/>
      <c r="D1677" s="81"/>
      <c r="E1677" s="82"/>
      <c r="F1677" s="82"/>
      <c r="G1677" s="80"/>
      <c r="H1677" s="80"/>
      <c r="I1677" s="80"/>
      <c r="J1677" s="80"/>
      <c r="K1677" s="80"/>
      <c r="L1677" s="80"/>
      <c r="M1677" s="80"/>
      <c r="N1677" s="80"/>
      <c r="O1677" s="83"/>
      <c r="P1677" s="83"/>
      <c r="Q1677" s="80"/>
      <c r="R1677" s="80"/>
      <c r="S1677" s="83"/>
      <c r="T1677" s="83"/>
      <c r="U1677" s="84"/>
      <c r="V1677" s="83"/>
      <c r="W1677" s="83"/>
      <c r="X1677" s="83"/>
      <c r="Y1677" s="85"/>
      <c r="Z1677" s="80"/>
      <c r="AA1677" s="80"/>
      <c r="AB1677" s="80"/>
      <c r="AC1677" s="80"/>
    </row>
  </sheetData>
  <conditionalFormatting sqref="A2:B2">
    <cfRule type="expression" dxfId="29" priority="210">
      <formula>$L2=0</formula>
    </cfRule>
    <cfRule type="duplicateValues" dxfId="30" priority="2732"/>
  </conditionalFormatting>
  <conditionalFormatting sqref="C2">
    <cfRule type="expression" dxfId="29" priority="206">
      <formula>$L2=0</formula>
    </cfRule>
  </conditionalFormatting>
  <conditionalFormatting sqref="D2:G2">
    <cfRule type="expression" dxfId="29" priority="207">
      <formula>$L2=0</formula>
    </cfRule>
  </conditionalFormatting>
  <conditionalFormatting sqref="N2:R2">
    <cfRule type="expression" dxfId="29" priority="208">
      <formula>$L2=0</formula>
    </cfRule>
  </conditionalFormatting>
  <conditionalFormatting sqref="U2">
    <cfRule type="expression" dxfId="29" priority="205">
      <formula>$L2=0</formula>
    </cfRule>
  </conditionalFormatting>
  <conditionalFormatting sqref="Y2">
    <cfRule type="expression" dxfId="29" priority="70">
      <formula>$L2=0</formula>
    </cfRule>
  </conditionalFormatting>
  <conditionalFormatting sqref="Z2:AC2">
    <cfRule type="expression" dxfId="29" priority="69">
      <formula>$L2=0</formula>
    </cfRule>
  </conditionalFormatting>
  <conditionalFormatting sqref="A3:B3">
    <cfRule type="expression" dxfId="29" priority="157">
      <formula>$L3=0</formula>
    </cfRule>
    <cfRule type="duplicateValues" dxfId="30" priority="2733"/>
  </conditionalFormatting>
  <conditionalFormatting sqref="C3">
    <cfRule type="expression" dxfId="29" priority="153">
      <formula>$L3=0</formula>
    </cfRule>
  </conditionalFormatting>
  <conditionalFormatting sqref="D3:G3">
    <cfRule type="expression" dxfId="29" priority="154">
      <formula>$L3=0</formula>
    </cfRule>
  </conditionalFormatting>
  <conditionalFormatting sqref="N3:R3">
    <cfRule type="expression" dxfId="29" priority="155">
      <formula>$L3=0</formula>
    </cfRule>
    <cfRule type="containsBlanks" dxfId="31" priority="156">
      <formula>LEN(TRIM(N3))=0</formula>
    </cfRule>
  </conditionalFormatting>
  <conditionalFormatting sqref="Y3:AC3">
    <cfRule type="expression" dxfId="29" priority="68">
      <formula>$L3=0</formula>
    </cfRule>
  </conditionalFormatting>
  <conditionalFormatting sqref="C1528:C1672">
    <cfRule type="expression" dxfId="29" priority="6">
      <formula>$L1528=0</formula>
    </cfRule>
  </conditionalFormatting>
  <conditionalFormatting sqref="P1212:P1213">
    <cfRule type="expression" dxfId="29" priority="28">
      <formula>$L1212=0</formula>
    </cfRule>
    <cfRule type="containsBlanks" dxfId="31" priority="29">
      <formula>LEN(TRIM(P1212))=0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429 L1313:AC1344 L1345:T1429 V1345:AC1465 V1466:X1527 A1313:J1429 A1430:T1527 H1528:I1672 K1528:M1672 O1528:O1672 T1528:T1539 U1345:U1539 W1528:X1539 Y1466:AC1539 T1540:U1672 W1540:AC1672">
    <cfRule type="expression" dxfId="29" priority="211">
      <formula>$L2=0</formula>
    </cfRule>
  </conditionalFormatting>
  <conditionalFormatting sqref="L2:M1672">
    <cfRule type="cellIs" dxfId="31" priority="213" operator="lessThan">
      <formula>0</formula>
    </cfRule>
    <cfRule type="cellIs" dxfId="32" priority="214" operator="lessThan">
      <formula>0</formula>
    </cfRule>
  </conditionalFormatting>
  <conditionalFormatting sqref="N2:R2 N1313:R1527 O1528:O1672">
    <cfRule type="containsBlanks" dxfId="31" priority="209">
      <formula>LEN(TRIM(N2))=0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9" priority="45">
      <formula>$L4=0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30" priority="46"/>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9" priority="41">
      <formula>$L4=0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 D361:D362 F549:G549 E676 E1020 D892:E893 D53">
    <cfRule type="expression" dxfId="29" priority="4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9" priority="43">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31" priority="44">
      <formula>LEN(TRIM(N4))=0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9" priority="40">
      <formula>$L4=0</formula>
    </cfRule>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29" priority="33">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29" priority="32">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29" priority="39">
      <formula>$L5=0</formula>
    </cfRule>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30" priority="47"/>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29" priority="35">
      <formula>$L5=0</formula>
    </cfRule>
  </conditionalFormatting>
  <conditionalFormatting sqref="D5:G5 D7:G7 D9:G9 D11:G11 D13:G13 D15:G15 D17:G17 D19:G19 D21:G21 D23:G23 D27:G27 D29:G29 D31:G31 D33:G33 D35:G35 D37:G37 D39:G39 D41:G41 D43:G43 D45:G45 D47:G47 D49:G49 D51:G51 E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29" priority="36">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29" priority="37">
      <formula>$L5=0</formula>
    </cfRule>
    <cfRule type="containsBlanks" dxfId="31" priority="38">
      <formula>LEN(TRIM(N5))=0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29" priority="31">
      <formula>$L5=0</formula>
    </cfRule>
  </conditionalFormatting>
  <conditionalFormatting sqref="A1313:B1527">
    <cfRule type="duplicateValues" dxfId="30" priority="2782"/>
  </conditionalFormatting>
  <conditionalFormatting sqref="A1528:B1672">
    <cfRule type="expression" dxfId="29" priority="10">
      <formula>$L1528=0</formula>
    </cfRule>
    <cfRule type="duplicateValues" dxfId="30" priority="11"/>
  </conditionalFormatting>
  <conditionalFormatting sqref="D1528:G1672">
    <cfRule type="expression" dxfId="29" priority="7">
      <formula>$L1528=0</formula>
    </cfRule>
  </conditionalFormatting>
  <conditionalFormatting sqref="V1528:V1672 S1528:S1672 J1528:J1672">
    <cfRule type="expression" dxfId="29" priority="13">
      <formula>$L1528=0</formula>
    </cfRule>
  </conditionalFormatting>
  <conditionalFormatting sqref="N1529:N1530 N1534:N1535 N1532 N1537 Q1528 Q1531:R1531 Q1534 Q1537:R1537 R1529 R1533 R1535 R1538:R1539 N1542:N1543 N1540 N1545 Q1541:R1541 Q1544 R1543 R1545 N1547 N1549 Q1549 R1548 R1550 N1554:N1555 N1552 N1557:N1558 Q1553 Q1556:R1556 R1552 R1554 N1560:N1561 N1565:N1566 N1570:N1571 N1563 N1568 Q1560 Q1563:R1563 Q1566 Q1569:R1569 Q1572 R1559 R1561 R1565 R1567 R1571 R1573 Q1575:R1575 R1577 R1579 Q1581:R1581 R1583 R1585 Q1587:R1587 R1589 R1591 Q1593:R1593 R1595 R1597 Q1599:R1599 R1601 R1603 Q1605:R1605 R1607 R1609 Q1611:R1611 R1613 R1615 Q1617:R1617 R1619 R1621 N1573:N1574 N1576:N1577 N1579:N1580 N1582:N1583 N1585:N1586 N1588:N1589 N1591:N1592 N1594:N1595 N1597:N1598 N1600:N1601 N1603:N1604 N1606:N1607 N1609:N1610 N1612:N1613 N1615:N1616 N1618:N1619 N1621:N1622 N1624:N1625 N1627:N1628 N1630:N1631 N1633:N1634 N1636:N1637 N1639:N1640 N1642:N1643 N1645:N1672 Q1578 Q1584 Q1590 Q1596 Q1602 Q1608 Q1614 Q1620 Q1623 Q1626 Q1629 Q1632 Q1635 Q1638 Q1641 Q1644">
    <cfRule type="expression" dxfId="29" priority="3">
      <formula>$L1528=0</formula>
    </cfRule>
    <cfRule type="containsBlanks" dxfId="31" priority="4">
      <formula>LEN(TRIM(N1528))=0</formula>
    </cfRule>
  </conditionalFormatting>
  <conditionalFormatting sqref="P1528:P1672 N1531 N1536 N1528 N1533 Q1529:Q1530 Q1532:Q1533 Q1535:Q1536 R1528 R1530 R1532 R1534 R1536 N1538:N1539 Q1538:Q1539 N1544 N1541 N1546 Q1540:R1540 Q1542:Q1543 Q1545:Q1548 R1542 R1544 R1546:R1547 N1548 N1550:N1551 Q1550:Q1552 R1549 N1556 N1553 Q1554:Q1555 Q1557:R1557 R1551 R1553 R1555 N1562 N1567 N1572 N1559 N1564 N1569 Q1558:Q1559 Q1561:Q1562 Q1564:Q1565 Q1567:Q1568 Q1570:Q1571 R1560 R1562 R1564 R1566 R1568 R1570 R1572 R1574 R1576 R1578 R1580 R1582 R1584 R1586 R1588 R1590 R1592 R1594 R1596 R1598 R1600 R1602 R1604 R1606 R1608 R1610 R1612 R1614 R1616 R1618 R1620 R1622:R1646 N1575 N1578 N1581 N1584 N1587 N1590 N1593 N1596 N1599 N1602 N1605 N1608 N1611 N1614 N1617 N1620 N1623 N1626 N1629 N1632 N1635 N1638 N1641 N1644 Q1573:Q1574 Q1576:Q1577 Q1579:Q1580 Q1582:Q1583 Q1585:Q1586 Q1588:Q1589 Q1591:Q1592 Q1594:Q1595 Q1597:Q1598 Q1600:Q1601 Q1603:Q1604 Q1606:Q1607 Q1609:Q1610 Q1612:Q1613 Q1615:Q1616 Q1618:Q1619 Q1621:Q1622 Q1624:Q1625 Q1627:Q1628 Q1630:Q1631 Q1633:Q1634 Q1636:Q1637 Q1639:Q1640 Q1642:Q1643 Q1645:Q1646 Q1647:R1672 R1558">
    <cfRule type="expression" dxfId="29" priority="8">
      <formula>$L1528=0</formula>
    </cfRule>
    <cfRule type="containsBlanks" dxfId="31" priority="9">
      <formula>LEN(TRIM(N1528))=0</formula>
    </cfRule>
  </conditionalFormatting>
  <dataValidations count="1">
    <dataValidation type="list" allowBlank="1" showInputMessage="1" showErrorMessage="1" sqref="B2:B163 B165:B226 B228:B237">
      <formula1>$A$2:$A$1001056</formula1>
    </dataValidation>
  </dataValidations>
  <pageMargins left="1" right="1" top="1" bottom="1" header="0.25" footer="0.25"/>
  <pageSetup paperSize="1"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3"/>
  <dimension ref="A1:N1662"/>
  <sheetViews>
    <sheetView topLeftCell="A1611" workbookViewId="0">
      <selection activeCell="F1630" sqref="F1630"/>
    </sheetView>
  </sheetViews>
  <sheetFormatPr defaultColWidth="11" defaultRowHeight="2.4"/>
  <cols>
    <col min="1" max="1" width="47" style="24" customWidth="1"/>
    <col min="2" max="2" width="102" style="24" customWidth="1"/>
    <col min="3" max="3" width="138" style="24" customWidth="1"/>
    <col min="4" max="4" width="134" style="24" customWidth="1"/>
    <col min="5" max="5" width="92" style="24" customWidth="1"/>
    <col min="6" max="6" width="257" style="24" customWidth="1"/>
    <col min="7" max="7" width="79" style="25" customWidth="1"/>
    <col min="8" max="8" width="71" style="26" customWidth="1"/>
    <col min="9" max="12" width="63" style="26" customWidth="1"/>
    <col min="13" max="13" width="141" style="24" customWidth="1"/>
    <col min="14" max="16384" width="13" style="24"/>
  </cols>
  <sheetData>
    <row r="1" ht="19" customHeight="1" spans="1:11">
      <c r="A1" s="27" t="s">
        <v>3283</v>
      </c>
      <c r="B1" s="27"/>
      <c r="C1" s="27"/>
      <c r="D1" s="27"/>
      <c r="E1" s="27"/>
      <c r="G1" s="31" t="s">
        <v>3284</v>
      </c>
      <c r="H1" s="31"/>
      <c r="I1" s="31"/>
      <c r="J1" s="36"/>
      <c r="K1" s="37"/>
    </row>
    <row r="2" s="21" customFormat="1" ht="35" customHeight="1" spans="1:13">
      <c r="A2" s="28" t="s">
        <v>3285</v>
      </c>
      <c r="B2" s="28" t="s">
        <v>3286</v>
      </c>
      <c r="C2" s="28" t="s">
        <v>3287</v>
      </c>
      <c r="D2" s="28" t="s">
        <v>3288</v>
      </c>
      <c r="E2" s="28" t="s">
        <v>3289</v>
      </c>
      <c r="F2" s="28" t="s">
        <v>3290</v>
      </c>
      <c r="G2" s="32" t="s">
        <v>3291</v>
      </c>
      <c r="H2" s="33" t="s">
        <v>3292</v>
      </c>
      <c r="I2" s="33" t="s">
        <v>3293</v>
      </c>
      <c r="J2" s="33" t="s">
        <v>12</v>
      </c>
      <c r="K2" s="33" t="s">
        <v>3294</v>
      </c>
      <c r="L2" s="33" t="s">
        <v>3295</v>
      </c>
      <c r="M2" s="28" t="s">
        <v>3296</v>
      </c>
    </row>
    <row r="3" ht="20" customHeight="1" spans="1:14">
      <c r="A3" s="29">
        <v>45017</v>
      </c>
      <c r="B3" s="30"/>
      <c r="C3" s="30"/>
      <c r="D3" s="30"/>
      <c r="E3" s="30" t="s">
        <v>69</v>
      </c>
      <c r="F3" s="30" t="str">
        <f>IFERROR(VLOOKUP(VENTAS[[#This Row],[Código del producto Vendido]],STOCK[],5,FALSE),"-")</f>
        <v>Bañador de una pieza con degradado</v>
      </c>
      <c r="G3" s="34">
        <v>1</v>
      </c>
      <c r="H3" s="35">
        <v>25</v>
      </c>
      <c r="I3" s="35">
        <f>VENTAS[[#This Row],[Cantidad]]*VENTAS[[#This Row],[Precio Venta]]</f>
        <v>25</v>
      </c>
      <c r="J3" s="35">
        <f>IF(VENTAS[[#This Row],[Nombre del Gestor]]&gt;1,VENTAS[[#This Row],[Total]]*10%,0)</f>
        <v>0</v>
      </c>
      <c r="K3" s="35">
        <f>IFERROR(VLOOKUP(VENTAS[[#This Row],[Código del producto Vendido]],STOCK[],16,FALSE)*VENTAS[[#This Row],[Cantidad]]+VLOOKUP(VENTAS[[#This Row],[Código del producto Vendido]],STOCK[],19,FALSE)*VENTAS[[#This Row],[Cantidad]],VENTAS[[#This Row],[Total]])</f>
        <v>15.6844444444444</v>
      </c>
      <c r="L3" s="35">
        <f>VENTAS[[#This Row],[Total]]-VENTAS[[#This Row],[Comisión 10%]]-VENTAS[[#This Row],[Costo SIN Comision]]</f>
        <v>9.3155555555556</v>
      </c>
      <c r="M3" s="35"/>
      <c r="N3" s="38"/>
    </row>
    <row r="4" ht="20" customHeight="1" spans="1:14">
      <c r="A4" s="29">
        <v>45017</v>
      </c>
      <c r="B4" s="30"/>
      <c r="C4" s="30"/>
      <c r="D4" s="30"/>
      <c r="E4" s="30" t="s">
        <v>157</v>
      </c>
      <c r="F4" s="30" t="str">
        <f>IFERROR(VLOOKUP(VENTAS[[#This Row],[Código del producto Vendido]],STOCK[],5,FALSE),"-")</f>
        <v>Jeans de pierna recta desgarro</v>
      </c>
      <c r="G4" s="34">
        <v>1</v>
      </c>
      <c r="H4" s="35">
        <v>30</v>
      </c>
      <c r="I4" s="35">
        <f>VENTAS[[#This Row],[Cantidad]]*VENTAS[[#This Row],[Precio Venta]]</f>
        <v>30</v>
      </c>
      <c r="J4" s="35">
        <f>IF(VENTAS[[#This Row],[Nombre del Gestor]]&gt;1,VENTAS[[#This Row],[Total]]*10%,0)</f>
        <v>0</v>
      </c>
      <c r="K4" s="35">
        <f>IFERROR(VLOOKUP(VENTAS[[#This Row],[Código del producto Vendido]],STOCK[],16,FALSE)*VENTAS[[#This Row],[Cantidad]]+VLOOKUP(VENTAS[[#This Row],[Código del producto Vendido]],STOCK[],19,FALSE)*VENTAS[[#This Row],[Cantidad]],VENTAS[[#This Row],[Total]])</f>
        <v>18.6866666666667</v>
      </c>
      <c r="L4" s="35">
        <f>VENTAS[[#This Row],[Total]]-VENTAS[[#This Row],[Comisión 10%]]-VENTAS[[#This Row],[Costo SIN Comision]]</f>
        <v>11.3133333333333</v>
      </c>
      <c r="M4" s="35"/>
      <c r="N4" s="38"/>
    </row>
    <row r="5" ht="20" customHeight="1" spans="1:14">
      <c r="A5" s="29">
        <v>45017</v>
      </c>
      <c r="B5" s="30"/>
      <c r="C5" s="30"/>
      <c r="D5" s="30"/>
      <c r="E5" s="30" t="s">
        <v>157</v>
      </c>
      <c r="F5" s="30" t="str">
        <f>IFERROR(VLOOKUP(VENTAS[[#This Row],[Código del producto Vendido]],STOCK[],5,FALSE),"-")</f>
        <v>Jeans de pierna recta desgarro</v>
      </c>
      <c r="G5" s="34">
        <v>1</v>
      </c>
      <c r="H5" s="35">
        <v>30</v>
      </c>
      <c r="I5" s="35">
        <f>VENTAS[[#This Row],[Cantidad]]*VENTAS[[#This Row],[Precio Venta]]</f>
        <v>30</v>
      </c>
      <c r="J5" s="35">
        <f>IF(VENTAS[[#This Row],[Nombre del Gestor]]&gt;1,VENTAS[[#This Row],[Total]]*10%,0)</f>
        <v>0</v>
      </c>
      <c r="K5" s="35">
        <f>IFERROR(VLOOKUP(VENTAS[[#This Row],[Código del producto Vendido]],STOCK[],16,FALSE)*VENTAS[[#This Row],[Cantidad]]+VLOOKUP(VENTAS[[#This Row],[Código del producto Vendido]],STOCK[],19,FALSE)*VENTAS[[#This Row],[Cantidad]],VENTAS[[#This Row],[Total]])</f>
        <v>18.6866666666667</v>
      </c>
      <c r="L5" s="35">
        <f>VENTAS[[#This Row],[Total]]-VENTAS[[#This Row],[Comisión 10%]]-VENTAS[[#This Row],[Costo SIN Comision]]</f>
        <v>11.3133333333333</v>
      </c>
      <c r="M5" s="35"/>
      <c r="N5" s="39"/>
    </row>
    <row r="6" ht="20" customHeight="1" spans="1:13">
      <c r="A6" s="29">
        <v>45017</v>
      </c>
      <c r="B6" s="30"/>
      <c r="C6" s="30"/>
      <c r="D6" s="30"/>
      <c r="E6" s="30" t="s">
        <v>157</v>
      </c>
      <c r="F6" s="30" t="str">
        <f>IFERROR(VLOOKUP(VENTAS[[#This Row],[Código del producto Vendido]],STOCK[],5,FALSE),"-")</f>
        <v>Jeans de pierna recta desgarro</v>
      </c>
      <c r="G6" s="34">
        <v>1</v>
      </c>
      <c r="H6" s="35">
        <v>30</v>
      </c>
      <c r="I6" s="35">
        <f>VENTAS[[#This Row],[Cantidad]]*VENTAS[[#This Row],[Precio Venta]]</f>
        <v>30</v>
      </c>
      <c r="J6" s="35">
        <f>IF(VENTAS[[#This Row],[Nombre del Gestor]]&gt;1,VENTAS[[#This Row],[Total]]*10%,0)</f>
        <v>0</v>
      </c>
      <c r="K6" s="35">
        <f>IFERROR(VLOOKUP(VENTAS[[#This Row],[Código del producto Vendido]],STOCK[],16,FALSE)*VENTAS[[#This Row],[Cantidad]]+VLOOKUP(VENTAS[[#This Row],[Código del producto Vendido]],STOCK[],19,FALSE)*VENTAS[[#This Row],[Cantidad]],VENTAS[[#This Row],[Total]])</f>
        <v>18.6866666666667</v>
      </c>
      <c r="L6" s="35">
        <f>VENTAS[[#This Row],[Total]]-VENTAS[[#This Row],[Comisión 10%]]-VENTAS[[#This Row],[Costo SIN Comision]]</f>
        <v>11.3133333333333</v>
      </c>
      <c r="M6" s="35"/>
    </row>
    <row r="7" ht="20" customHeight="1" spans="1:13">
      <c r="A7" s="29">
        <v>45017</v>
      </c>
      <c r="B7" s="30"/>
      <c r="C7" s="30"/>
      <c r="D7" s="30"/>
      <c r="E7" s="30" t="s">
        <v>3297</v>
      </c>
      <c r="F7" s="30" t="str">
        <f>IFERROR(VLOOKUP(VENTAS[[#This Row],[Código del producto Vendido]],STOCK[],5,FALSE),"-")</f>
        <v>-</v>
      </c>
      <c r="G7" s="34">
        <v>2</v>
      </c>
      <c r="H7" s="35">
        <v>25</v>
      </c>
      <c r="I7" s="35">
        <f>VENTAS[[#This Row],[Cantidad]]*VENTAS[[#This Row],[Precio Venta]]</f>
        <v>50</v>
      </c>
      <c r="J7" s="35">
        <f>IF(VENTAS[[#This Row],[Nombre del Gestor]]&gt;1,VENTAS[[#This Row],[Total]]*10%,0)</f>
        <v>0</v>
      </c>
      <c r="K7" s="35">
        <f>IFERROR(VLOOKUP(VENTAS[[#This Row],[Código del producto Vendido]],STOCK[],16,FALSE)*VENTAS[[#This Row],[Cantidad]]+VLOOKUP(VENTAS[[#This Row],[Código del producto Vendido]],STOCK[],19,FALSE)*VENTAS[[#This Row],[Cantidad]],VENTAS[[#This Row],[Total]])</f>
        <v>50</v>
      </c>
      <c r="L7" s="35">
        <f>VENTAS[[#This Row],[Total]]-VENTAS[[#This Row],[Comisión 10%]]-VENTAS[[#This Row],[Costo SIN Comision]]</f>
        <v>0</v>
      </c>
      <c r="M7" s="35"/>
    </row>
    <row r="8" ht="20" customHeight="1" spans="1:13">
      <c r="A8" s="29">
        <v>45017</v>
      </c>
      <c r="B8" s="30"/>
      <c r="C8" s="30"/>
      <c r="D8" s="30"/>
      <c r="E8" s="30" t="s">
        <v>91</v>
      </c>
      <c r="F8" s="30" t="str">
        <f>IFERROR(VLOOKUP(VENTAS[[#This Row],[Código del producto Vendido]],STOCK[],5,FALSE),"-")</f>
        <v>Bañador una pieza de malla en contraste</v>
      </c>
      <c r="G8" s="34">
        <v>1</v>
      </c>
      <c r="H8" s="35">
        <v>25</v>
      </c>
      <c r="I8" s="35">
        <f>VENTAS[[#This Row],[Cantidad]]*VENTAS[[#This Row],[Precio Venta]]</f>
        <v>25</v>
      </c>
      <c r="J8" s="35">
        <f>IF(VENTAS[[#This Row],[Nombre del Gestor]]&gt;1,VENTAS[[#This Row],[Total]]*10%,0)</f>
        <v>0</v>
      </c>
      <c r="K8" s="35">
        <f>IFERROR(VLOOKUP(VENTAS[[#This Row],[Código del producto Vendido]],STOCK[],16,FALSE)*VENTAS[[#This Row],[Cantidad]]+VLOOKUP(VENTAS[[#This Row],[Código del producto Vendido]],STOCK[],19,FALSE)*VENTAS[[#This Row],[Cantidad]],VENTAS[[#This Row],[Total]])</f>
        <v>14.0633333333333</v>
      </c>
      <c r="L8" s="35">
        <f>VENTAS[[#This Row],[Total]]-VENTAS[[#This Row],[Comisión 10%]]-VENTAS[[#This Row],[Costo SIN Comision]]</f>
        <v>10.9366666666667</v>
      </c>
      <c r="M8" s="35"/>
    </row>
    <row r="9" ht="20" customHeight="1" spans="1:13">
      <c r="A9" s="29">
        <v>45017</v>
      </c>
      <c r="B9" s="30"/>
      <c r="C9" s="30"/>
      <c r="D9" s="30"/>
      <c r="E9" s="30" t="s">
        <v>95</v>
      </c>
      <c r="F9" s="30" t="str">
        <f>IFERROR(VLOOKUP(VENTAS[[#This Row],[Código del producto Vendido]],STOCK[],5,FALSE),"-")</f>
        <v>Bañador estampado de planta </v>
      </c>
      <c r="G9" s="34">
        <v>1</v>
      </c>
      <c r="H9" s="35">
        <v>25</v>
      </c>
      <c r="I9" s="35">
        <f>VENTAS[[#This Row],[Cantidad]]*VENTAS[[#This Row],[Precio Venta]]</f>
        <v>25</v>
      </c>
      <c r="J9" s="35">
        <f>IF(VENTAS[[#This Row],[Nombre del Gestor]]&gt;1,VENTAS[[#This Row],[Total]]*10%,0)</f>
        <v>0</v>
      </c>
      <c r="K9" s="35">
        <f>IFERROR(VLOOKUP(VENTAS[[#This Row],[Código del producto Vendido]],STOCK[],16,FALSE)*VENTAS[[#This Row],[Cantidad]]+VLOOKUP(VENTAS[[#This Row],[Código del producto Vendido]],STOCK[],19,FALSE)*VENTAS[[#This Row],[Cantidad]],VENTAS[[#This Row],[Total]])</f>
        <v>15.1288888888889</v>
      </c>
      <c r="L9" s="35">
        <f>VENTAS[[#This Row],[Total]]-VENTAS[[#This Row],[Comisión 10%]]-VENTAS[[#This Row],[Costo SIN Comision]]</f>
        <v>9.8711111111111</v>
      </c>
      <c r="M9" s="35"/>
    </row>
    <row r="10" ht="20" customHeight="1" spans="1:13">
      <c r="A10" s="29">
        <v>45017</v>
      </c>
      <c r="B10" s="30"/>
      <c r="C10" s="30"/>
      <c r="D10" s="30"/>
      <c r="E10" s="30" t="s">
        <v>97</v>
      </c>
      <c r="F10" s="30" t="str">
        <f>IFERROR(VLOOKUP(VENTAS[[#This Row],[Código del producto Vendido]],STOCK[],5,FALSE),"-")</f>
        <v>Bañador estampado de planta</v>
      </c>
      <c r="G10" s="34">
        <v>2</v>
      </c>
      <c r="H10" s="35">
        <v>25</v>
      </c>
      <c r="I10" s="35">
        <f>VENTAS[[#This Row],[Cantidad]]*VENTAS[[#This Row],[Precio Venta]]</f>
        <v>50</v>
      </c>
      <c r="J10" s="35">
        <f>IF(VENTAS[[#This Row],[Nombre del Gestor]]&gt;1,VENTAS[[#This Row],[Total]]*10%,0)</f>
        <v>0</v>
      </c>
      <c r="K10" s="35">
        <f>IFERROR(VLOOKUP(VENTAS[[#This Row],[Código del producto Vendido]],STOCK[],16,FALSE)*VENTAS[[#This Row],[Cantidad]]+VLOOKUP(VENTAS[[#This Row],[Código del producto Vendido]],STOCK[],19,FALSE)*VENTAS[[#This Row],[Cantidad]],VENTAS[[#This Row],[Total]])</f>
        <v>31.9577777777778</v>
      </c>
      <c r="L10" s="35">
        <f>VENTAS[[#This Row],[Total]]-VENTAS[[#This Row],[Comisión 10%]]-VENTAS[[#This Row],[Costo SIN Comision]]</f>
        <v>18.0422222222222</v>
      </c>
      <c r="M10" s="35"/>
    </row>
    <row r="11" ht="20" customHeight="1" spans="1:13">
      <c r="A11" s="29">
        <v>45017</v>
      </c>
      <c r="B11" s="30"/>
      <c r="C11" s="30"/>
      <c r="D11" s="30"/>
      <c r="E11" s="30" t="s">
        <v>56</v>
      </c>
      <c r="F11" s="30" t="str">
        <f>IFERROR(VLOOKUP(VENTAS[[#This Row],[Código del producto Vendido]],STOCK[],5,FALSE),"-")</f>
        <v>Bañador con cremallera </v>
      </c>
      <c r="G11" s="34">
        <v>1</v>
      </c>
      <c r="H11" s="35">
        <v>25</v>
      </c>
      <c r="I11" s="35">
        <f>VENTAS[[#This Row],[Cantidad]]*VENTAS[[#This Row],[Precio Venta]]</f>
        <v>25</v>
      </c>
      <c r="J11" s="35">
        <f>IF(VENTAS[[#This Row],[Nombre del Gestor]]&gt;1,VENTAS[[#This Row],[Total]]*10%,0)</f>
        <v>0</v>
      </c>
      <c r="K11" s="35">
        <f>IFERROR(VLOOKUP(VENTAS[[#This Row],[Código del producto Vendido]],STOCK[],16,FALSE)*VENTAS[[#This Row],[Cantidad]]+VLOOKUP(VENTAS[[#This Row],[Código del producto Vendido]],STOCK[],19,FALSE)*VENTAS[[#This Row],[Cantidad]],VENTAS[[#This Row],[Total]])</f>
        <v>15.9166666666667</v>
      </c>
      <c r="L11" s="35">
        <f>VENTAS[[#This Row],[Total]]-VENTAS[[#This Row],[Comisión 10%]]-VENTAS[[#This Row],[Costo SIN Comision]]</f>
        <v>9.0833333333333</v>
      </c>
      <c r="M11" s="35"/>
    </row>
    <row r="12" ht="20" customHeight="1" spans="1:13">
      <c r="A12" s="29">
        <v>45017</v>
      </c>
      <c r="B12" s="30"/>
      <c r="C12" s="30"/>
      <c r="D12" s="30"/>
      <c r="E12" s="30" t="s">
        <v>29</v>
      </c>
      <c r="F12" s="30" t="str">
        <f>IFERROR(VLOOKUP(VENTAS[[#This Row],[Código del producto Vendido]],STOCK[],5,FALSE),"-")</f>
        <v>Pareo falda </v>
      </c>
      <c r="G12" s="34">
        <v>1</v>
      </c>
      <c r="H12" s="35">
        <v>8</v>
      </c>
      <c r="I12" s="35">
        <f>VENTAS[[#This Row],[Cantidad]]*VENTAS[[#This Row],[Precio Venta]]</f>
        <v>8</v>
      </c>
      <c r="J12" s="35">
        <f>IF(VENTAS[[#This Row],[Nombre del Gestor]]&gt;1,VENTAS[[#This Row],[Total]]*10%,0)</f>
        <v>0</v>
      </c>
      <c r="K12" s="35">
        <f>IFERROR(VLOOKUP(VENTAS[[#This Row],[Código del producto Vendido]],STOCK[],16,FALSE)*VENTAS[[#This Row],[Cantidad]]+VLOOKUP(VENTAS[[#This Row],[Código del producto Vendido]],STOCK[],19,FALSE)*VENTAS[[#This Row],[Cantidad]],VENTAS[[#This Row],[Total]])</f>
        <v>4.33722222222222</v>
      </c>
      <c r="L12" s="35">
        <f>VENTAS[[#This Row],[Total]]-VENTAS[[#This Row],[Comisión 10%]]-VENTAS[[#This Row],[Costo SIN Comision]]</f>
        <v>3.66277777777778</v>
      </c>
      <c r="M12" s="35"/>
    </row>
    <row r="13" ht="20" customHeight="1" spans="1:13">
      <c r="A13" s="29">
        <v>45017</v>
      </c>
      <c r="B13" s="30"/>
      <c r="C13" s="30"/>
      <c r="D13" s="30"/>
      <c r="E13" s="30" t="s">
        <v>39</v>
      </c>
      <c r="F13" s="30" t="str">
        <f>IFERROR(VLOOKUP(VENTAS[[#This Row],[Código del producto Vendido]],STOCK[],5,FALSE),"-")</f>
        <v>Bikini Floral</v>
      </c>
      <c r="G13" s="34">
        <v>1</v>
      </c>
      <c r="H13" s="35">
        <v>25</v>
      </c>
      <c r="I13" s="35">
        <f>VENTAS[[#This Row],[Cantidad]]*VENTAS[[#This Row],[Precio Venta]]</f>
        <v>25</v>
      </c>
      <c r="J13" s="35">
        <f>IF(VENTAS[[#This Row],[Nombre del Gestor]]&gt;1,VENTAS[[#This Row],[Total]]*10%,0)</f>
        <v>0</v>
      </c>
      <c r="K13" s="35">
        <f>IFERROR(VLOOKUP(VENTAS[[#This Row],[Código del producto Vendido]],STOCK[],16,FALSE)*VENTAS[[#This Row],[Cantidad]]+VLOOKUP(VENTAS[[#This Row],[Código del producto Vendido]],STOCK[],19,FALSE)*VENTAS[[#This Row],[Cantidad]],VENTAS[[#This Row],[Total]])</f>
        <v>19.5611111111111</v>
      </c>
      <c r="L13" s="35">
        <f>VENTAS[[#This Row],[Total]]-VENTAS[[#This Row],[Comisión 10%]]-VENTAS[[#This Row],[Costo SIN Comision]]</f>
        <v>5.4388888888889</v>
      </c>
      <c r="M13" s="35"/>
    </row>
    <row r="14" ht="20" customHeight="1" spans="1:13">
      <c r="A14" s="29">
        <v>45017</v>
      </c>
      <c r="B14" s="30"/>
      <c r="C14" s="30"/>
      <c r="D14" s="30"/>
      <c r="E14" s="30" t="s">
        <v>49</v>
      </c>
      <c r="F14" s="30" t="str">
        <f>IFERROR(VLOOKUP(VENTAS[[#This Row],[Código del producto Vendido]],STOCK[],5,FALSE),"-")</f>
        <v>Pareo Pantalón</v>
      </c>
      <c r="G14" s="34">
        <v>1</v>
      </c>
      <c r="H14" s="35">
        <v>15</v>
      </c>
      <c r="I14" s="35">
        <f>VENTAS[[#This Row],[Cantidad]]*VENTAS[[#This Row],[Precio Venta]]</f>
        <v>15</v>
      </c>
      <c r="J14" s="35">
        <f>IF(VENTAS[[#This Row],[Nombre del Gestor]]&gt;1,VENTAS[[#This Row],[Total]]*10%,0)</f>
        <v>0</v>
      </c>
      <c r="K14" s="35">
        <f>IFERROR(VLOOKUP(VENTAS[[#This Row],[Código del producto Vendido]],STOCK[],16,FALSE)*VENTAS[[#This Row],[Cantidad]]+VLOOKUP(VENTAS[[#This Row],[Código del producto Vendido]],STOCK[],19,FALSE)*VENTAS[[#This Row],[Cantidad]],VENTAS[[#This Row],[Total]])</f>
        <v>10.0633333333333</v>
      </c>
      <c r="L14" s="35">
        <f>VENTAS[[#This Row],[Total]]-VENTAS[[#This Row],[Comisión 10%]]-VENTAS[[#This Row],[Costo SIN Comision]]</f>
        <v>4.93666666666667</v>
      </c>
      <c r="M14" s="35"/>
    </row>
    <row r="15" ht="20" customHeight="1" spans="1:13">
      <c r="A15" s="29">
        <v>45017</v>
      </c>
      <c r="B15" s="30"/>
      <c r="C15" s="30"/>
      <c r="D15" s="30"/>
      <c r="E15" s="30" t="s">
        <v>54</v>
      </c>
      <c r="F15" s="30" t="str">
        <f>IFERROR(VLOOKUP(VENTAS[[#This Row],[Código del producto Vendido]],STOCK[],5,FALSE),"-")</f>
        <v>Pareo pantalón en malla</v>
      </c>
      <c r="G15" s="34">
        <v>1</v>
      </c>
      <c r="H15" s="35">
        <v>15</v>
      </c>
      <c r="I15" s="35">
        <f>VENTAS[[#This Row],[Cantidad]]*VENTAS[[#This Row],[Precio Venta]]</f>
        <v>15</v>
      </c>
      <c r="J15" s="35">
        <f>IF(VENTAS[[#This Row],[Nombre del Gestor]]&gt;1,VENTAS[[#This Row],[Total]]*10%,0)</f>
        <v>0</v>
      </c>
      <c r="K15" s="35">
        <f>IFERROR(VLOOKUP(VENTAS[[#This Row],[Código del producto Vendido]],STOCK[],16,FALSE)*VENTAS[[#This Row],[Cantidad]]+VLOOKUP(VENTAS[[#This Row],[Código del producto Vendido]],STOCK[],19,FALSE)*VENTAS[[#This Row],[Cantidad]],VENTAS[[#This Row],[Total]])</f>
        <v>10.0633333333333</v>
      </c>
      <c r="L15" s="35">
        <f>VENTAS[[#This Row],[Total]]-VENTAS[[#This Row],[Comisión 10%]]-VENTAS[[#This Row],[Costo SIN Comision]]</f>
        <v>4.93666666666667</v>
      </c>
      <c r="M15" s="35"/>
    </row>
    <row r="16" ht="20" customHeight="1" spans="1:13">
      <c r="A16" s="29">
        <v>45017</v>
      </c>
      <c r="B16" s="30"/>
      <c r="C16" s="30"/>
      <c r="D16" s="30"/>
      <c r="E16" s="30" t="s">
        <v>453</v>
      </c>
      <c r="F16" s="30" t="str">
        <f>IFERROR(VLOOKUP(VENTAS[[#This Row],[Código del producto Vendido]],STOCK[],5,FALSE),"-")</f>
        <v>Bañador bikini de manga raglán con cordón floral</v>
      </c>
      <c r="G16" s="34">
        <v>1</v>
      </c>
      <c r="H16" s="35">
        <v>25</v>
      </c>
      <c r="I16" s="35">
        <f>VENTAS[[#This Row],[Cantidad]]*VENTAS[[#This Row],[Precio Venta]]</f>
        <v>25</v>
      </c>
      <c r="J16" s="35">
        <f>IF(VENTAS[[#This Row],[Nombre del Gestor]]&gt;1,VENTAS[[#This Row],[Total]]*10%,0)</f>
        <v>0</v>
      </c>
      <c r="K16" s="35">
        <f>IFERROR(VLOOKUP(VENTAS[[#This Row],[Código del producto Vendido]],STOCK[],16,FALSE)*VENTAS[[#This Row],[Cantidad]]+VLOOKUP(VENTAS[[#This Row],[Código del producto Vendido]],STOCK[],19,FALSE)*VENTAS[[#This Row],[Cantidad]],VENTAS[[#This Row],[Total]])</f>
        <v>19.7944444444444</v>
      </c>
      <c r="L16" s="35">
        <f>VENTAS[[#This Row],[Total]]-VENTAS[[#This Row],[Comisión 10%]]-VENTAS[[#This Row],[Costo SIN Comision]]</f>
        <v>5.2055555555556</v>
      </c>
      <c r="M16" s="35"/>
    </row>
    <row r="17" ht="20" customHeight="1" spans="1:13">
      <c r="A17" s="29">
        <v>45017</v>
      </c>
      <c r="B17" s="30"/>
      <c r="C17" s="30"/>
      <c r="D17" s="30"/>
      <c r="E17" s="30" t="s">
        <v>99</v>
      </c>
      <c r="F17" s="30" t="str">
        <f>IFERROR(VLOOKUP(VENTAS[[#This Row],[Código del producto Vendido]],STOCK[],5,FALSE),"-")</f>
        <v>Bañador estampado de planta</v>
      </c>
      <c r="G17" s="34">
        <v>1</v>
      </c>
      <c r="H17" s="35">
        <v>25</v>
      </c>
      <c r="I17" s="35">
        <f>VENTAS[[#This Row],[Cantidad]]*VENTAS[[#This Row],[Precio Venta]]</f>
        <v>25</v>
      </c>
      <c r="J17" s="35">
        <f>IF(VENTAS[[#This Row],[Nombre del Gestor]]&gt;1,VENTAS[[#This Row],[Total]]*10%,0)</f>
        <v>0</v>
      </c>
      <c r="K17" s="35">
        <f>IFERROR(VLOOKUP(VENTAS[[#This Row],[Código del producto Vendido]],STOCK[],16,FALSE)*VENTAS[[#This Row],[Cantidad]]+VLOOKUP(VENTAS[[#This Row],[Código del producto Vendido]],STOCK[],19,FALSE)*VENTAS[[#This Row],[Cantidad]],VENTAS[[#This Row],[Total]])</f>
        <v>15.9788888888889</v>
      </c>
      <c r="L17" s="35">
        <f>VENTAS[[#This Row],[Total]]-VENTAS[[#This Row],[Comisión 10%]]-VENTAS[[#This Row],[Costo SIN Comision]]</f>
        <v>9.0211111111111</v>
      </c>
      <c r="M17" s="35"/>
    </row>
    <row r="18" ht="20" customHeight="1" spans="1:13">
      <c r="A18" s="29">
        <v>45017</v>
      </c>
      <c r="B18" s="30"/>
      <c r="C18" s="30"/>
      <c r="D18" s="30"/>
      <c r="E18" s="30" t="s">
        <v>453</v>
      </c>
      <c r="F18" s="30" t="str">
        <f>IFERROR(VLOOKUP(VENTAS[[#This Row],[Código del producto Vendido]],STOCK[],5,FALSE),"-")</f>
        <v>Bañador bikini de manga raglán con cordón floral</v>
      </c>
      <c r="G18" s="34">
        <v>1</v>
      </c>
      <c r="H18" s="35">
        <v>25</v>
      </c>
      <c r="I18" s="35">
        <f>VENTAS[[#This Row],[Cantidad]]*VENTAS[[#This Row],[Precio Venta]]</f>
        <v>25</v>
      </c>
      <c r="J18" s="35">
        <f>IF(VENTAS[[#This Row],[Nombre del Gestor]]&gt;1,VENTAS[[#This Row],[Total]]*10%,0)</f>
        <v>0</v>
      </c>
      <c r="K18" s="35">
        <f>IFERROR(VLOOKUP(VENTAS[[#This Row],[Código del producto Vendido]],STOCK[],16,FALSE)*VENTAS[[#This Row],[Cantidad]]+VLOOKUP(VENTAS[[#This Row],[Código del producto Vendido]],STOCK[],19,FALSE)*VENTAS[[#This Row],[Cantidad]],VENTAS[[#This Row],[Total]])</f>
        <v>19.7944444444444</v>
      </c>
      <c r="L18" s="35">
        <f>VENTAS[[#This Row],[Total]]-VENTAS[[#This Row],[Comisión 10%]]-VENTAS[[#This Row],[Costo SIN Comision]]</f>
        <v>5.2055555555556</v>
      </c>
      <c r="M18" s="35"/>
    </row>
    <row r="19" ht="20" customHeight="1" spans="1:13">
      <c r="A19" s="29">
        <v>45017</v>
      </c>
      <c r="B19" s="30"/>
      <c r="C19" s="30"/>
      <c r="D19" s="30"/>
      <c r="E19" s="30" t="s">
        <v>115</v>
      </c>
      <c r="F19" s="30" t="str">
        <f>IFERROR(VLOOKUP(VENTAS[[#This Row],[Código del producto Vendido]],STOCK[],5,FALSE),"-")</f>
        <v>Bañador con estampado floral</v>
      </c>
      <c r="G19" s="34">
        <v>1</v>
      </c>
      <c r="H19" s="35">
        <v>25</v>
      </c>
      <c r="I19" s="35">
        <f>VENTAS[[#This Row],[Cantidad]]*VENTAS[[#This Row],[Precio Venta]]</f>
        <v>25</v>
      </c>
      <c r="J19" s="35">
        <f>IF(VENTAS[[#This Row],[Nombre del Gestor]]&gt;1,VENTAS[[#This Row],[Total]]*10%,0)</f>
        <v>0</v>
      </c>
      <c r="K19" s="35">
        <f>IFERROR(VLOOKUP(VENTAS[[#This Row],[Código del producto Vendido]],STOCK[],16,FALSE)*VENTAS[[#This Row],[Cantidad]]+VLOOKUP(VENTAS[[#This Row],[Código del producto Vendido]],STOCK[],19,FALSE)*VENTAS[[#This Row],[Cantidad]],VENTAS[[#This Row],[Total]])</f>
        <v>18.0311111111111</v>
      </c>
      <c r="L19" s="35">
        <f>VENTAS[[#This Row],[Total]]-VENTAS[[#This Row],[Comisión 10%]]-VENTAS[[#This Row],[Costo SIN Comision]]</f>
        <v>6.9688888888889</v>
      </c>
      <c r="M19" s="35"/>
    </row>
    <row r="20" ht="20" customHeight="1" spans="1:13">
      <c r="A20" s="29">
        <v>45017</v>
      </c>
      <c r="B20" s="30"/>
      <c r="C20" s="30"/>
      <c r="D20" s="30"/>
      <c r="E20" s="30" t="s">
        <v>116</v>
      </c>
      <c r="F20" s="30" t="str">
        <f>IFERROR(VLOOKUP(VENTAS[[#This Row],[Código del producto Vendido]],STOCK[],5,FALSE),"-")</f>
        <v>Bañador en contraste con cremallera</v>
      </c>
      <c r="G20" s="34">
        <v>1</v>
      </c>
      <c r="H20" s="35">
        <v>25</v>
      </c>
      <c r="I20" s="35">
        <f>VENTAS[[#This Row],[Cantidad]]*VENTAS[[#This Row],[Precio Venta]]</f>
        <v>25</v>
      </c>
      <c r="J20" s="35">
        <f>IF(VENTAS[[#This Row],[Nombre del Gestor]]&gt;1,VENTAS[[#This Row],[Total]]*10%,0)</f>
        <v>0</v>
      </c>
      <c r="K20" s="35">
        <f>IFERROR(VLOOKUP(VENTAS[[#This Row],[Código del producto Vendido]],STOCK[],16,FALSE)*VENTAS[[#This Row],[Cantidad]]+VLOOKUP(VENTAS[[#This Row],[Código del producto Vendido]],STOCK[],19,FALSE)*VENTAS[[#This Row],[Cantidad]],VENTAS[[#This Row],[Total]])</f>
        <v>16.6877777777778</v>
      </c>
      <c r="L20" s="35">
        <f>VENTAS[[#This Row],[Total]]-VENTAS[[#This Row],[Comisión 10%]]-VENTAS[[#This Row],[Costo SIN Comision]]</f>
        <v>8.3122222222222</v>
      </c>
      <c r="M20" s="35"/>
    </row>
    <row r="21" ht="20" customHeight="1" spans="1:13">
      <c r="A21" s="29">
        <v>45017</v>
      </c>
      <c r="B21" s="30"/>
      <c r="C21" s="30"/>
      <c r="D21" s="30"/>
      <c r="E21" s="30" t="s">
        <v>118</v>
      </c>
      <c r="F21" s="30" t="str">
        <f>IFERROR(VLOOKUP(VENTAS[[#This Row],[Código del producto Vendido]],STOCK[],5,FALSE),"-")</f>
        <v>Bañador color combinado con cremallera_S</v>
      </c>
      <c r="G21" s="34">
        <v>1</v>
      </c>
      <c r="H21" s="35">
        <v>25</v>
      </c>
      <c r="I21" s="35">
        <f>VENTAS[[#This Row],[Cantidad]]*VENTAS[[#This Row],[Precio Venta]]</f>
        <v>25</v>
      </c>
      <c r="J21" s="35">
        <f>IF(VENTAS[[#This Row],[Nombre del Gestor]]&gt;1,VENTAS[[#This Row],[Total]]*10%,0)</f>
        <v>0</v>
      </c>
      <c r="K21" s="35">
        <f>IFERROR(VLOOKUP(VENTAS[[#This Row],[Código del producto Vendido]],STOCK[],16,FALSE)*VENTAS[[#This Row],[Cantidad]]+VLOOKUP(VENTAS[[#This Row],[Código del producto Vendido]],STOCK[],19,FALSE)*VENTAS[[#This Row],[Cantidad]],VENTAS[[#This Row],[Total]])</f>
        <v>16.7727777777778</v>
      </c>
      <c r="L21" s="35">
        <f>VENTAS[[#This Row],[Total]]-VENTAS[[#This Row],[Comisión 10%]]-VENTAS[[#This Row],[Costo SIN Comision]]</f>
        <v>8.2272222222222</v>
      </c>
      <c r="M21" s="35"/>
    </row>
    <row r="22" ht="20" customHeight="1" spans="1:13">
      <c r="A22" s="29">
        <v>45017</v>
      </c>
      <c r="B22" s="30"/>
      <c r="C22" s="30"/>
      <c r="D22" s="30"/>
      <c r="E22" s="30" t="s">
        <v>114</v>
      </c>
      <c r="F22" s="30" t="str">
        <f>IFERROR(VLOOKUP(VENTAS[[#This Row],[Código del producto Vendido]],STOCK[],5,FALSE),"-")</f>
        <v>Bikini con cordón lateral</v>
      </c>
      <c r="G22" s="34">
        <v>1</v>
      </c>
      <c r="H22" s="35">
        <v>22</v>
      </c>
      <c r="I22" s="35">
        <f>VENTAS[[#This Row],[Cantidad]]*VENTAS[[#This Row],[Precio Venta]]</f>
        <v>22</v>
      </c>
      <c r="J22" s="35">
        <f>IF(VENTAS[[#This Row],[Nombre del Gestor]]&gt;1,VENTAS[[#This Row],[Total]]*10%,0)</f>
        <v>0</v>
      </c>
      <c r="K22" s="35">
        <f>IFERROR(VLOOKUP(VENTAS[[#This Row],[Código del producto Vendido]],STOCK[],16,FALSE)*VENTAS[[#This Row],[Cantidad]]+VLOOKUP(VENTAS[[#This Row],[Código del producto Vendido]],STOCK[],19,FALSE)*VENTAS[[#This Row],[Cantidad]],VENTAS[[#This Row],[Total]])</f>
        <v>14.5505555555556</v>
      </c>
      <c r="L22" s="35">
        <f>VENTAS[[#This Row],[Total]]-VENTAS[[#This Row],[Comisión 10%]]-VENTAS[[#This Row],[Costo SIN Comision]]</f>
        <v>7.4494444444444</v>
      </c>
      <c r="M22" s="35"/>
    </row>
    <row r="23" ht="20" customHeight="1" spans="1:13">
      <c r="A23" s="29">
        <v>45017</v>
      </c>
      <c r="B23" s="30"/>
      <c r="C23" s="30"/>
      <c r="D23" s="30"/>
      <c r="E23" s="30" t="s">
        <v>156</v>
      </c>
      <c r="F23" s="30" t="str">
        <f>IFERROR(VLOOKUP(VENTAS[[#This Row],[Código del producto Vendido]],STOCK[],5,FALSE),"-")</f>
        <v>Jeans de pierna recta desgarro</v>
      </c>
      <c r="G23" s="34">
        <v>1</v>
      </c>
      <c r="H23" s="35">
        <v>30</v>
      </c>
      <c r="I23" s="35">
        <f>VENTAS[[#This Row],[Cantidad]]*VENTAS[[#This Row],[Precio Venta]]</f>
        <v>30</v>
      </c>
      <c r="J23" s="35">
        <f>IF(VENTAS[[#This Row],[Nombre del Gestor]]&gt;1,VENTAS[[#This Row],[Total]]*10%,0)</f>
        <v>0</v>
      </c>
      <c r="K23" s="35">
        <f>IFERROR(VLOOKUP(VENTAS[[#This Row],[Código del producto Vendido]],STOCK[],16,FALSE)*VENTAS[[#This Row],[Cantidad]]+VLOOKUP(VENTAS[[#This Row],[Código del producto Vendido]],STOCK[],19,FALSE)*VENTAS[[#This Row],[Cantidad]],VENTAS[[#This Row],[Total]])</f>
        <v>18.6866666666667</v>
      </c>
      <c r="L23" s="35">
        <f>VENTAS[[#This Row],[Total]]-VENTAS[[#This Row],[Comisión 10%]]-VENTAS[[#This Row],[Costo SIN Comision]]</f>
        <v>11.3133333333333</v>
      </c>
      <c r="M23" s="35"/>
    </row>
    <row r="24" ht="20" customHeight="1" spans="1:13">
      <c r="A24" s="29">
        <v>45017</v>
      </c>
      <c r="B24" s="30"/>
      <c r="C24" s="30"/>
      <c r="D24" s="30"/>
      <c r="E24" s="30" t="s">
        <v>156</v>
      </c>
      <c r="F24" s="30" t="str">
        <f>IFERROR(VLOOKUP(VENTAS[[#This Row],[Código del producto Vendido]],STOCK[],5,FALSE),"-")</f>
        <v>Jeans de pierna recta desgarro</v>
      </c>
      <c r="G24" s="34">
        <v>1</v>
      </c>
      <c r="H24" s="35">
        <v>22</v>
      </c>
      <c r="I24" s="35">
        <f>VENTAS[[#This Row],[Cantidad]]*VENTAS[[#This Row],[Precio Venta]]</f>
        <v>22</v>
      </c>
      <c r="J24" s="35">
        <f>IF(VENTAS[[#This Row],[Nombre del Gestor]]&gt;1,VENTAS[[#This Row],[Total]]*10%,0)</f>
        <v>0</v>
      </c>
      <c r="K24" s="35">
        <f>IFERROR(VLOOKUP(VENTAS[[#This Row],[Código del producto Vendido]],STOCK[],16,FALSE)*VENTAS[[#This Row],[Cantidad]]+VLOOKUP(VENTAS[[#This Row],[Código del producto Vendido]],STOCK[],19,FALSE)*VENTAS[[#This Row],[Cantidad]],VENTAS[[#This Row],[Total]])</f>
        <v>18.6866666666667</v>
      </c>
      <c r="L24" s="35">
        <f>VENTAS[[#This Row],[Total]]-VENTAS[[#This Row],[Comisión 10%]]-VENTAS[[#This Row],[Costo SIN Comision]]</f>
        <v>3.31333333333333</v>
      </c>
      <c r="M24" s="35"/>
    </row>
    <row r="25" ht="20" customHeight="1" spans="1:13">
      <c r="A25" s="29">
        <v>45017</v>
      </c>
      <c r="B25" s="30"/>
      <c r="C25" s="30"/>
      <c r="D25" s="30"/>
      <c r="E25" s="30" t="s">
        <v>413</v>
      </c>
      <c r="F25" s="30" t="str">
        <f>IFERROR(VLOOKUP(VENTAS[[#This Row],[Código del producto Vendido]],STOCK[],5,FALSE),"-")</f>
        <v>Bañador bikini tropical con estampado de hoja de talle alto_L</v>
      </c>
      <c r="G25" s="34">
        <v>2</v>
      </c>
      <c r="H25" s="35">
        <v>22</v>
      </c>
      <c r="I25" s="35">
        <f>VENTAS[[#This Row],[Cantidad]]*VENTAS[[#This Row],[Precio Venta]]</f>
        <v>44</v>
      </c>
      <c r="J25" s="35">
        <f>IF(VENTAS[[#This Row],[Nombre del Gestor]]&gt;1,VENTAS[[#This Row],[Total]]*10%,0)</f>
        <v>0</v>
      </c>
      <c r="K25" s="35">
        <f>IFERROR(VLOOKUP(VENTAS[[#This Row],[Código del producto Vendido]],STOCK[],16,FALSE)*VENTAS[[#This Row],[Cantidad]]+VLOOKUP(VENTAS[[#This Row],[Código del producto Vendido]],STOCK[],19,FALSE)*VENTAS[[#This Row],[Cantidad]],VENTAS[[#This Row],[Total]])</f>
        <v>26.7777777777778</v>
      </c>
      <c r="L25" s="35">
        <f>VENTAS[[#This Row],[Total]]-VENTAS[[#This Row],[Comisión 10%]]-VENTAS[[#This Row],[Costo SIN Comision]]</f>
        <v>17.2222222222222</v>
      </c>
      <c r="M25" s="35"/>
    </row>
    <row r="26" ht="20" customHeight="1" spans="1:13">
      <c r="A26" s="29">
        <v>45017</v>
      </c>
      <c r="B26" s="30"/>
      <c r="C26" s="30"/>
      <c r="D26" s="30"/>
      <c r="E26" s="30" t="s">
        <v>415</v>
      </c>
      <c r="F26" s="30" t="str">
        <f>IFERROR(VLOOKUP(VENTAS[[#This Row],[Código del producto Vendido]],STOCK[],5,FALSE),"-")</f>
        <v>Bañador bikini tropical con estampado de hoja de talle alto_M</v>
      </c>
      <c r="G26" s="34">
        <v>2</v>
      </c>
      <c r="H26" s="35">
        <v>22</v>
      </c>
      <c r="I26" s="35">
        <f>VENTAS[[#This Row],[Cantidad]]*VENTAS[[#This Row],[Precio Venta]]</f>
        <v>44</v>
      </c>
      <c r="J26" s="35">
        <f>IF(VENTAS[[#This Row],[Nombre del Gestor]]&gt;1,VENTAS[[#This Row],[Total]]*10%,0)</f>
        <v>0</v>
      </c>
      <c r="K26" s="35">
        <f>IFERROR(VLOOKUP(VENTAS[[#This Row],[Código del producto Vendido]],STOCK[],16,FALSE)*VENTAS[[#This Row],[Cantidad]]+VLOOKUP(VENTAS[[#This Row],[Código del producto Vendido]],STOCK[],19,FALSE)*VENTAS[[#This Row],[Cantidad]],VENTAS[[#This Row],[Total]])</f>
        <v>26.7777777777778</v>
      </c>
      <c r="L26" s="35">
        <f>VENTAS[[#This Row],[Total]]-VENTAS[[#This Row],[Comisión 10%]]-VENTAS[[#This Row],[Costo SIN Comision]]</f>
        <v>17.2222222222222</v>
      </c>
      <c r="M26" s="35"/>
    </row>
    <row r="27" ht="20" customHeight="1" spans="1:13">
      <c r="A27" s="29">
        <v>45017</v>
      </c>
      <c r="B27" s="30"/>
      <c r="C27" s="30"/>
      <c r="D27" s="30"/>
      <c r="E27" s="30" t="s">
        <v>419</v>
      </c>
      <c r="F27" s="30" t="str">
        <f>IFERROR(VLOOKUP(VENTAS[[#This Row],[Código del producto Vendido]],STOCK[],5,FALSE),"-")</f>
        <v>Bañador una pieza tropical_XL</v>
      </c>
      <c r="G27" s="34">
        <v>2</v>
      </c>
      <c r="H27" s="35">
        <v>25</v>
      </c>
      <c r="I27" s="35">
        <f>VENTAS[[#This Row],[Cantidad]]*VENTAS[[#This Row],[Precio Venta]]</f>
        <v>50</v>
      </c>
      <c r="J27" s="35">
        <f>IF(VENTAS[[#This Row],[Nombre del Gestor]]&gt;1,VENTAS[[#This Row],[Total]]*10%,0)</f>
        <v>0</v>
      </c>
      <c r="K27" s="35">
        <f>IFERROR(VLOOKUP(VENTAS[[#This Row],[Código del producto Vendido]],STOCK[],16,FALSE)*VENTAS[[#This Row],[Cantidad]]+VLOOKUP(VENTAS[[#This Row],[Código del producto Vendido]],STOCK[],19,FALSE)*VENTAS[[#This Row],[Cantidad]],VENTAS[[#This Row],[Total]])</f>
        <v>27.6666666666666</v>
      </c>
      <c r="L27" s="35">
        <f>VENTAS[[#This Row],[Total]]-VENTAS[[#This Row],[Comisión 10%]]-VENTAS[[#This Row],[Costo SIN Comision]]</f>
        <v>22.3333333333334</v>
      </c>
      <c r="M27" s="35"/>
    </row>
    <row r="28" ht="20" customHeight="1" spans="1:13">
      <c r="A28" s="29">
        <v>45017</v>
      </c>
      <c r="B28" s="30"/>
      <c r="C28" s="30"/>
      <c r="D28" s="30"/>
      <c r="E28" s="30" t="s">
        <v>421</v>
      </c>
      <c r="F28" s="30" t="str">
        <f>IFERROR(VLOOKUP(VENTAS[[#This Row],[Código del producto Vendido]],STOCK[],5,FALSE),"-")</f>
        <v>Bañador una pieza tropical_M</v>
      </c>
      <c r="G28" s="34">
        <v>3</v>
      </c>
      <c r="H28" s="35">
        <v>25</v>
      </c>
      <c r="I28" s="35">
        <f>VENTAS[[#This Row],[Cantidad]]*VENTAS[[#This Row],[Precio Venta]]</f>
        <v>75</v>
      </c>
      <c r="J28" s="35">
        <f>IF(VENTAS[[#This Row],[Nombre del Gestor]]&gt;1,VENTAS[[#This Row],[Total]]*10%,0)</f>
        <v>0</v>
      </c>
      <c r="K28" s="35">
        <f>IFERROR(VLOOKUP(VENTAS[[#This Row],[Código del producto Vendido]],STOCK[],16,FALSE)*VENTAS[[#This Row],[Cantidad]]+VLOOKUP(VENTAS[[#This Row],[Código del producto Vendido]],STOCK[],19,FALSE)*VENTAS[[#This Row],[Cantidad]],VENTAS[[#This Row],[Total]])</f>
        <v>41.4999999999999</v>
      </c>
      <c r="L28" s="35">
        <f>VENTAS[[#This Row],[Total]]-VENTAS[[#This Row],[Comisión 10%]]-VENTAS[[#This Row],[Costo SIN Comision]]</f>
        <v>33.5000000000001</v>
      </c>
      <c r="M28" s="35"/>
    </row>
    <row r="29" ht="20" customHeight="1" spans="1:13">
      <c r="A29" s="29">
        <v>45017</v>
      </c>
      <c r="B29" s="30"/>
      <c r="C29" s="30"/>
      <c r="D29" s="30"/>
      <c r="E29" s="30" t="s">
        <v>423</v>
      </c>
      <c r="F29" s="30" t="str">
        <f>IFERROR(VLOOKUP(VENTAS[[#This Row],[Código del producto Vendido]],STOCK[],5,FALSE),"-")</f>
        <v>Bañador una pieza tropical_L</v>
      </c>
      <c r="G29" s="34">
        <v>3</v>
      </c>
      <c r="H29" s="35">
        <v>25</v>
      </c>
      <c r="I29" s="35">
        <f>VENTAS[[#This Row],[Cantidad]]*VENTAS[[#This Row],[Precio Venta]]</f>
        <v>75</v>
      </c>
      <c r="J29" s="35">
        <f>IF(VENTAS[[#This Row],[Nombre del Gestor]]&gt;1,VENTAS[[#This Row],[Total]]*10%,0)</f>
        <v>0</v>
      </c>
      <c r="K29" s="35">
        <f>IFERROR(VLOOKUP(VENTAS[[#This Row],[Código del producto Vendido]],STOCK[],16,FALSE)*VENTAS[[#This Row],[Cantidad]]+VLOOKUP(VENTAS[[#This Row],[Código del producto Vendido]],STOCK[],19,FALSE)*VENTAS[[#This Row],[Cantidad]],VENTAS[[#This Row],[Total]])</f>
        <v>41.4999999999999</v>
      </c>
      <c r="L29" s="35">
        <f>VENTAS[[#This Row],[Total]]-VENTAS[[#This Row],[Comisión 10%]]-VENTAS[[#This Row],[Costo SIN Comision]]</f>
        <v>33.5000000000001</v>
      </c>
      <c r="M29" s="35"/>
    </row>
    <row r="30" ht="20" customHeight="1" spans="1:13">
      <c r="A30" s="29">
        <v>45017</v>
      </c>
      <c r="B30" s="30"/>
      <c r="C30" s="30"/>
      <c r="D30" s="30"/>
      <c r="E30" s="30" t="s">
        <v>448</v>
      </c>
      <c r="F30" s="30" t="str">
        <f>IFERROR(VLOOKUP(VENTAS[[#This Row],[Código del producto Vendido]],STOCK[],5,FALSE),"-")</f>
        <v>Bañador estampado de planta</v>
      </c>
      <c r="G30" s="34">
        <v>2</v>
      </c>
      <c r="H30" s="35">
        <v>25</v>
      </c>
      <c r="I30" s="35">
        <f>VENTAS[[#This Row],[Cantidad]]*VENTAS[[#This Row],[Precio Venta]]</f>
        <v>50</v>
      </c>
      <c r="J30" s="35">
        <f>IF(VENTAS[[#This Row],[Nombre del Gestor]]&gt;1,VENTAS[[#This Row],[Total]]*10%,0)</f>
        <v>0</v>
      </c>
      <c r="K30" s="35">
        <f>IFERROR(VLOOKUP(VENTAS[[#This Row],[Código del producto Vendido]],STOCK[],16,FALSE)*VENTAS[[#This Row],[Cantidad]]+VLOOKUP(VENTAS[[#This Row],[Código del producto Vendido]],STOCK[],19,FALSE)*VENTAS[[#This Row],[Cantidad]],VENTAS[[#This Row],[Total]])</f>
        <v>26.8333333333334</v>
      </c>
      <c r="L30" s="35">
        <f>VENTAS[[#This Row],[Total]]-VENTAS[[#This Row],[Comisión 10%]]-VENTAS[[#This Row],[Costo SIN Comision]]</f>
        <v>23.1666666666666</v>
      </c>
      <c r="M30" s="35"/>
    </row>
    <row r="31" ht="20" customHeight="1" spans="1:13">
      <c r="A31" s="29">
        <v>45017</v>
      </c>
      <c r="B31" s="30"/>
      <c r="C31" s="30"/>
      <c r="D31" s="30"/>
      <c r="E31" s="30" t="s">
        <v>453</v>
      </c>
      <c r="F31" s="30" t="str">
        <f>IFERROR(VLOOKUP(VENTAS[[#This Row],[Código del producto Vendido]],STOCK[],5,FALSE),"-")</f>
        <v>Bañador bikini de manga raglán con cordón floral</v>
      </c>
      <c r="G31" s="34">
        <v>1</v>
      </c>
      <c r="H31" s="35">
        <v>25</v>
      </c>
      <c r="I31" s="35">
        <f>VENTAS[[#This Row],[Cantidad]]*VENTAS[[#This Row],[Precio Venta]]</f>
        <v>25</v>
      </c>
      <c r="J31" s="35">
        <f>IF(VENTAS[[#This Row],[Nombre del Gestor]]&gt;1,VENTAS[[#This Row],[Total]]*10%,0)</f>
        <v>0</v>
      </c>
      <c r="K31" s="35">
        <f>IFERROR(VLOOKUP(VENTAS[[#This Row],[Código del producto Vendido]],STOCK[],16,FALSE)*VENTAS[[#This Row],[Cantidad]]+VLOOKUP(VENTAS[[#This Row],[Código del producto Vendido]],STOCK[],19,FALSE)*VENTAS[[#This Row],[Cantidad]],VENTAS[[#This Row],[Total]])</f>
        <v>19.7944444444444</v>
      </c>
      <c r="L31" s="35">
        <f>VENTAS[[#This Row],[Total]]-VENTAS[[#This Row],[Comisión 10%]]-VENTAS[[#This Row],[Costo SIN Comision]]</f>
        <v>5.2055555555556</v>
      </c>
      <c r="M31" s="35"/>
    </row>
    <row r="32" ht="20" customHeight="1" spans="1:13">
      <c r="A32" s="29">
        <v>45017</v>
      </c>
      <c r="B32" s="30"/>
      <c r="C32" s="30"/>
      <c r="D32" s="30"/>
      <c r="E32" s="30" t="s">
        <v>450</v>
      </c>
      <c r="F32" s="30" t="str">
        <f>IFERROR(VLOOKUP(VENTAS[[#This Row],[Código del producto Vendido]],STOCK[],5,FALSE),"-")</f>
        <v>Bañador estampado de planta</v>
      </c>
      <c r="G32" s="34">
        <v>2</v>
      </c>
      <c r="H32" s="35">
        <v>25</v>
      </c>
      <c r="I32" s="35">
        <f>VENTAS[[#This Row],[Cantidad]]*VENTAS[[#This Row],[Precio Venta]]</f>
        <v>50</v>
      </c>
      <c r="J32" s="35">
        <f>IF(VENTAS[[#This Row],[Nombre del Gestor]]&gt;1,VENTAS[[#This Row],[Total]]*10%,0)</f>
        <v>0</v>
      </c>
      <c r="K32" s="35">
        <f>IFERROR(VLOOKUP(VENTAS[[#This Row],[Código del producto Vendido]],STOCK[],16,FALSE)*VENTAS[[#This Row],[Cantidad]]+VLOOKUP(VENTAS[[#This Row],[Código del producto Vendido]],STOCK[],19,FALSE)*VENTAS[[#This Row],[Cantidad]],VENTAS[[#This Row],[Total]])</f>
        <v>26.8333333333334</v>
      </c>
      <c r="L32" s="35">
        <f>VENTAS[[#This Row],[Total]]-VENTAS[[#This Row],[Comisión 10%]]-VENTAS[[#This Row],[Costo SIN Comision]]</f>
        <v>23.1666666666666</v>
      </c>
      <c r="M32" s="35"/>
    </row>
    <row r="33" ht="20" customHeight="1" spans="1:13">
      <c r="A33" s="29">
        <v>45017</v>
      </c>
      <c r="B33" s="30"/>
      <c r="C33" s="30"/>
      <c r="D33" s="30"/>
      <c r="E33" s="30" t="s">
        <v>417</v>
      </c>
      <c r="F33" s="30" t="str">
        <f>IFERROR(VLOOKUP(VENTAS[[#This Row],[Código del producto Vendido]],STOCK[],5,FALSE),"-")</f>
        <v>Bikini tropical con estampado de hoja</v>
      </c>
      <c r="G33" s="34">
        <v>1</v>
      </c>
      <c r="H33" s="35">
        <v>25</v>
      </c>
      <c r="I33" s="35">
        <f>VENTAS[[#This Row],[Cantidad]]*VENTAS[[#This Row],[Precio Venta]]</f>
        <v>25</v>
      </c>
      <c r="J33" s="35">
        <f>IF(VENTAS[[#This Row],[Nombre del Gestor]]&gt;1,VENTAS[[#This Row],[Total]]*10%,0)</f>
        <v>0</v>
      </c>
      <c r="K33" s="35">
        <f>IFERROR(VLOOKUP(VENTAS[[#This Row],[Código del producto Vendido]],STOCK[],16,FALSE)*VENTAS[[#This Row],[Cantidad]]+VLOOKUP(VENTAS[[#This Row],[Código del producto Vendido]],STOCK[],19,FALSE)*VENTAS[[#This Row],[Cantidad]],VENTAS[[#This Row],[Total]])</f>
        <v>13.3888888888889</v>
      </c>
      <c r="L33" s="35">
        <f>VENTAS[[#This Row],[Total]]-VENTAS[[#This Row],[Comisión 10%]]-VENTAS[[#This Row],[Costo SIN Comision]]</f>
        <v>11.6111111111111</v>
      </c>
      <c r="M33" s="35"/>
    </row>
    <row r="34" ht="20" customHeight="1" spans="1:13">
      <c r="A34" s="29">
        <v>45017</v>
      </c>
      <c r="B34" s="30"/>
      <c r="C34" s="30"/>
      <c r="D34" s="30"/>
      <c r="E34" s="30" t="s">
        <v>412</v>
      </c>
      <c r="F34" s="30" t="str">
        <f>IFERROR(VLOOKUP(VENTAS[[#This Row],[Código del producto Vendido]],STOCK[],5,FALSE),"-")</f>
        <v>Bikini Floral</v>
      </c>
      <c r="G34" s="34">
        <v>1</v>
      </c>
      <c r="H34" s="35">
        <v>25</v>
      </c>
      <c r="I34" s="35">
        <f>VENTAS[[#This Row],[Cantidad]]*VENTAS[[#This Row],[Precio Venta]]</f>
        <v>25</v>
      </c>
      <c r="J34" s="35">
        <f>IF(VENTAS[[#This Row],[Nombre del Gestor]]&gt;1,VENTAS[[#This Row],[Total]]*10%,0)</f>
        <v>0</v>
      </c>
      <c r="K34" s="35">
        <f>IFERROR(VLOOKUP(VENTAS[[#This Row],[Código del producto Vendido]],STOCK[],16,FALSE)*VENTAS[[#This Row],[Cantidad]]+VLOOKUP(VENTAS[[#This Row],[Código del producto Vendido]],STOCK[],19,FALSE)*VENTAS[[#This Row],[Cantidad]],VENTAS[[#This Row],[Total]])</f>
        <v>13.9444444444444</v>
      </c>
      <c r="L34" s="35">
        <f>VENTAS[[#This Row],[Total]]-VENTAS[[#This Row],[Comisión 10%]]-VENTAS[[#This Row],[Costo SIN Comision]]</f>
        <v>11.0555555555556</v>
      </c>
      <c r="M34" s="35"/>
    </row>
    <row r="35" ht="20" customHeight="1" spans="1:13">
      <c r="A35" s="29">
        <v>45017</v>
      </c>
      <c r="B35" s="30"/>
      <c r="C35" s="30"/>
      <c r="D35" s="30"/>
      <c r="E35" s="30" t="s">
        <v>458</v>
      </c>
      <c r="F35" s="30" t="str">
        <f>IFERROR(VLOOKUP(VENTAS[[#This Row],[Código del producto Vendido]],STOCK[],5,FALSE),"-")</f>
        <v>Bañador bikini con estampado tropical_M</v>
      </c>
      <c r="G35" s="34">
        <v>1</v>
      </c>
      <c r="H35" s="35">
        <v>22</v>
      </c>
      <c r="I35" s="35">
        <f>VENTAS[[#This Row],[Cantidad]]*VENTAS[[#This Row],[Precio Venta]]</f>
        <v>22</v>
      </c>
      <c r="J35" s="35">
        <f>IF(VENTAS[[#This Row],[Nombre del Gestor]]&gt;1,VENTAS[[#This Row],[Total]]*10%,0)</f>
        <v>0</v>
      </c>
      <c r="K35" s="35">
        <f>IFERROR(VLOOKUP(VENTAS[[#This Row],[Código del producto Vendido]],STOCK[],16,FALSE)*VENTAS[[#This Row],[Cantidad]]+VLOOKUP(VENTAS[[#This Row],[Código del producto Vendido]],STOCK[],19,FALSE)*VENTAS[[#This Row],[Cantidad]],VENTAS[[#This Row],[Total]])</f>
        <v>11.2022222222222</v>
      </c>
      <c r="L35" s="35">
        <f>VENTAS[[#This Row],[Total]]-VENTAS[[#This Row],[Comisión 10%]]-VENTAS[[#This Row],[Costo SIN Comision]]</f>
        <v>10.7977777777778</v>
      </c>
      <c r="M35" s="35"/>
    </row>
    <row r="36" ht="20" customHeight="1" spans="1:13">
      <c r="A36" s="29">
        <v>45017</v>
      </c>
      <c r="B36" s="30"/>
      <c r="C36" s="30"/>
      <c r="D36" s="30"/>
      <c r="E36" s="30" t="s">
        <v>460</v>
      </c>
      <c r="F36" s="30" t="str">
        <f>IFERROR(VLOOKUP(VENTAS[[#This Row],[Código del producto Vendido]],STOCK[],5,FALSE),"-")</f>
        <v>Bañador bikini con estampado tropical con nudo de talle alto_M</v>
      </c>
      <c r="G36" s="34">
        <v>1</v>
      </c>
      <c r="H36" s="35">
        <v>22</v>
      </c>
      <c r="I36" s="35">
        <f>VENTAS[[#This Row],[Cantidad]]*VENTAS[[#This Row],[Precio Venta]]</f>
        <v>22</v>
      </c>
      <c r="J36" s="35">
        <f>IF(VENTAS[[#This Row],[Nombre del Gestor]]&gt;1,VENTAS[[#This Row],[Total]]*10%,0)</f>
        <v>0</v>
      </c>
      <c r="K36" s="35">
        <f>IFERROR(VLOOKUP(VENTAS[[#This Row],[Código del producto Vendido]],STOCK[],16,FALSE)*VENTAS[[#This Row],[Cantidad]]+VLOOKUP(VENTAS[[#This Row],[Código del producto Vendido]],STOCK[],19,FALSE)*VENTAS[[#This Row],[Cantidad]],VENTAS[[#This Row],[Total]])</f>
        <v>11.4027777777778</v>
      </c>
      <c r="L36" s="35">
        <f>VENTAS[[#This Row],[Total]]-VENTAS[[#This Row],[Comisión 10%]]-VENTAS[[#This Row],[Costo SIN Comision]]</f>
        <v>10.5972222222222</v>
      </c>
      <c r="M36" s="35"/>
    </row>
    <row r="37" ht="20" customHeight="1" spans="1:13">
      <c r="A37" s="29">
        <v>45017</v>
      </c>
      <c r="B37" s="30"/>
      <c r="C37" s="30"/>
      <c r="D37" s="30"/>
      <c r="E37" s="30" t="s">
        <v>472</v>
      </c>
      <c r="F37" s="30" t="str">
        <f>IFERROR(VLOOKUP(VENTAS[[#This Row],[Código del producto Vendido]],STOCK[],5,FALSE),"-")</f>
        <v>SHEIN Vestido de hombros descubiertos con botón falso de cintura fruncido de manga farol_S</v>
      </c>
      <c r="G37" s="34">
        <v>1</v>
      </c>
      <c r="H37" s="35">
        <v>25</v>
      </c>
      <c r="I37" s="35">
        <f>VENTAS[[#This Row],[Cantidad]]*VENTAS[[#This Row],[Precio Venta]]</f>
        <v>25</v>
      </c>
      <c r="J37" s="35">
        <f>IF(VENTAS[[#This Row],[Nombre del Gestor]]&gt;1,VENTAS[[#This Row],[Total]]*10%,0)</f>
        <v>0</v>
      </c>
      <c r="K37" s="35">
        <f>IFERROR(VLOOKUP(VENTAS[[#This Row],[Código del producto Vendido]],STOCK[],16,FALSE)*VENTAS[[#This Row],[Cantidad]]+VLOOKUP(VENTAS[[#This Row],[Código del producto Vendido]],STOCK[],19,FALSE)*VENTAS[[#This Row],[Cantidad]],VENTAS[[#This Row],[Total]])</f>
        <v>17.2605555555556</v>
      </c>
      <c r="L37" s="35">
        <f>VENTAS[[#This Row],[Total]]-VENTAS[[#This Row],[Comisión 10%]]-VENTAS[[#This Row],[Costo SIN Comision]]</f>
        <v>7.7394444444444</v>
      </c>
      <c r="M37" s="35"/>
    </row>
    <row r="38" ht="20" customHeight="1" spans="1:13">
      <c r="A38" s="29">
        <v>45017</v>
      </c>
      <c r="B38" s="30"/>
      <c r="C38" s="30"/>
      <c r="D38" s="30"/>
      <c r="E38" s="30" t="s">
        <v>474</v>
      </c>
      <c r="F38" s="30" t="str">
        <f>IFERROR(VLOOKUP(VENTAS[[#This Row],[Código del producto Vendido]],STOCK[],5,FALSE),"-")</f>
        <v>Bañador bikini push up de cuadros girante_M</v>
      </c>
      <c r="G38" s="34">
        <v>1</v>
      </c>
      <c r="H38" s="35">
        <v>22</v>
      </c>
      <c r="I38" s="35">
        <f>VENTAS[[#This Row],[Cantidad]]*VENTAS[[#This Row],[Precio Venta]]</f>
        <v>22</v>
      </c>
      <c r="J38" s="35">
        <f>IF(VENTAS[[#This Row],[Nombre del Gestor]]&gt;1,VENTAS[[#This Row],[Total]]*10%,0)</f>
        <v>0</v>
      </c>
      <c r="K38" s="35">
        <f>IFERROR(VLOOKUP(VENTAS[[#This Row],[Código del producto Vendido]],STOCK[],16,FALSE)*VENTAS[[#This Row],[Cantidad]]+VLOOKUP(VENTAS[[#This Row],[Código del producto Vendido]],STOCK[],19,FALSE)*VENTAS[[#This Row],[Cantidad]],VENTAS[[#This Row],[Total]])</f>
        <v>11.0011111111111</v>
      </c>
      <c r="L38" s="35">
        <f>VENTAS[[#This Row],[Total]]-VENTAS[[#This Row],[Comisión 10%]]-VENTAS[[#This Row],[Costo SIN Comision]]</f>
        <v>10.9988888888889</v>
      </c>
      <c r="M38" s="35"/>
    </row>
    <row r="39" ht="20" customHeight="1" spans="1:13">
      <c r="A39" s="29">
        <v>45017</v>
      </c>
      <c r="B39" s="30"/>
      <c r="C39" s="30"/>
      <c r="D39" s="30"/>
      <c r="E39" s="30" t="s">
        <v>486</v>
      </c>
      <c r="F39" s="30" t="str">
        <f>IFERROR(VLOOKUP(VENTAS[[#This Row],[Código del producto Vendido]],STOCK[],5,FALSE),"-")</f>
        <v>Bolsa bandolera</v>
      </c>
      <c r="G39" s="34">
        <v>1</v>
      </c>
      <c r="H39" s="35">
        <v>15</v>
      </c>
      <c r="I39" s="35">
        <f>VENTAS[[#This Row],[Cantidad]]*VENTAS[[#This Row],[Precio Venta]]</f>
        <v>15</v>
      </c>
      <c r="J39" s="35">
        <f>IF(VENTAS[[#This Row],[Nombre del Gestor]]&gt;1,VENTAS[[#This Row],[Total]]*10%,0)</f>
        <v>0</v>
      </c>
      <c r="K39" s="35">
        <f>IFERROR(VLOOKUP(VENTAS[[#This Row],[Código del producto Vendido]],STOCK[],16,FALSE)*VENTAS[[#This Row],[Cantidad]]+VLOOKUP(VENTAS[[#This Row],[Código del producto Vendido]],STOCK[],19,FALSE)*VENTAS[[#This Row],[Cantidad]],VENTAS[[#This Row],[Total]])</f>
        <v>8.94444444444444</v>
      </c>
      <c r="L39" s="35">
        <f>VENTAS[[#This Row],[Total]]-VENTAS[[#This Row],[Comisión 10%]]-VENTAS[[#This Row],[Costo SIN Comision]]</f>
        <v>6.05555555555556</v>
      </c>
      <c r="M39" s="35"/>
    </row>
    <row r="40" ht="20" customHeight="1" spans="1:13">
      <c r="A40" s="29">
        <v>45017</v>
      </c>
      <c r="B40" s="30"/>
      <c r="C40" s="30"/>
      <c r="D40" s="30"/>
      <c r="E40" s="30" t="s">
        <v>490</v>
      </c>
      <c r="F40" s="30" t="str">
        <f>IFERROR(VLOOKUP(VENTAS[[#This Row],[Código del producto Vendido]],STOCK[],5,FALSE),"-")</f>
        <v>Bolso cartera con solapa transparente</v>
      </c>
      <c r="G40" s="34">
        <v>1</v>
      </c>
      <c r="H40" s="35">
        <v>10</v>
      </c>
      <c r="I40" s="35">
        <f>VENTAS[[#This Row],[Cantidad]]*VENTAS[[#This Row],[Precio Venta]]</f>
        <v>10</v>
      </c>
      <c r="J40" s="35">
        <f>IF(VENTAS[[#This Row],[Nombre del Gestor]]&gt;1,VENTAS[[#This Row],[Total]]*10%,0)</f>
        <v>0</v>
      </c>
      <c r="K40" s="35">
        <f>IFERROR(VLOOKUP(VENTAS[[#This Row],[Código del producto Vendido]],STOCK[],16,FALSE)*VENTAS[[#This Row],[Cantidad]]+VLOOKUP(VENTAS[[#This Row],[Código del producto Vendido]],STOCK[],19,FALSE)*VENTAS[[#This Row],[Cantidad]],VENTAS[[#This Row],[Total]])</f>
        <v>5.13055555555556</v>
      </c>
      <c r="L40" s="35">
        <f>VENTAS[[#This Row],[Total]]-VENTAS[[#This Row],[Comisión 10%]]-VENTAS[[#This Row],[Costo SIN Comision]]</f>
        <v>4.86944444444444</v>
      </c>
      <c r="M40" s="35"/>
    </row>
    <row r="41" ht="20" customHeight="1" spans="1:13">
      <c r="A41" s="29">
        <v>45017</v>
      </c>
      <c r="B41" s="30"/>
      <c r="C41" s="30"/>
      <c r="D41" s="30"/>
      <c r="E41" s="30" t="s">
        <v>490</v>
      </c>
      <c r="F41" s="30" t="str">
        <f>IFERROR(VLOOKUP(VENTAS[[#This Row],[Código del producto Vendido]],STOCK[],5,FALSE),"-")</f>
        <v>Bolso cartera con solapa transparente</v>
      </c>
      <c r="G41" s="34">
        <v>1</v>
      </c>
      <c r="H41" s="35">
        <v>10</v>
      </c>
      <c r="I41" s="35">
        <f>VENTAS[[#This Row],[Cantidad]]*VENTAS[[#This Row],[Precio Venta]]</f>
        <v>10</v>
      </c>
      <c r="J41" s="35">
        <f>IF(VENTAS[[#This Row],[Nombre del Gestor]]&gt;1,VENTAS[[#This Row],[Total]]*10%,0)</f>
        <v>0</v>
      </c>
      <c r="K41" s="35">
        <f>IFERROR(VLOOKUP(VENTAS[[#This Row],[Código del producto Vendido]],STOCK[],16,FALSE)*VENTAS[[#This Row],[Cantidad]]+VLOOKUP(VENTAS[[#This Row],[Código del producto Vendido]],STOCK[],19,FALSE)*VENTAS[[#This Row],[Cantidad]],VENTAS[[#This Row],[Total]])</f>
        <v>5.13055555555556</v>
      </c>
      <c r="L41" s="35">
        <f>VENTAS[[#This Row],[Total]]-VENTAS[[#This Row],[Comisión 10%]]-VENTAS[[#This Row],[Costo SIN Comision]]</f>
        <v>4.86944444444444</v>
      </c>
      <c r="M41" s="35"/>
    </row>
    <row r="42" ht="20" customHeight="1" spans="1:13">
      <c r="A42" s="29">
        <v>45017</v>
      </c>
      <c r="B42" s="30"/>
      <c r="C42" s="30"/>
      <c r="D42" s="30"/>
      <c r="E42" s="30" t="s">
        <v>494</v>
      </c>
      <c r="F42" s="30" t="str">
        <f>IFERROR(VLOOKUP(VENTAS[[#This Row],[Código del producto Vendido]],STOCK[],5,FALSE),"-")</f>
        <v>Bañador bikini con nudo delantero bajo fruncido tropical_S</v>
      </c>
      <c r="G42" s="34">
        <v>1</v>
      </c>
      <c r="H42" s="35">
        <v>22</v>
      </c>
      <c r="I42" s="35">
        <f>VENTAS[[#This Row],[Cantidad]]*VENTAS[[#This Row],[Precio Venta]]</f>
        <v>22</v>
      </c>
      <c r="J42" s="35">
        <f>IF(VENTAS[[#This Row],[Nombre del Gestor]]&gt;1,VENTAS[[#This Row],[Total]]*10%,0)</f>
        <v>0</v>
      </c>
      <c r="K42" s="35">
        <f>IFERROR(VLOOKUP(VENTAS[[#This Row],[Código del producto Vendido]],STOCK[],16,FALSE)*VENTAS[[#This Row],[Cantidad]]+VLOOKUP(VENTAS[[#This Row],[Código del producto Vendido]],STOCK[],19,FALSE)*VENTAS[[#This Row],[Cantidad]],VENTAS[[#This Row],[Total]])</f>
        <v>12.4805555555556</v>
      </c>
      <c r="L42" s="35">
        <f>VENTAS[[#This Row],[Total]]-VENTAS[[#This Row],[Comisión 10%]]-VENTAS[[#This Row],[Costo SIN Comision]]</f>
        <v>9.5194444444444</v>
      </c>
      <c r="M42" s="35"/>
    </row>
    <row r="43" ht="20" customHeight="1" spans="1:13">
      <c r="A43" s="29">
        <v>45017</v>
      </c>
      <c r="B43" s="30"/>
      <c r="C43" s="30"/>
      <c r="D43" s="30"/>
      <c r="E43" s="30" t="s">
        <v>500</v>
      </c>
      <c r="F43" s="30" t="str">
        <f>IFERROR(VLOOKUP(VENTAS[[#This Row],[Código del producto Vendido]],STOCK[],5,FALSE),"-")</f>
        <v>3 piezas Bañador bikini push up con estampado tropical con falda de playa</v>
      </c>
      <c r="G43" s="34">
        <v>2</v>
      </c>
      <c r="H43" s="35">
        <v>25</v>
      </c>
      <c r="I43" s="35">
        <f>VENTAS[[#This Row],[Cantidad]]*VENTAS[[#This Row],[Precio Venta]]</f>
        <v>50</v>
      </c>
      <c r="J43" s="35">
        <f>IF(VENTAS[[#This Row],[Nombre del Gestor]]&gt;1,VENTAS[[#This Row],[Total]]*10%,0)</f>
        <v>0</v>
      </c>
      <c r="K43" s="35">
        <f>IFERROR(VLOOKUP(VENTAS[[#This Row],[Código del producto Vendido]],STOCK[],16,FALSE)*VENTAS[[#This Row],[Cantidad]]+VLOOKUP(VENTAS[[#This Row],[Código del producto Vendido]],STOCK[],19,FALSE)*VENTAS[[#This Row],[Cantidad]],VENTAS[[#This Row],[Total]])</f>
        <v>33.1111111111112</v>
      </c>
      <c r="L43" s="35">
        <f>VENTAS[[#This Row],[Total]]-VENTAS[[#This Row],[Comisión 10%]]-VENTAS[[#This Row],[Costo SIN Comision]]</f>
        <v>16.8888888888888</v>
      </c>
      <c r="M43" s="35"/>
    </row>
    <row r="44" ht="20" customHeight="1" spans="1:13">
      <c r="A44" s="29">
        <v>45017</v>
      </c>
      <c r="B44" s="30"/>
      <c r="C44" s="30"/>
      <c r="D44" s="30"/>
      <c r="E44" s="30" t="s">
        <v>502</v>
      </c>
      <c r="F44" s="30" t="str">
        <f>IFERROR(VLOOKUP(VENTAS[[#This Row],[Código del producto Vendido]],STOCK[],5,FALSE),"-")</f>
        <v>Bikini push up tropical </v>
      </c>
      <c r="G44" s="34">
        <v>1</v>
      </c>
      <c r="H44" s="35">
        <v>25</v>
      </c>
      <c r="I44" s="35">
        <f>VENTAS[[#This Row],[Cantidad]]*VENTAS[[#This Row],[Precio Venta]]</f>
        <v>25</v>
      </c>
      <c r="J44" s="35">
        <f>IF(VENTAS[[#This Row],[Nombre del Gestor]]&gt;1,VENTAS[[#This Row],[Total]]*10%,0)</f>
        <v>0</v>
      </c>
      <c r="K44" s="35">
        <f>IFERROR(VLOOKUP(VENTAS[[#This Row],[Código del producto Vendido]],STOCK[],16,FALSE)*VENTAS[[#This Row],[Cantidad]]+VLOOKUP(VENTAS[[#This Row],[Código del producto Vendido]],STOCK[],19,FALSE)*VENTAS[[#This Row],[Cantidad]],VENTAS[[#This Row],[Total]])</f>
        <v>16.5555555555556</v>
      </c>
      <c r="L44" s="35">
        <f>VENTAS[[#This Row],[Total]]-VENTAS[[#This Row],[Comisión 10%]]-VENTAS[[#This Row],[Costo SIN Comision]]</f>
        <v>8.4444444444444</v>
      </c>
      <c r="M44" s="35"/>
    </row>
    <row r="45" ht="20" customHeight="1" spans="1:13">
      <c r="A45" s="29">
        <v>45017</v>
      </c>
      <c r="B45" s="30"/>
      <c r="C45" s="30"/>
      <c r="D45" s="30"/>
      <c r="E45" s="30" t="s">
        <v>507</v>
      </c>
      <c r="F45" s="30" t="str">
        <f>IFERROR(VLOOKUP(VENTAS[[#This Row],[Código del producto Vendido]],STOCK[],5,FALSE),"-")</f>
        <v>3 piezas Bañador bikini triángulo halter con estampado geométrico con pantalones cover up</v>
      </c>
      <c r="G45" s="34">
        <v>2</v>
      </c>
      <c r="H45" s="35">
        <v>25</v>
      </c>
      <c r="I45" s="35">
        <f>VENTAS[[#This Row],[Cantidad]]*VENTAS[[#This Row],[Precio Venta]]</f>
        <v>50</v>
      </c>
      <c r="J45" s="35">
        <f>IF(VENTAS[[#This Row],[Nombre del Gestor]]&gt;1,VENTAS[[#This Row],[Total]]*10%,0)</f>
        <v>0</v>
      </c>
      <c r="K45" s="35">
        <f>IFERROR(VLOOKUP(VENTAS[[#This Row],[Código del producto Vendido]],STOCK[],16,FALSE)*VENTAS[[#This Row],[Cantidad]]+VLOOKUP(VENTAS[[#This Row],[Código del producto Vendido]],STOCK[],19,FALSE)*VENTAS[[#This Row],[Cantidad]],VENTAS[[#This Row],[Total]])</f>
        <v>32.0888888888888</v>
      </c>
      <c r="L45" s="35">
        <f>VENTAS[[#This Row],[Total]]-VENTAS[[#This Row],[Comisión 10%]]-VENTAS[[#This Row],[Costo SIN Comision]]</f>
        <v>17.9111111111112</v>
      </c>
      <c r="M45" s="35"/>
    </row>
    <row r="46" ht="20" customHeight="1" spans="1:13">
      <c r="A46" s="29">
        <v>45017</v>
      </c>
      <c r="B46" s="30"/>
      <c r="C46" s="30"/>
      <c r="D46" s="30"/>
      <c r="E46" s="30" t="s">
        <v>535</v>
      </c>
      <c r="F46" s="30" t="str">
        <f>IFERROR(VLOOKUP(VENTAS[[#This Row],[Código del producto Vendido]],STOCK[],5,FALSE),"-")</f>
        <v>Gafas minimalista de moda </v>
      </c>
      <c r="G46" s="34">
        <v>1</v>
      </c>
      <c r="H46" s="35">
        <v>10</v>
      </c>
      <c r="I46" s="35">
        <f>VENTAS[[#This Row],[Cantidad]]*VENTAS[[#This Row],[Precio Venta]]</f>
        <v>10</v>
      </c>
      <c r="J46" s="35">
        <f>IF(VENTAS[[#This Row],[Nombre del Gestor]]&gt;1,VENTAS[[#This Row],[Total]]*10%,0)</f>
        <v>0</v>
      </c>
      <c r="K46" s="35">
        <f>IFERROR(VLOOKUP(VENTAS[[#This Row],[Código del producto Vendido]],STOCK[],16,FALSE)*VENTAS[[#This Row],[Cantidad]]+VLOOKUP(VENTAS[[#This Row],[Código del producto Vendido]],STOCK[],19,FALSE)*VENTAS[[#This Row],[Cantidad]],VENTAS[[#This Row],[Total]])</f>
        <v>5.83055555555556</v>
      </c>
      <c r="L46" s="35">
        <f>VENTAS[[#This Row],[Total]]-VENTAS[[#This Row],[Comisión 10%]]-VENTAS[[#This Row],[Costo SIN Comision]]</f>
        <v>4.16944444444444</v>
      </c>
      <c r="M46" s="35"/>
    </row>
    <row r="47" ht="20" customHeight="1" spans="1:13">
      <c r="A47" s="29">
        <v>45017</v>
      </c>
      <c r="B47" s="30"/>
      <c r="C47" s="30"/>
      <c r="D47" s="30"/>
      <c r="E47" s="30" t="s">
        <v>537</v>
      </c>
      <c r="F47" s="30" t="str">
        <f>IFERROR(VLOOKUP(VENTAS[[#This Row],[Código del producto Vendido]],STOCK[],5,FALSE),"-")</f>
        <v>Sandalias de tiras con diseño de diamante de imitación con tacón grueso Plateado_MX24</v>
      </c>
      <c r="G47" s="34">
        <v>1</v>
      </c>
      <c r="H47" s="35">
        <v>40</v>
      </c>
      <c r="I47" s="35">
        <f>VENTAS[[#This Row],[Cantidad]]*VENTAS[[#This Row],[Precio Venta]]</f>
        <v>40</v>
      </c>
      <c r="J47" s="35">
        <f>IF(VENTAS[[#This Row],[Nombre del Gestor]]&gt;1,VENTAS[[#This Row],[Total]]*10%,0)</f>
        <v>0</v>
      </c>
      <c r="K47" s="35">
        <f>IFERROR(VLOOKUP(VENTAS[[#This Row],[Código del producto Vendido]],STOCK[],16,FALSE)*VENTAS[[#This Row],[Cantidad]]+VLOOKUP(VENTAS[[#This Row],[Código del producto Vendido]],STOCK[],19,FALSE)*VENTAS[[#This Row],[Cantidad]],VENTAS[[#This Row],[Total]])</f>
        <v>27.9222222222222</v>
      </c>
      <c r="L47" s="35">
        <f>VENTAS[[#This Row],[Total]]-VENTAS[[#This Row],[Comisión 10%]]-VENTAS[[#This Row],[Costo SIN Comision]]</f>
        <v>12.0777777777778</v>
      </c>
      <c r="M47" s="35"/>
    </row>
    <row r="48" ht="20" customHeight="1" spans="1:13">
      <c r="A48" s="29">
        <v>45017</v>
      </c>
      <c r="B48" s="30"/>
      <c r="C48" s="30"/>
      <c r="D48" s="30"/>
      <c r="E48" s="30" t="s">
        <v>540</v>
      </c>
      <c r="F48" s="30" t="str">
        <f>IFERROR(VLOOKUP(VENTAS[[#This Row],[Código del producto Vendido]],STOCK[],5,FALSE),"-")</f>
        <v>SHEIN Felegant Shorts PU de cintura con volante con cordón Negro_5</v>
      </c>
      <c r="G48" s="34">
        <v>1</v>
      </c>
      <c r="H48" s="35">
        <v>19</v>
      </c>
      <c r="I48" s="35">
        <f>VENTAS[[#This Row],[Cantidad]]*VENTAS[[#This Row],[Precio Venta]]</f>
        <v>19</v>
      </c>
      <c r="J48" s="35">
        <f>IF(VENTAS[[#This Row],[Nombre del Gestor]]&gt;1,VENTAS[[#This Row],[Total]]*10%,0)</f>
        <v>0</v>
      </c>
      <c r="K48" s="35">
        <f>IFERROR(VLOOKUP(VENTAS[[#This Row],[Código del producto Vendido]],STOCK[],16,FALSE)*VENTAS[[#This Row],[Cantidad]]+VLOOKUP(VENTAS[[#This Row],[Código del producto Vendido]],STOCK[],19,FALSE)*VENTAS[[#This Row],[Cantidad]],VENTAS[[#This Row],[Total]])</f>
        <v>12.5222222222222</v>
      </c>
      <c r="L48" s="35">
        <f>VENTAS[[#This Row],[Total]]-VENTAS[[#This Row],[Comisión 10%]]-VENTAS[[#This Row],[Costo SIN Comision]]</f>
        <v>6.4777777777778</v>
      </c>
      <c r="M48" s="35"/>
    </row>
    <row r="49" ht="20" customHeight="1" spans="1:13">
      <c r="A49" s="29">
        <v>45017</v>
      </c>
      <c r="B49" s="30" t="s">
        <v>3298</v>
      </c>
      <c r="C49" s="30"/>
      <c r="D49" s="30"/>
      <c r="E49" s="30" t="s">
        <v>550</v>
      </c>
      <c r="F49" s="30" t="str">
        <f>IFERROR(VLOOKUP(VENTAS[[#This Row],[Código del producto Vendido]],STOCK[],5,FALSE),"-")</f>
        <v>Botines con tacón con cordón</v>
      </c>
      <c r="G49" s="34">
        <v>1</v>
      </c>
      <c r="H49" s="35">
        <v>40</v>
      </c>
      <c r="I49" s="35">
        <f>VENTAS[[#This Row],[Cantidad]]*VENTAS[[#This Row],[Precio Venta]]</f>
        <v>40</v>
      </c>
      <c r="J49" s="35">
        <f>IF(VENTAS[[#This Row],[Nombre del Gestor]]&gt;1,VENTAS[[#This Row],[Total]]*10%,0)</f>
        <v>0</v>
      </c>
      <c r="K49" s="35">
        <f>IFERROR(VLOOKUP(VENTAS[[#This Row],[Código del producto Vendido]],STOCK[],16,FALSE)*VENTAS[[#This Row],[Cantidad]]+VLOOKUP(VENTAS[[#This Row],[Código del producto Vendido]],STOCK[],19,FALSE)*VENTAS[[#This Row],[Cantidad]],VENTAS[[#This Row],[Total]])</f>
        <v>27.7861111111111</v>
      </c>
      <c r="L49" s="35">
        <f>VENTAS[[#This Row],[Total]]-VENTAS[[#This Row],[Comisión 10%]]-VENTAS[[#This Row],[Costo SIN Comision]]</f>
        <v>12.2138888888889</v>
      </c>
      <c r="M49" s="35"/>
    </row>
    <row r="50" ht="20" customHeight="1" spans="1:13">
      <c r="A50" s="29">
        <v>45017</v>
      </c>
      <c r="B50" s="30"/>
      <c r="C50" s="30"/>
      <c r="D50" s="30"/>
      <c r="E50" s="30" t="s">
        <v>552</v>
      </c>
      <c r="F50" s="30" t="str">
        <f>IFERROR(VLOOKUP(VENTAS[[#This Row],[Código del producto Vendido]],STOCK[],5,FALSE),"-")</f>
        <v>Falda con abertura alta_XS</v>
      </c>
      <c r="G50" s="34">
        <v>1</v>
      </c>
      <c r="H50" s="35">
        <v>17</v>
      </c>
      <c r="I50" s="35">
        <f>VENTAS[[#This Row],[Cantidad]]*VENTAS[[#This Row],[Precio Venta]]</f>
        <v>17</v>
      </c>
      <c r="J50" s="35">
        <f>IF(VENTAS[[#This Row],[Nombre del Gestor]]&gt;1,VENTAS[[#This Row],[Total]]*10%,0)</f>
        <v>0</v>
      </c>
      <c r="K50" s="35">
        <f>IFERROR(VLOOKUP(VENTAS[[#This Row],[Código del producto Vendido]],STOCK[],16,FALSE)*VENTAS[[#This Row],[Cantidad]]+VLOOKUP(VENTAS[[#This Row],[Código del producto Vendido]],STOCK[],19,FALSE)*VENTAS[[#This Row],[Cantidad]],VENTAS[[#This Row],[Total]])</f>
        <v>9.88944444444445</v>
      </c>
      <c r="L50" s="35">
        <f>VENTAS[[#This Row],[Total]]-VENTAS[[#This Row],[Comisión 10%]]-VENTAS[[#This Row],[Costo SIN Comision]]</f>
        <v>7.11055555555555</v>
      </c>
      <c r="M50" s="35"/>
    </row>
    <row r="51" ht="20" customHeight="1" spans="1:13">
      <c r="A51" s="29">
        <v>45017</v>
      </c>
      <c r="B51" s="30"/>
      <c r="C51" s="30"/>
      <c r="D51" s="30"/>
      <c r="E51" s="30" t="s">
        <v>563</v>
      </c>
      <c r="F51" s="30" t="str">
        <f>IFERROR(VLOOKUP(VENTAS[[#This Row],[Código del producto Vendido]],STOCK[],5,FALSE),"-")</f>
        <v>Vestido de espalda abierta de manga farol_S</v>
      </c>
      <c r="G51" s="34">
        <v>3</v>
      </c>
      <c r="H51" s="35">
        <v>15</v>
      </c>
      <c r="I51" s="35">
        <f>VENTAS[[#This Row],[Cantidad]]*VENTAS[[#This Row],[Precio Venta]]</f>
        <v>45</v>
      </c>
      <c r="J51" s="35">
        <f>IF(VENTAS[[#This Row],[Nombre del Gestor]]&gt;1,VENTAS[[#This Row],[Total]]*10%,0)</f>
        <v>0</v>
      </c>
      <c r="K51" s="35">
        <f>IFERROR(VLOOKUP(VENTAS[[#This Row],[Código del producto Vendido]],STOCK[],16,FALSE)*VENTAS[[#This Row],[Cantidad]]+VLOOKUP(VENTAS[[#This Row],[Código del producto Vendido]],STOCK[],19,FALSE)*VENTAS[[#This Row],[Cantidad]],VENTAS[[#This Row],[Total]])</f>
        <v>32.1666666666667</v>
      </c>
      <c r="L51" s="35">
        <f>VENTAS[[#This Row],[Total]]-VENTAS[[#This Row],[Comisión 10%]]-VENTAS[[#This Row],[Costo SIN Comision]]</f>
        <v>12.8333333333333</v>
      </c>
      <c r="M51" s="35"/>
    </row>
    <row r="52" ht="20" customHeight="1" spans="1:13">
      <c r="A52" s="29"/>
      <c r="B52" s="30" t="s">
        <v>3298</v>
      </c>
      <c r="C52" s="30"/>
      <c r="D52" s="30"/>
      <c r="E52" s="30" t="s">
        <v>565</v>
      </c>
      <c r="F52" s="30" t="str">
        <f>IFERROR(VLOOKUP(VENTAS[[#This Row],[Código del producto Vendido]],STOCK[],5,FALSE),"-")</f>
        <v>Vestido de espalda abierta de manga farol_XS</v>
      </c>
      <c r="G52" s="34">
        <v>3</v>
      </c>
      <c r="H52" s="35">
        <v>20</v>
      </c>
      <c r="I52" s="35">
        <f>VENTAS[[#This Row],[Cantidad]]*VENTAS[[#This Row],[Precio Venta]]</f>
        <v>60</v>
      </c>
      <c r="J52" s="35">
        <f>IF(VENTAS[[#This Row],[Nombre del Gestor]]&gt;1,VENTAS[[#This Row],[Total]]*10%,0)</f>
        <v>0</v>
      </c>
      <c r="K52" s="35">
        <f>IFERROR(VLOOKUP(VENTAS[[#This Row],[Código del producto Vendido]],STOCK[],16,FALSE)*VENTAS[[#This Row],[Cantidad]]+VLOOKUP(VENTAS[[#This Row],[Código del producto Vendido]],STOCK[],19,FALSE)*VENTAS[[#This Row],[Cantidad]],VENTAS[[#This Row],[Total]])</f>
        <v>32.1666666666667</v>
      </c>
      <c r="L52" s="35">
        <f>VENTAS[[#This Row],[Total]]-VENTAS[[#This Row],[Comisión 10%]]-VENTAS[[#This Row],[Costo SIN Comision]]</f>
        <v>27.8333333333333</v>
      </c>
      <c r="M52" s="35"/>
    </row>
    <row r="53" ht="20" customHeight="1" spans="1:13">
      <c r="A53" s="29"/>
      <c r="B53" s="30" t="s">
        <v>3298</v>
      </c>
      <c r="C53" s="30"/>
      <c r="D53" s="30"/>
      <c r="E53" s="30" t="s">
        <v>657</v>
      </c>
      <c r="F53" s="30" t="str">
        <f>IFERROR(VLOOKUP(VENTAS[[#This Row],[Código del producto Vendido]],STOCK[],5,FALSE),"-")</f>
        <v>SHEIN Vestido lencero floral de muslo con abertura_XS</v>
      </c>
      <c r="G53" s="34">
        <v>4</v>
      </c>
      <c r="H53" s="35">
        <v>15</v>
      </c>
      <c r="I53" s="35">
        <f>VENTAS[[#This Row],[Cantidad]]*VENTAS[[#This Row],[Precio Venta]]</f>
        <v>60</v>
      </c>
      <c r="J53" s="35">
        <f>IF(VENTAS[[#This Row],[Nombre del Gestor]]&gt;1,VENTAS[[#This Row],[Total]]*10%,0)</f>
        <v>0</v>
      </c>
      <c r="K53" s="35">
        <f>IFERROR(VLOOKUP(VENTAS[[#This Row],[Código del producto Vendido]],STOCK[],16,FALSE)*VENTAS[[#This Row],[Cantidad]]+VLOOKUP(VENTAS[[#This Row],[Código del producto Vendido]],STOCK[],19,FALSE)*VENTAS[[#This Row],[Cantidad]],VENTAS[[#This Row],[Total]])</f>
        <v>42.8888888888889</v>
      </c>
      <c r="L53" s="35">
        <f>VENTAS[[#This Row],[Total]]-VENTAS[[#This Row],[Comisión 10%]]-VENTAS[[#This Row],[Costo SIN Comision]]</f>
        <v>17.1111111111111</v>
      </c>
      <c r="M53" s="35"/>
    </row>
    <row r="54" ht="20" customHeight="1" spans="1:13">
      <c r="A54" s="29"/>
      <c r="B54" s="30" t="s">
        <v>3298</v>
      </c>
      <c r="C54" s="30"/>
      <c r="D54" s="30"/>
      <c r="E54" s="30" t="s">
        <v>659</v>
      </c>
      <c r="F54" s="30" t="str">
        <f>IFERROR(VLOOKUP(VENTAS[[#This Row],[Código del producto Vendido]],STOCK[],5,FALSE),"-")</f>
        <v>SHEIN Vestido lencero floral de muslo con abertura_S</v>
      </c>
      <c r="G54" s="34">
        <v>4</v>
      </c>
      <c r="H54" s="35">
        <v>20</v>
      </c>
      <c r="I54" s="35">
        <f>VENTAS[[#This Row],[Cantidad]]*VENTAS[[#This Row],[Precio Venta]]</f>
        <v>80</v>
      </c>
      <c r="J54" s="35">
        <f>IF(VENTAS[[#This Row],[Nombre del Gestor]]&gt;1,VENTAS[[#This Row],[Total]]*10%,0)</f>
        <v>0</v>
      </c>
      <c r="K54" s="35">
        <f>IFERROR(VLOOKUP(VENTAS[[#This Row],[Código del producto Vendido]],STOCK[],16,FALSE)*VENTAS[[#This Row],[Cantidad]]+VLOOKUP(VENTAS[[#This Row],[Código del producto Vendido]],STOCK[],19,FALSE)*VENTAS[[#This Row],[Cantidad]],VENTAS[[#This Row],[Total]])</f>
        <v>42.8888888888889</v>
      </c>
      <c r="L54" s="35">
        <f>VENTAS[[#This Row],[Total]]-VENTAS[[#This Row],[Comisión 10%]]-VENTAS[[#This Row],[Costo SIN Comision]]</f>
        <v>37.1111111111111</v>
      </c>
      <c r="M54" s="35"/>
    </row>
    <row r="55" ht="20" customHeight="1" spans="1:13">
      <c r="A55" s="29"/>
      <c r="B55" s="30" t="s">
        <v>3298</v>
      </c>
      <c r="C55" s="30"/>
      <c r="D55" s="30"/>
      <c r="E55" s="30" t="s">
        <v>655</v>
      </c>
      <c r="F55" s="30" t="str">
        <f>IFERROR(VLOOKUP(VENTAS[[#This Row],[Código del producto Vendido]],STOCK[],5,FALSE),"-")</f>
        <v>Vestido floral de manga farol de espalda abierta con cordón bajo con fruncido_L</v>
      </c>
      <c r="G55" s="34">
        <v>4</v>
      </c>
      <c r="H55" s="35">
        <v>20</v>
      </c>
      <c r="I55" s="35">
        <f>VENTAS[[#This Row],[Cantidad]]*VENTAS[[#This Row],[Precio Venta]]</f>
        <v>80</v>
      </c>
      <c r="J55" s="35">
        <f>IF(VENTAS[[#This Row],[Nombre del Gestor]]&gt;1,VENTAS[[#This Row],[Total]]*10%,0)</f>
        <v>0</v>
      </c>
      <c r="K55" s="35">
        <f>IFERROR(VLOOKUP(VENTAS[[#This Row],[Código del producto Vendido]],STOCK[],16,FALSE)*VENTAS[[#This Row],[Cantidad]]+VLOOKUP(VENTAS[[#This Row],[Código del producto Vendido]],STOCK[],19,FALSE)*VENTAS[[#This Row],[Cantidad]],VENTAS[[#This Row],[Total]])</f>
        <v>42.8888888888889</v>
      </c>
      <c r="L55" s="35">
        <f>VENTAS[[#This Row],[Total]]-VENTAS[[#This Row],[Comisión 10%]]-VENTAS[[#This Row],[Costo SIN Comision]]</f>
        <v>37.1111111111111</v>
      </c>
      <c r="M55" s="35"/>
    </row>
    <row r="56" ht="20" customHeight="1" spans="1:13">
      <c r="A56" s="29"/>
      <c r="B56" s="30" t="s">
        <v>3298</v>
      </c>
      <c r="C56" s="30"/>
      <c r="D56" s="30"/>
      <c r="E56" s="30" t="s">
        <v>653</v>
      </c>
      <c r="F56" s="30" t="str">
        <f>IFERROR(VLOOKUP(VENTAS[[#This Row],[Código del producto Vendido]],STOCK[],5,FALSE),"-")</f>
        <v>Vestido floral de manga farol de espalda abierta con cordón bajo con fruncido_M</v>
      </c>
      <c r="G56" s="34">
        <v>4</v>
      </c>
      <c r="H56" s="35">
        <v>20</v>
      </c>
      <c r="I56" s="35">
        <f>VENTAS[[#This Row],[Cantidad]]*VENTAS[[#This Row],[Precio Venta]]</f>
        <v>80</v>
      </c>
      <c r="J56" s="35">
        <f>IF(VENTAS[[#This Row],[Nombre del Gestor]]&gt;1,VENTAS[[#This Row],[Total]]*10%,0)</f>
        <v>0</v>
      </c>
      <c r="K56" s="35">
        <f>IFERROR(VLOOKUP(VENTAS[[#This Row],[Código del producto Vendido]],STOCK[],16,FALSE)*VENTAS[[#This Row],[Cantidad]]+VLOOKUP(VENTAS[[#This Row],[Código del producto Vendido]],STOCK[],19,FALSE)*VENTAS[[#This Row],[Cantidad]],VENTAS[[#This Row],[Total]])</f>
        <v>42.8888888888889</v>
      </c>
      <c r="L56" s="35">
        <f>VENTAS[[#This Row],[Total]]-VENTAS[[#This Row],[Comisión 10%]]-VENTAS[[#This Row],[Costo SIN Comision]]</f>
        <v>37.1111111111111</v>
      </c>
      <c r="M56" s="35"/>
    </row>
    <row r="57" ht="20" customHeight="1" spans="1:13">
      <c r="A57" s="29"/>
      <c r="B57" s="30" t="s">
        <v>3298</v>
      </c>
      <c r="C57" s="30"/>
      <c r="D57" s="30"/>
      <c r="E57" s="30" t="s">
        <v>651</v>
      </c>
      <c r="F57" s="30" t="str">
        <f>IFERROR(VLOOKUP(VENTAS[[#This Row],[Código del producto Vendido]],STOCK[],5,FALSE),"-")</f>
        <v>Vestido floral de manga farol de espalda abierta con cordón bajo con fruncido_S</v>
      </c>
      <c r="G57" s="34">
        <v>4</v>
      </c>
      <c r="H57" s="35">
        <v>20</v>
      </c>
      <c r="I57" s="35">
        <f>VENTAS[[#This Row],[Cantidad]]*VENTAS[[#This Row],[Precio Venta]]</f>
        <v>80</v>
      </c>
      <c r="J57" s="35">
        <f>IF(VENTAS[[#This Row],[Nombre del Gestor]]&gt;1,VENTAS[[#This Row],[Total]]*10%,0)</f>
        <v>0</v>
      </c>
      <c r="K57" s="35">
        <f>IFERROR(VLOOKUP(VENTAS[[#This Row],[Código del producto Vendido]],STOCK[],16,FALSE)*VENTAS[[#This Row],[Cantidad]]+VLOOKUP(VENTAS[[#This Row],[Código del producto Vendido]],STOCK[],19,FALSE)*VENTAS[[#This Row],[Cantidad]],VENTAS[[#This Row],[Total]])</f>
        <v>42.8888888888889</v>
      </c>
      <c r="L57" s="35">
        <f>VENTAS[[#This Row],[Total]]-VENTAS[[#This Row],[Comisión 10%]]-VENTAS[[#This Row],[Costo SIN Comision]]</f>
        <v>37.1111111111111</v>
      </c>
      <c r="M57" s="35"/>
    </row>
    <row r="58" ht="20" customHeight="1" spans="1:13">
      <c r="A58" s="29"/>
      <c r="B58" s="30" t="s">
        <v>3298</v>
      </c>
      <c r="C58" s="30"/>
      <c r="D58" s="30"/>
      <c r="E58" s="30" t="s">
        <v>649</v>
      </c>
      <c r="F58" s="30" t="str">
        <f>IFERROR(VLOOKUP(VENTAS[[#This Row],[Código del producto Vendido]],STOCK[],5,FALSE),"-")</f>
        <v>Vestido floral de manga farol de espalda abierta con cordón bajo con fruncido_XS</v>
      </c>
      <c r="G58" s="34">
        <v>4</v>
      </c>
      <c r="H58" s="35">
        <v>20</v>
      </c>
      <c r="I58" s="35">
        <f>VENTAS[[#This Row],[Cantidad]]*VENTAS[[#This Row],[Precio Venta]]</f>
        <v>80</v>
      </c>
      <c r="J58" s="35">
        <f>IF(VENTAS[[#This Row],[Nombre del Gestor]]&gt;1,VENTAS[[#This Row],[Total]]*10%,0)</f>
        <v>0</v>
      </c>
      <c r="K58" s="35">
        <f>IFERROR(VLOOKUP(VENTAS[[#This Row],[Código del producto Vendido]],STOCK[],16,FALSE)*VENTAS[[#This Row],[Cantidad]]+VLOOKUP(VENTAS[[#This Row],[Código del producto Vendido]],STOCK[],19,FALSE)*VENTAS[[#This Row],[Cantidad]],VENTAS[[#This Row],[Total]])</f>
        <v>42.8888888888889</v>
      </c>
      <c r="L58" s="35">
        <f>VENTAS[[#This Row],[Total]]-VENTAS[[#This Row],[Comisión 10%]]-VENTAS[[#This Row],[Costo SIN Comision]]</f>
        <v>37.1111111111111</v>
      </c>
      <c r="M58" s="35"/>
    </row>
    <row r="59" ht="20" customHeight="1" spans="1:13">
      <c r="A59" s="29">
        <v>45017</v>
      </c>
      <c r="B59" s="30"/>
      <c r="C59" s="30"/>
      <c r="D59" s="30"/>
      <c r="E59" s="30" t="s">
        <v>3299</v>
      </c>
      <c r="F59" s="30" t="str">
        <f>IFERROR(VLOOKUP(VENTAS[[#This Row],[Código del producto Vendido]],STOCK[],5,FALSE),"-")</f>
        <v>-</v>
      </c>
      <c r="G59" s="34">
        <v>1</v>
      </c>
      <c r="H59" s="35">
        <v>15</v>
      </c>
      <c r="I59" s="35">
        <f>VENTAS[[#This Row],[Cantidad]]*VENTAS[[#This Row],[Precio Venta]]</f>
        <v>15</v>
      </c>
      <c r="J59" s="35">
        <f>IF(VENTAS[[#This Row],[Nombre del Gestor]]&gt;1,VENTAS[[#This Row],[Total]]*10%,0)</f>
        <v>0</v>
      </c>
      <c r="K59" s="35">
        <f>IFERROR(VLOOKUP(VENTAS[[#This Row],[Código del producto Vendido]],STOCK[],16,FALSE)*VENTAS[[#This Row],[Cantidad]]+VLOOKUP(VENTAS[[#This Row],[Código del producto Vendido]],STOCK[],19,FALSE)*VENTAS[[#This Row],[Cantidad]],VENTAS[[#This Row],[Total]])</f>
        <v>15</v>
      </c>
      <c r="L59" s="35">
        <f>VENTAS[[#This Row],[Total]]-VENTAS[[#This Row],[Comisión 10%]]-VENTAS[[#This Row],[Costo SIN Comision]]</f>
        <v>0</v>
      </c>
      <c r="M59" s="35"/>
    </row>
    <row r="60" ht="20" customHeight="1" spans="1:13">
      <c r="A60" s="29"/>
      <c r="B60" s="30" t="s">
        <v>3298</v>
      </c>
      <c r="C60" s="30"/>
      <c r="D60" s="30"/>
      <c r="E60" s="30" t="s">
        <v>3300</v>
      </c>
      <c r="F60" s="30" t="str">
        <f>IFERROR(VLOOKUP(VENTAS[[#This Row],[Código del producto Vendido]],STOCK[],5,FALSE),"-")</f>
        <v>-</v>
      </c>
      <c r="G60" s="34">
        <v>1</v>
      </c>
      <c r="H60" s="35">
        <v>15</v>
      </c>
      <c r="I60" s="35">
        <f>VENTAS[[#This Row],[Cantidad]]*VENTAS[[#This Row],[Precio Venta]]</f>
        <v>15</v>
      </c>
      <c r="J60" s="35">
        <f>IF(VENTAS[[#This Row],[Nombre del Gestor]]&gt;1,VENTAS[[#This Row],[Total]]*10%,0)</f>
        <v>0</v>
      </c>
      <c r="K60" s="35">
        <f>IFERROR(VLOOKUP(VENTAS[[#This Row],[Código del producto Vendido]],STOCK[],16,FALSE)*VENTAS[[#This Row],[Cantidad]]+VLOOKUP(VENTAS[[#This Row],[Código del producto Vendido]],STOCK[],19,FALSE)*VENTAS[[#This Row],[Cantidad]],VENTAS[[#This Row],[Total]])</f>
        <v>15</v>
      </c>
      <c r="L60" s="35">
        <f>VENTAS[[#This Row],[Total]]-VENTAS[[#This Row],[Comisión 10%]]-VENTAS[[#This Row],[Costo SIN Comision]]</f>
        <v>0</v>
      </c>
      <c r="M60" s="35"/>
    </row>
    <row r="61" ht="20" customHeight="1" spans="1:13">
      <c r="A61" s="29"/>
      <c r="B61" s="30" t="s">
        <v>3298</v>
      </c>
      <c r="C61" s="30"/>
      <c r="D61" s="30"/>
      <c r="E61" s="30" t="s">
        <v>3300</v>
      </c>
      <c r="F61" s="30" t="str">
        <f>IFERROR(VLOOKUP(VENTAS[[#This Row],[Código del producto Vendido]],STOCK[],5,FALSE),"-")</f>
        <v>-</v>
      </c>
      <c r="G61" s="34">
        <v>1</v>
      </c>
      <c r="H61" s="35">
        <v>0</v>
      </c>
      <c r="I61" s="35">
        <f>VENTAS[[#This Row],[Cantidad]]*VENTAS[[#This Row],[Precio Venta]]</f>
        <v>0</v>
      </c>
      <c r="J61" s="35">
        <f>IF(VENTAS[[#This Row],[Nombre del Gestor]]&gt;1,VENTAS[[#This Row],[Total]]*10%,0)</f>
        <v>0</v>
      </c>
      <c r="K61" s="35">
        <f>IFERROR(VLOOKUP(VENTAS[[#This Row],[Código del producto Vendido]],STOCK[],16,FALSE)*VENTAS[[#This Row],[Cantidad]]+VLOOKUP(VENTAS[[#This Row],[Código del producto Vendido]],STOCK[],19,FALSE)*VENTAS[[#This Row],[Cantidad]],VENTAS[[#This Row],[Total]])</f>
        <v>0</v>
      </c>
      <c r="L61" s="35">
        <f>VENTAS[[#This Row],[Total]]-VENTAS[[#This Row],[Comisión 10%]]-VENTAS[[#This Row],[Costo SIN Comision]]</f>
        <v>0</v>
      </c>
      <c r="M61" s="35"/>
    </row>
    <row r="62" ht="20" customHeight="1" spans="1:13">
      <c r="A62" s="29"/>
      <c r="B62" s="30" t="s">
        <v>3298</v>
      </c>
      <c r="C62" s="30"/>
      <c r="D62" s="30"/>
      <c r="E62" s="30" t="s">
        <v>642</v>
      </c>
      <c r="F62" s="30" t="str">
        <f>IFERROR(VLOOKUP(VENTAS[[#This Row],[Código del producto Vendido]],STOCK[],5,FALSE),"-")</f>
        <v>Vestido floral de manga farol escote corazón con cordón lateral_S</v>
      </c>
      <c r="G62" s="34">
        <v>3</v>
      </c>
      <c r="H62" s="35">
        <v>15</v>
      </c>
      <c r="I62" s="35">
        <f>VENTAS[[#This Row],[Cantidad]]*VENTAS[[#This Row],[Precio Venta]]</f>
        <v>45</v>
      </c>
      <c r="J62" s="35">
        <f>IF(VENTAS[[#This Row],[Nombre del Gestor]]&gt;1,VENTAS[[#This Row],[Total]]*10%,0)</f>
        <v>0</v>
      </c>
      <c r="K62" s="35">
        <f>IFERROR(VLOOKUP(VENTAS[[#This Row],[Código del producto Vendido]],STOCK[],16,FALSE)*VENTAS[[#This Row],[Cantidad]]+VLOOKUP(VENTAS[[#This Row],[Código del producto Vendido]],STOCK[],19,FALSE)*VENTAS[[#This Row],[Cantidad]],VENTAS[[#This Row],[Total]])</f>
        <v>32.1666666666667</v>
      </c>
      <c r="L62" s="35">
        <f>VENTAS[[#This Row],[Total]]-VENTAS[[#This Row],[Comisión 10%]]-VENTAS[[#This Row],[Costo SIN Comision]]</f>
        <v>12.8333333333333</v>
      </c>
      <c r="M62" s="35"/>
    </row>
    <row r="63" ht="20" customHeight="1" spans="1:13">
      <c r="A63" s="29"/>
      <c r="B63" s="30" t="s">
        <v>3298</v>
      </c>
      <c r="C63" s="30"/>
      <c r="D63" s="30"/>
      <c r="E63" s="30" t="s">
        <v>637</v>
      </c>
      <c r="F63" s="30" t="str">
        <f>IFERROR(VLOOKUP(VENTAS[[#This Row],[Código del producto Vendido]],STOCK[],5,FALSE),"-")</f>
        <v>SHEIN Vestido con estampado floral con nudo delantero de manga farol_L</v>
      </c>
      <c r="G63" s="34">
        <v>4</v>
      </c>
      <c r="H63" s="35">
        <v>15</v>
      </c>
      <c r="I63" s="35">
        <f>VENTAS[[#This Row],[Cantidad]]*VENTAS[[#This Row],[Precio Venta]]</f>
        <v>60</v>
      </c>
      <c r="J63" s="35">
        <f>IF(VENTAS[[#This Row],[Nombre del Gestor]]&gt;1,VENTAS[[#This Row],[Total]]*10%,0)</f>
        <v>0</v>
      </c>
      <c r="K63" s="35">
        <f>IFERROR(VLOOKUP(VENTAS[[#This Row],[Código del producto Vendido]],STOCK[],16,FALSE)*VENTAS[[#This Row],[Cantidad]]+VLOOKUP(VENTAS[[#This Row],[Código del producto Vendido]],STOCK[],19,FALSE)*VENTAS[[#This Row],[Cantidad]],VENTAS[[#This Row],[Total]])</f>
        <v>42.8888888888889</v>
      </c>
      <c r="L63" s="35">
        <f>VENTAS[[#This Row],[Total]]-VENTAS[[#This Row],[Comisión 10%]]-VENTAS[[#This Row],[Costo SIN Comision]]</f>
        <v>17.1111111111111</v>
      </c>
      <c r="M63" s="35"/>
    </row>
    <row r="64" ht="20" customHeight="1" spans="1:13">
      <c r="A64" s="29"/>
      <c r="B64" s="30" t="s">
        <v>3298</v>
      </c>
      <c r="C64" s="30"/>
      <c r="D64" s="30"/>
      <c r="E64" s="30" t="s">
        <v>3301</v>
      </c>
      <c r="F64" s="30" t="str">
        <f>IFERROR(VLOOKUP(VENTAS[[#This Row],[Código del producto Vendido]],STOCK[],5,FALSE),"-")</f>
        <v>-</v>
      </c>
      <c r="G64" s="34">
        <v>2</v>
      </c>
      <c r="H64" s="35">
        <v>15</v>
      </c>
      <c r="I64" s="35">
        <f>VENTAS[[#This Row],[Cantidad]]*VENTAS[[#This Row],[Precio Venta]]</f>
        <v>30</v>
      </c>
      <c r="J64" s="35">
        <f>IF(VENTAS[[#This Row],[Nombre del Gestor]]&gt;1,VENTAS[[#This Row],[Total]]*10%,0)</f>
        <v>0</v>
      </c>
      <c r="K64" s="35">
        <f>IFERROR(VLOOKUP(VENTAS[[#This Row],[Código del producto Vendido]],STOCK[],16,FALSE)*VENTAS[[#This Row],[Cantidad]]+VLOOKUP(VENTAS[[#This Row],[Código del producto Vendido]],STOCK[],19,FALSE)*VENTAS[[#This Row],[Cantidad]],VENTAS[[#This Row],[Total]])</f>
        <v>30</v>
      </c>
      <c r="L64" s="35">
        <f>VENTAS[[#This Row],[Total]]-VENTAS[[#This Row],[Comisión 10%]]-VENTAS[[#This Row],[Costo SIN Comision]]</f>
        <v>0</v>
      </c>
      <c r="M64" s="35"/>
    </row>
    <row r="65" ht="20" customHeight="1" spans="1:13">
      <c r="A65" s="29"/>
      <c r="B65" s="30" t="s">
        <v>3298</v>
      </c>
      <c r="C65" s="30"/>
      <c r="D65" s="30"/>
      <c r="E65" s="30" t="s">
        <v>3302</v>
      </c>
      <c r="F65" s="30" t="str">
        <f>IFERROR(VLOOKUP(VENTAS[[#This Row],[Código del producto Vendido]],STOCK[],5,FALSE),"-")</f>
        <v>-</v>
      </c>
      <c r="G65" s="34">
        <v>2</v>
      </c>
      <c r="H65" s="35">
        <v>15</v>
      </c>
      <c r="I65" s="35">
        <f>VENTAS[[#This Row],[Cantidad]]*VENTAS[[#This Row],[Precio Venta]]</f>
        <v>30</v>
      </c>
      <c r="J65" s="35">
        <f>IF(VENTAS[[#This Row],[Nombre del Gestor]]&gt;1,VENTAS[[#This Row],[Total]]*10%,0)</f>
        <v>0</v>
      </c>
      <c r="K65" s="35">
        <f>IFERROR(VLOOKUP(VENTAS[[#This Row],[Código del producto Vendido]],STOCK[],16,FALSE)*VENTAS[[#This Row],[Cantidad]]+VLOOKUP(VENTAS[[#This Row],[Código del producto Vendido]],STOCK[],19,FALSE)*VENTAS[[#This Row],[Cantidad]],VENTAS[[#This Row],[Total]])</f>
        <v>30</v>
      </c>
      <c r="L65" s="35">
        <f>VENTAS[[#This Row],[Total]]-VENTAS[[#This Row],[Comisión 10%]]-VENTAS[[#This Row],[Costo SIN Comision]]</f>
        <v>0</v>
      </c>
      <c r="M65" s="35"/>
    </row>
    <row r="66" ht="20" customHeight="1" spans="1:13">
      <c r="A66" s="29"/>
      <c r="B66" s="30" t="s">
        <v>3298</v>
      </c>
      <c r="C66" s="30"/>
      <c r="D66" s="30"/>
      <c r="E66" s="30" t="s">
        <v>3303</v>
      </c>
      <c r="F66" s="30" t="str">
        <f>IFERROR(VLOOKUP(VENTAS[[#This Row],[Código del producto Vendido]],STOCK[],5,FALSE),"-")</f>
        <v>-</v>
      </c>
      <c r="G66" s="34">
        <v>3</v>
      </c>
      <c r="H66" s="35">
        <v>15</v>
      </c>
      <c r="I66" s="35">
        <f>VENTAS[[#This Row],[Cantidad]]*VENTAS[[#This Row],[Precio Venta]]</f>
        <v>45</v>
      </c>
      <c r="J66" s="35">
        <f>IF(VENTAS[[#This Row],[Nombre del Gestor]]&gt;1,VENTAS[[#This Row],[Total]]*10%,0)</f>
        <v>0</v>
      </c>
      <c r="K66" s="35">
        <f>IFERROR(VLOOKUP(VENTAS[[#This Row],[Código del producto Vendido]],STOCK[],16,FALSE)*VENTAS[[#This Row],[Cantidad]]+VLOOKUP(VENTAS[[#This Row],[Código del producto Vendido]],STOCK[],19,FALSE)*VENTAS[[#This Row],[Cantidad]],VENTAS[[#This Row],[Total]])</f>
        <v>45</v>
      </c>
      <c r="L66" s="35">
        <f>VENTAS[[#This Row],[Total]]-VENTAS[[#This Row],[Comisión 10%]]-VENTAS[[#This Row],[Costo SIN Comision]]</f>
        <v>0</v>
      </c>
      <c r="M66" s="35"/>
    </row>
    <row r="67" ht="20" customHeight="1" spans="1:13">
      <c r="A67" s="29"/>
      <c r="B67" s="30" t="s">
        <v>3298</v>
      </c>
      <c r="C67" s="30"/>
      <c r="D67" s="30"/>
      <c r="E67" s="30" t="s">
        <v>3304</v>
      </c>
      <c r="F67" s="30" t="str">
        <f>IFERROR(VLOOKUP(VENTAS[[#This Row],[Código del producto Vendido]],STOCK[],5,FALSE),"-")</f>
        <v>-</v>
      </c>
      <c r="G67" s="34">
        <v>2</v>
      </c>
      <c r="H67" s="35">
        <v>20</v>
      </c>
      <c r="I67" s="35">
        <f>VENTAS[[#This Row],[Cantidad]]*VENTAS[[#This Row],[Precio Venta]]</f>
        <v>40</v>
      </c>
      <c r="J67" s="35">
        <f>IF(VENTAS[[#This Row],[Nombre del Gestor]]&gt;1,VENTAS[[#This Row],[Total]]*10%,0)</f>
        <v>0</v>
      </c>
      <c r="K67" s="35">
        <f>IFERROR(VLOOKUP(VENTAS[[#This Row],[Código del producto Vendido]],STOCK[],16,FALSE)*VENTAS[[#This Row],[Cantidad]]+VLOOKUP(VENTAS[[#This Row],[Código del producto Vendido]],STOCK[],19,FALSE)*VENTAS[[#This Row],[Cantidad]],VENTAS[[#This Row],[Total]])</f>
        <v>40</v>
      </c>
      <c r="L67" s="35">
        <f>VENTAS[[#This Row],[Total]]-VENTAS[[#This Row],[Comisión 10%]]-VENTAS[[#This Row],[Costo SIN Comision]]</f>
        <v>0</v>
      </c>
      <c r="M67" s="35"/>
    </row>
    <row r="68" ht="20" customHeight="1" spans="1:13">
      <c r="A68" s="29"/>
      <c r="B68" s="30" t="s">
        <v>3298</v>
      </c>
      <c r="C68" s="30"/>
      <c r="D68" s="30"/>
      <c r="E68" s="30" t="s">
        <v>632</v>
      </c>
      <c r="F68" s="30" t="str">
        <f>IFERROR(VLOOKUP(VENTAS[[#This Row],[Código del producto Vendido]],STOCK[],5,FALSE),"-")</f>
        <v>Vestido floral con abertura trasera</v>
      </c>
      <c r="G68" s="34">
        <v>2</v>
      </c>
      <c r="H68" s="35">
        <v>20</v>
      </c>
      <c r="I68" s="35">
        <f>VENTAS[[#This Row],[Cantidad]]*VENTAS[[#This Row],[Precio Venta]]</f>
        <v>40</v>
      </c>
      <c r="J68" s="35">
        <f>IF(VENTAS[[#This Row],[Nombre del Gestor]]&gt;1,VENTAS[[#This Row],[Total]]*10%,0)</f>
        <v>0</v>
      </c>
      <c r="K68" s="35">
        <f>IFERROR(VLOOKUP(VENTAS[[#This Row],[Código del producto Vendido]],STOCK[],16,FALSE)*VENTAS[[#This Row],[Cantidad]]+VLOOKUP(VENTAS[[#This Row],[Código del producto Vendido]],STOCK[],19,FALSE)*VENTAS[[#This Row],[Cantidad]],VENTAS[[#This Row],[Total]])</f>
        <v>21.4444444444444</v>
      </c>
      <c r="L68" s="35">
        <f>VENTAS[[#This Row],[Total]]-VENTAS[[#This Row],[Comisión 10%]]-VENTAS[[#This Row],[Costo SIN Comision]]</f>
        <v>18.5555555555556</v>
      </c>
      <c r="M68" s="35"/>
    </row>
    <row r="69" ht="20" customHeight="1" spans="1:13">
      <c r="A69" s="29"/>
      <c r="B69" s="30" t="s">
        <v>3298</v>
      </c>
      <c r="C69" s="30"/>
      <c r="D69" s="30"/>
      <c r="E69" s="30" t="s">
        <v>3305</v>
      </c>
      <c r="F69" s="30" t="str">
        <f>IFERROR(VLOOKUP(VENTAS[[#This Row],[Código del producto Vendido]],STOCK[],5,FALSE),"-")</f>
        <v>-</v>
      </c>
      <c r="G69" s="34">
        <v>1</v>
      </c>
      <c r="H69" s="35">
        <v>15</v>
      </c>
      <c r="I69" s="35">
        <f>VENTAS[[#This Row],[Cantidad]]*VENTAS[[#This Row],[Precio Venta]]</f>
        <v>15</v>
      </c>
      <c r="J69" s="35">
        <f>IF(VENTAS[[#This Row],[Nombre del Gestor]]&gt;1,VENTAS[[#This Row],[Total]]*10%,0)</f>
        <v>0</v>
      </c>
      <c r="K69" s="35">
        <f>IFERROR(VLOOKUP(VENTAS[[#This Row],[Código del producto Vendido]],STOCK[],16,FALSE)*VENTAS[[#This Row],[Cantidad]]+VLOOKUP(VENTAS[[#This Row],[Código del producto Vendido]],STOCK[],19,FALSE)*VENTAS[[#This Row],[Cantidad]],VENTAS[[#This Row],[Total]])</f>
        <v>15</v>
      </c>
      <c r="L69" s="35">
        <f>VENTAS[[#This Row],[Total]]-VENTAS[[#This Row],[Comisión 10%]]-VENTAS[[#This Row],[Costo SIN Comision]]</f>
        <v>0</v>
      </c>
      <c r="M69" s="35"/>
    </row>
    <row r="70" ht="20" customHeight="1" spans="1:13">
      <c r="A70" s="29"/>
      <c r="B70" s="30" t="s">
        <v>3298</v>
      </c>
      <c r="C70" s="30"/>
      <c r="D70" s="30"/>
      <c r="E70" s="30" t="s">
        <v>3306</v>
      </c>
      <c r="F70" s="30" t="str">
        <f>IFERROR(VLOOKUP(VENTAS[[#This Row],[Código del producto Vendido]],STOCK[],5,FALSE),"-")</f>
        <v>-</v>
      </c>
      <c r="G70" s="34">
        <v>1</v>
      </c>
      <c r="H70" s="35">
        <v>15</v>
      </c>
      <c r="I70" s="35">
        <f>VENTAS[[#This Row],[Cantidad]]*VENTAS[[#This Row],[Precio Venta]]</f>
        <v>15</v>
      </c>
      <c r="J70" s="35">
        <f>IF(VENTAS[[#This Row],[Nombre del Gestor]]&gt;1,VENTAS[[#This Row],[Total]]*10%,0)</f>
        <v>0</v>
      </c>
      <c r="K70" s="35">
        <f>IFERROR(VLOOKUP(VENTAS[[#This Row],[Código del producto Vendido]],STOCK[],16,FALSE)*VENTAS[[#This Row],[Cantidad]]+VLOOKUP(VENTAS[[#This Row],[Código del producto Vendido]],STOCK[],19,FALSE)*VENTAS[[#This Row],[Cantidad]],VENTAS[[#This Row],[Total]])</f>
        <v>15</v>
      </c>
      <c r="L70" s="35">
        <f>VENTAS[[#This Row],[Total]]-VENTAS[[#This Row],[Comisión 10%]]-VENTAS[[#This Row],[Costo SIN Comision]]</f>
        <v>0</v>
      </c>
      <c r="M70" s="35"/>
    </row>
    <row r="71" ht="20" customHeight="1" spans="1:13">
      <c r="A71" s="29"/>
      <c r="B71" s="30" t="s">
        <v>3298</v>
      </c>
      <c r="C71" s="30"/>
      <c r="D71" s="30"/>
      <c r="E71" s="30" t="s">
        <v>408</v>
      </c>
      <c r="F71" s="30" t="str">
        <f>IFERROR(VLOOKUP(VENTAS[[#This Row],[Código del producto Vendido]],STOCK[],5,FALSE),"-")</f>
        <v>Bañador una pieza de color combinado </v>
      </c>
      <c r="G71" s="34">
        <v>1</v>
      </c>
      <c r="H71" s="35">
        <v>20</v>
      </c>
      <c r="I71" s="35">
        <f>VENTAS[[#This Row],[Cantidad]]*VENTAS[[#This Row],[Precio Venta]]</f>
        <v>20</v>
      </c>
      <c r="J71" s="35">
        <f>IF(VENTAS[[#This Row],[Nombre del Gestor]]&gt;1,VENTAS[[#This Row],[Total]]*10%,0)</f>
        <v>0</v>
      </c>
      <c r="K71" s="35">
        <f>IFERROR(VLOOKUP(VENTAS[[#This Row],[Código del producto Vendido]],STOCK[],16,FALSE)*VENTAS[[#This Row],[Cantidad]]+VLOOKUP(VENTAS[[#This Row],[Código del producto Vendido]],STOCK[],19,FALSE)*VENTAS[[#This Row],[Cantidad]],VENTAS[[#This Row],[Total]])</f>
        <v>9.66666666666667</v>
      </c>
      <c r="L71" s="35">
        <f>VENTAS[[#This Row],[Total]]-VENTAS[[#This Row],[Comisión 10%]]-VENTAS[[#This Row],[Costo SIN Comision]]</f>
        <v>10.3333333333333</v>
      </c>
      <c r="M71" s="35"/>
    </row>
    <row r="72" ht="20" customHeight="1" spans="1:13">
      <c r="A72" s="29"/>
      <c r="B72" s="30" t="s">
        <v>3298</v>
      </c>
      <c r="C72" s="30"/>
      <c r="D72" s="30"/>
      <c r="E72" s="30" t="s">
        <v>409</v>
      </c>
      <c r="F72" s="30" t="str">
        <f>IFERROR(VLOOKUP(VENTAS[[#This Row],[Código del producto Vendido]],STOCK[],5,FALSE),"-")</f>
        <v>Bañador una pieza de color combinado </v>
      </c>
      <c r="G72" s="34">
        <v>1</v>
      </c>
      <c r="H72" s="35">
        <v>20</v>
      </c>
      <c r="I72" s="35">
        <f>VENTAS[[#This Row],[Cantidad]]*VENTAS[[#This Row],[Precio Venta]]</f>
        <v>20</v>
      </c>
      <c r="J72" s="35">
        <f>IF(VENTAS[[#This Row],[Nombre del Gestor]]&gt;1,VENTAS[[#This Row],[Total]]*10%,0)</f>
        <v>0</v>
      </c>
      <c r="K72" s="35">
        <f>IFERROR(VLOOKUP(VENTAS[[#This Row],[Código del producto Vendido]],STOCK[],16,FALSE)*VENTAS[[#This Row],[Cantidad]]+VLOOKUP(VENTAS[[#This Row],[Código del producto Vendido]],STOCK[],19,FALSE)*VENTAS[[#This Row],[Cantidad]],VENTAS[[#This Row],[Total]])</f>
        <v>9.66666666666667</v>
      </c>
      <c r="L72" s="35">
        <f>VENTAS[[#This Row],[Total]]-VENTAS[[#This Row],[Comisión 10%]]-VENTAS[[#This Row],[Costo SIN Comision]]</f>
        <v>10.3333333333333</v>
      </c>
      <c r="M72" s="35"/>
    </row>
    <row r="73" ht="20" customHeight="1" spans="1:13">
      <c r="A73" s="29"/>
      <c r="B73" s="30" t="s">
        <v>3298</v>
      </c>
      <c r="C73" s="30"/>
      <c r="D73" s="30"/>
      <c r="E73" s="30" t="s">
        <v>605</v>
      </c>
      <c r="F73" s="30" t="str">
        <f>IFERROR(VLOOKUP(VENTAS[[#This Row],[Código del producto Vendido]],STOCK[],5,FALSE),"-")</f>
        <v>SHEIN Vestido con estampado floral pecho con fruncido con nudo delantero bajo con fruncido_L</v>
      </c>
      <c r="G73" s="34">
        <v>1</v>
      </c>
      <c r="H73" s="35">
        <v>20</v>
      </c>
      <c r="I73" s="35">
        <f>VENTAS[[#This Row],[Cantidad]]*VENTAS[[#This Row],[Precio Venta]]</f>
        <v>20</v>
      </c>
      <c r="J73" s="35">
        <f>IF(VENTAS[[#This Row],[Nombre del Gestor]]&gt;1,VENTAS[[#This Row],[Total]]*10%,0)</f>
        <v>0</v>
      </c>
      <c r="K73" s="35">
        <f>IFERROR(VLOOKUP(VENTAS[[#This Row],[Código del producto Vendido]],STOCK[],16,FALSE)*VENTAS[[#This Row],[Cantidad]]+VLOOKUP(VENTAS[[#This Row],[Código del producto Vendido]],STOCK[],19,FALSE)*VENTAS[[#This Row],[Cantidad]],VENTAS[[#This Row],[Total]])</f>
        <v>10.7222222222222</v>
      </c>
      <c r="L73" s="35">
        <f>VENTAS[[#This Row],[Total]]-VENTAS[[#This Row],[Comisión 10%]]-VENTAS[[#This Row],[Costo SIN Comision]]</f>
        <v>9.27777777777778</v>
      </c>
      <c r="M73" s="35"/>
    </row>
    <row r="74" ht="20" customHeight="1" spans="1:13">
      <c r="A74" s="29"/>
      <c r="B74" s="30" t="s">
        <v>3298</v>
      </c>
      <c r="C74" s="30"/>
      <c r="D74" s="30"/>
      <c r="E74" s="30" t="s">
        <v>3307</v>
      </c>
      <c r="F74" s="30" t="str">
        <f>IFERROR(VLOOKUP(VENTAS[[#This Row],[Código del producto Vendido]],STOCK[],5,FALSE),"-")</f>
        <v>-</v>
      </c>
      <c r="G74" s="34">
        <v>1</v>
      </c>
      <c r="H74" s="35">
        <v>15</v>
      </c>
      <c r="I74" s="35">
        <f>VENTAS[[#This Row],[Cantidad]]*VENTAS[[#This Row],[Precio Venta]]</f>
        <v>15</v>
      </c>
      <c r="J74" s="35">
        <f>IF(VENTAS[[#This Row],[Nombre del Gestor]]&gt;1,VENTAS[[#This Row],[Total]]*10%,0)</f>
        <v>0</v>
      </c>
      <c r="K74" s="35">
        <f>IFERROR(VLOOKUP(VENTAS[[#This Row],[Código del producto Vendido]],STOCK[],16,FALSE)*VENTAS[[#This Row],[Cantidad]]+VLOOKUP(VENTAS[[#This Row],[Código del producto Vendido]],STOCK[],19,FALSE)*VENTAS[[#This Row],[Cantidad]],VENTAS[[#This Row],[Total]])</f>
        <v>15</v>
      </c>
      <c r="L74" s="35">
        <f>VENTAS[[#This Row],[Total]]-VENTAS[[#This Row],[Comisión 10%]]-VENTAS[[#This Row],[Costo SIN Comision]]</f>
        <v>0</v>
      </c>
      <c r="M74" s="35"/>
    </row>
    <row r="75" ht="20" customHeight="1" spans="1:13">
      <c r="A75" s="29"/>
      <c r="B75" s="30" t="s">
        <v>3298</v>
      </c>
      <c r="C75" s="30"/>
      <c r="D75" s="30"/>
      <c r="E75" s="30" t="s">
        <v>620</v>
      </c>
      <c r="F75" s="30" t="str">
        <f>IFERROR(VLOOKUP(VENTAS[[#This Row],[Código del producto Vendido]],STOCK[],5,FALSE),"-")</f>
        <v>Vestido pecho con fruncido cruzado cintura con estampado floral_S</v>
      </c>
      <c r="G75" s="34">
        <v>3</v>
      </c>
      <c r="H75" s="35">
        <v>20</v>
      </c>
      <c r="I75" s="35">
        <f>VENTAS[[#This Row],[Cantidad]]*VENTAS[[#This Row],[Precio Venta]]</f>
        <v>60</v>
      </c>
      <c r="J75" s="35">
        <f>IF(VENTAS[[#This Row],[Nombre del Gestor]]&gt;1,VENTAS[[#This Row],[Total]]*10%,0)</f>
        <v>0</v>
      </c>
      <c r="K75" s="35">
        <f>IFERROR(VLOOKUP(VENTAS[[#This Row],[Código del producto Vendido]],STOCK[],16,FALSE)*VENTAS[[#This Row],[Cantidad]]+VLOOKUP(VENTAS[[#This Row],[Código del producto Vendido]],STOCK[],19,FALSE)*VENTAS[[#This Row],[Cantidad]],VENTAS[[#This Row],[Total]])</f>
        <v>32.1666666666667</v>
      </c>
      <c r="L75" s="35">
        <f>VENTAS[[#This Row],[Total]]-VENTAS[[#This Row],[Comisión 10%]]-VENTAS[[#This Row],[Costo SIN Comision]]</f>
        <v>27.8333333333333</v>
      </c>
      <c r="M75" s="35"/>
    </row>
    <row r="76" ht="20" customHeight="1" spans="1:13">
      <c r="A76" s="29"/>
      <c r="B76" s="30" t="s">
        <v>3298</v>
      </c>
      <c r="C76" s="30"/>
      <c r="D76" s="30"/>
      <c r="E76" s="30" t="s">
        <v>622</v>
      </c>
      <c r="F76" s="30" t="str">
        <f>IFERROR(VLOOKUP(VENTAS[[#This Row],[Código del producto Vendido]],STOCK[],5,FALSE),"-")</f>
        <v>Vestido pecho con fruncido cruzado cintura con estampado floral_M</v>
      </c>
      <c r="G76" s="34">
        <v>3</v>
      </c>
      <c r="H76" s="35">
        <v>20</v>
      </c>
      <c r="I76" s="35">
        <f>VENTAS[[#This Row],[Cantidad]]*VENTAS[[#This Row],[Precio Venta]]</f>
        <v>60</v>
      </c>
      <c r="J76" s="35">
        <f>IF(VENTAS[[#This Row],[Nombre del Gestor]]&gt;1,VENTAS[[#This Row],[Total]]*10%,0)</f>
        <v>0</v>
      </c>
      <c r="K76" s="35">
        <f>IFERROR(VLOOKUP(VENTAS[[#This Row],[Código del producto Vendido]],STOCK[],16,FALSE)*VENTAS[[#This Row],[Cantidad]]+VLOOKUP(VENTAS[[#This Row],[Código del producto Vendido]],STOCK[],19,FALSE)*VENTAS[[#This Row],[Cantidad]],VENTAS[[#This Row],[Total]])</f>
        <v>32.1666666666667</v>
      </c>
      <c r="L76" s="35">
        <f>VENTAS[[#This Row],[Total]]-VENTAS[[#This Row],[Comisión 10%]]-VENTAS[[#This Row],[Costo SIN Comision]]</f>
        <v>27.8333333333333</v>
      </c>
      <c r="M76" s="35"/>
    </row>
    <row r="77" ht="20" customHeight="1" spans="1:13">
      <c r="A77" s="29"/>
      <c r="B77" s="30" t="s">
        <v>3298</v>
      </c>
      <c r="C77" s="30"/>
      <c r="D77" s="30"/>
      <c r="E77" s="30" t="s">
        <v>624</v>
      </c>
      <c r="F77" s="30" t="str">
        <f>IFERROR(VLOOKUP(VENTAS[[#This Row],[Código del producto Vendido]],STOCK[],5,FALSE),"-")</f>
        <v>Vestido pecho con fruncido cruzado cintura con estampado floral_L</v>
      </c>
      <c r="G77" s="34">
        <v>2</v>
      </c>
      <c r="H77" s="35">
        <v>20</v>
      </c>
      <c r="I77" s="35">
        <f>VENTAS[[#This Row],[Cantidad]]*VENTAS[[#This Row],[Precio Venta]]</f>
        <v>40</v>
      </c>
      <c r="J77" s="35">
        <f>IF(VENTAS[[#This Row],[Nombre del Gestor]]&gt;1,VENTAS[[#This Row],[Total]]*10%,0)</f>
        <v>0</v>
      </c>
      <c r="K77" s="35">
        <f>IFERROR(VLOOKUP(VENTAS[[#This Row],[Código del producto Vendido]],STOCK[],16,FALSE)*VENTAS[[#This Row],[Cantidad]]+VLOOKUP(VENTAS[[#This Row],[Código del producto Vendido]],STOCK[],19,FALSE)*VENTAS[[#This Row],[Cantidad]],VENTAS[[#This Row],[Total]])</f>
        <v>21.4444444444444</v>
      </c>
      <c r="L77" s="35">
        <f>VENTAS[[#This Row],[Total]]-VENTAS[[#This Row],[Comisión 10%]]-VENTAS[[#This Row],[Costo SIN Comision]]</f>
        <v>18.5555555555556</v>
      </c>
      <c r="M77" s="35"/>
    </row>
    <row r="78" ht="20" customHeight="1" spans="1:13">
      <c r="A78" s="29"/>
      <c r="B78" s="30" t="s">
        <v>3298</v>
      </c>
      <c r="C78" s="30"/>
      <c r="D78" s="30"/>
      <c r="E78" s="30" t="s">
        <v>611</v>
      </c>
      <c r="F78" s="30" t="str">
        <f>IFERROR(VLOOKUP(VENTAS[[#This Row],[Código del producto Vendido]],STOCK[],5,FALSE),"-")</f>
        <v>SHEIN Vestido fruncido de cuello con cordón de manga con volante de lunares_M</v>
      </c>
      <c r="G78" s="34">
        <v>3</v>
      </c>
      <c r="H78" s="35">
        <v>20</v>
      </c>
      <c r="I78" s="35">
        <f>VENTAS[[#This Row],[Cantidad]]*VENTAS[[#This Row],[Precio Venta]]</f>
        <v>60</v>
      </c>
      <c r="J78" s="35">
        <f>IF(VENTAS[[#This Row],[Nombre del Gestor]]&gt;1,VENTAS[[#This Row],[Total]]*10%,0)</f>
        <v>0</v>
      </c>
      <c r="K78" s="35">
        <f>IFERROR(VLOOKUP(VENTAS[[#This Row],[Código del producto Vendido]],STOCK[],16,FALSE)*VENTAS[[#This Row],[Cantidad]]+VLOOKUP(VENTAS[[#This Row],[Código del producto Vendido]],STOCK[],19,FALSE)*VENTAS[[#This Row],[Cantidad]],VENTAS[[#This Row],[Total]])</f>
        <v>32.1666666666667</v>
      </c>
      <c r="L78" s="35">
        <f>VENTAS[[#This Row],[Total]]-VENTAS[[#This Row],[Comisión 10%]]-VENTAS[[#This Row],[Costo SIN Comision]]</f>
        <v>27.8333333333333</v>
      </c>
      <c r="M78" s="35"/>
    </row>
    <row r="79" ht="20" customHeight="1" spans="1:13">
      <c r="A79" s="29"/>
      <c r="B79" s="30" t="s">
        <v>3298</v>
      </c>
      <c r="C79" s="30"/>
      <c r="D79" s="30"/>
      <c r="E79" s="30" t="s">
        <v>609</v>
      </c>
      <c r="F79" s="30" t="str">
        <f>IFERROR(VLOOKUP(VENTAS[[#This Row],[Código del producto Vendido]],STOCK[],5,FALSE),"-")</f>
        <v>SHEIN Vestido fruncido de cuello con cordón de manga con volante de lunares_XS</v>
      </c>
      <c r="G79" s="34">
        <v>3</v>
      </c>
      <c r="H79" s="35">
        <v>20</v>
      </c>
      <c r="I79" s="35">
        <f>VENTAS[[#This Row],[Cantidad]]*VENTAS[[#This Row],[Precio Venta]]</f>
        <v>60</v>
      </c>
      <c r="J79" s="35">
        <f>IF(VENTAS[[#This Row],[Nombre del Gestor]]&gt;1,VENTAS[[#This Row],[Total]]*10%,0)</f>
        <v>0</v>
      </c>
      <c r="K79" s="35">
        <f>IFERROR(VLOOKUP(VENTAS[[#This Row],[Código del producto Vendido]],STOCK[],16,FALSE)*VENTAS[[#This Row],[Cantidad]]+VLOOKUP(VENTAS[[#This Row],[Código del producto Vendido]],STOCK[],19,FALSE)*VENTAS[[#This Row],[Cantidad]],VENTAS[[#This Row],[Total]])</f>
        <v>32.1666666666667</v>
      </c>
      <c r="L79" s="35">
        <f>VENTAS[[#This Row],[Total]]-VENTAS[[#This Row],[Comisión 10%]]-VENTAS[[#This Row],[Costo SIN Comision]]</f>
        <v>27.8333333333333</v>
      </c>
      <c r="M79" s="35"/>
    </row>
    <row r="80" ht="20" customHeight="1" spans="1:13">
      <c r="A80" s="29"/>
      <c r="B80" s="30" t="s">
        <v>3298</v>
      </c>
      <c r="C80" s="30"/>
      <c r="D80" s="30"/>
      <c r="E80" s="30" t="s">
        <v>674</v>
      </c>
      <c r="F80" s="30" t="str">
        <f>IFERROR(VLOOKUP(VENTAS[[#This Row],[Código del producto Vendido]],STOCK[],5,FALSE),"-")</f>
        <v>SHEIN Frenchy Vestido de leopardo &amp; piel de tigre con estampado de manga mariposa sin cinturón_S</v>
      </c>
      <c r="G80" s="34">
        <v>3</v>
      </c>
      <c r="H80" s="35">
        <v>20</v>
      </c>
      <c r="I80" s="35">
        <f>VENTAS[[#This Row],[Cantidad]]*VENTAS[[#This Row],[Precio Venta]]</f>
        <v>60</v>
      </c>
      <c r="J80" s="35">
        <f>IF(VENTAS[[#This Row],[Nombre del Gestor]]&gt;1,VENTAS[[#This Row],[Total]]*10%,0)</f>
        <v>0</v>
      </c>
      <c r="K80" s="35">
        <f>IFERROR(VLOOKUP(VENTAS[[#This Row],[Código del producto Vendido]],STOCK[],16,FALSE)*VENTAS[[#This Row],[Cantidad]]+VLOOKUP(VENTAS[[#This Row],[Código del producto Vendido]],STOCK[],19,FALSE)*VENTAS[[#This Row],[Cantidad]],VENTAS[[#This Row],[Total]])</f>
        <v>32.1666666666667</v>
      </c>
      <c r="L80" s="35">
        <f>VENTAS[[#This Row],[Total]]-VENTAS[[#This Row],[Comisión 10%]]-VENTAS[[#This Row],[Costo SIN Comision]]</f>
        <v>27.8333333333333</v>
      </c>
      <c r="M80" s="35"/>
    </row>
    <row r="81" ht="20" customHeight="1" spans="1:13">
      <c r="A81" s="29"/>
      <c r="B81" s="30" t="s">
        <v>3298</v>
      </c>
      <c r="C81" s="30"/>
      <c r="D81" s="30"/>
      <c r="E81" s="30" t="s">
        <v>680</v>
      </c>
      <c r="F81" s="30" t="str">
        <f>IFERROR(VLOOKUP(VENTAS[[#This Row],[Código del producto Vendido]],STOCK[],5,FALSE),"-")</f>
        <v>Vestido de espalda abierta de manga farol_L</v>
      </c>
      <c r="G81" s="34">
        <v>3</v>
      </c>
      <c r="H81" s="35">
        <v>20</v>
      </c>
      <c r="I81" s="35">
        <f>VENTAS[[#This Row],[Cantidad]]*VENTAS[[#This Row],[Precio Venta]]</f>
        <v>60</v>
      </c>
      <c r="J81" s="35">
        <f>IF(VENTAS[[#This Row],[Nombre del Gestor]]&gt;1,VENTAS[[#This Row],[Total]]*10%,0)</f>
        <v>0</v>
      </c>
      <c r="K81" s="35">
        <f>IFERROR(VLOOKUP(VENTAS[[#This Row],[Código del producto Vendido]],STOCK[],16,FALSE)*VENTAS[[#This Row],[Cantidad]]+VLOOKUP(VENTAS[[#This Row],[Código del producto Vendido]],STOCK[],19,FALSE)*VENTAS[[#This Row],[Cantidad]],VENTAS[[#This Row],[Total]])</f>
        <v>32.1666666666667</v>
      </c>
      <c r="L81" s="35">
        <f>VENTAS[[#This Row],[Total]]-VENTAS[[#This Row],[Comisión 10%]]-VENTAS[[#This Row],[Costo SIN Comision]]</f>
        <v>27.8333333333333</v>
      </c>
      <c r="M81" s="35"/>
    </row>
    <row r="82" ht="20" customHeight="1" spans="1:13">
      <c r="A82" s="29"/>
      <c r="B82" s="30" t="s">
        <v>3298</v>
      </c>
      <c r="C82" s="30"/>
      <c r="D82" s="30"/>
      <c r="E82" s="30" t="s">
        <v>682</v>
      </c>
      <c r="F82" s="30" t="str">
        <f>IFERROR(VLOOKUP(VENTAS[[#This Row],[Código del producto Vendido]],STOCK[],5,FALSE),"-")</f>
        <v>Vestido de espalda abierta de manga farol_M</v>
      </c>
      <c r="G82" s="34">
        <v>3</v>
      </c>
      <c r="H82" s="35">
        <v>20</v>
      </c>
      <c r="I82" s="35">
        <f>VENTAS[[#This Row],[Cantidad]]*VENTAS[[#This Row],[Precio Venta]]</f>
        <v>60</v>
      </c>
      <c r="J82" s="35">
        <f>IF(VENTAS[[#This Row],[Nombre del Gestor]]&gt;1,VENTAS[[#This Row],[Total]]*10%,0)</f>
        <v>0</v>
      </c>
      <c r="K82" s="35">
        <f>IFERROR(VLOOKUP(VENTAS[[#This Row],[Código del producto Vendido]],STOCK[],16,FALSE)*VENTAS[[#This Row],[Cantidad]]+VLOOKUP(VENTAS[[#This Row],[Código del producto Vendido]],STOCK[],19,FALSE)*VENTAS[[#This Row],[Cantidad]],VENTAS[[#This Row],[Total]])</f>
        <v>32.1666666666667</v>
      </c>
      <c r="L82" s="35">
        <f>VENTAS[[#This Row],[Total]]-VENTAS[[#This Row],[Comisión 10%]]-VENTAS[[#This Row],[Costo SIN Comision]]</f>
        <v>27.8333333333333</v>
      </c>
      <c r="M82" s="35"/>
    </row>
    <row r="83" ht="20" customHeight="1" spans="1:13">
      <c r="A83" s="29"/>
      <c r="B83" s="30" t="s">
        <v>3298</v>
      </c>
      <c r="C83" s="30"/>
      <c r="D83" s="30"/>
      <c r="E83" s="30" t="s">
        <v>573</v>
      </c>
      <c r="F83" s="30" t="str">
        <f>IFERROR(VLOOKUP(VENTAS[[#This Row],[Código del producto Vendido]],STOCK[],5,FALSE),"-")</f>
        <v>Vestido de manga farol de cuello cuadrado_XS</v>
      </c>
      <c r="G83" s="34">
        <v>3</v>
      </c>
      <c r="H83" s="35">
        <v>15</v>
      </c>
      <c r="I83" s="35">
        <f>VENTAS[[#This Row],[Cantidad]]*VENTAS[[#This Row],[Precio Venta]]</f>
        <v>45</v>
      </c>
      <c r="J83" s="35">
        <f>IF(VENTAS[[#This Row],[Nombre del Gestor]]&gt;1,VENTAS[[#This Row],[Total]]*10%,0)</f>
        <v>0</v>
      </c>
      <c r="K83" s="35">
        <f>IFERROR(VLOOKUP(VENTAS[[#This Row],[Código del producto Vendido]],STOCK[],16,FALSE)*VENTAS[[#This Row],[Cantidad]]+VLOOKUP(VENTAS[[#This Row],[Código del producto Vendido]],STOCK[],19,FALSE)*VENTAS[[#This Row],[Cantidad]],VENTAS[[#This Row],[Total]])</f>
        <v>32.1666666666667</v>
      </c>
      <c r="L83" s="35">
        <f>VENTAS[[#This Row],[Total]]-VENTAS[[#This Row],[Comisión 10%]]-VENTAS[[#This Row],[Costo SIN Comision]]</f>
        <v>12.8333333333333</v>
      </c>
      <c r="M83" s="35"/>
    </row>
    <row r="84" ht="20" customHeight="1" spans="1:13">
      <c r="A84" s="29"/>
      <c r="B84" s="30" t="s">
        <v>3298</v>
      </c>
      <c r="C84" s="30"/>
      <c r="D84" s="30"/>
      <c r="E84" s="30" t="s">
        <v>571</v>
      </c>
      <c r="F84" s="30" t="str">
        <f>IFERROR(VLOOKUP(VENTAS[[#This Row],[Código del producto Vendido]],STOCK[],5,FALSE),"-")</f>
        <v>Vestido de manga farol de cuello cuadrado_S</v>
      </c>
      <c r="G84" s="34">
        <v>3</v>
      </c>
      <c r="H84" s="35">
        <v>15</v>
      </c>
      <c r="I84" s="35">
        <f>VENTAS[[#This Row],[Cantidad]]*VENTAS[[#This Row],[Precio Venta]]</f>
        <v>45</v>
      </c>
      <c r="J84" s="35">
        <f>IF(VENTAS[[#This Row],[Nombre del Gestor]]&gt;1,VENTAS[[#This Row],[Total]]*10%,0)</f>
        <v>0</v>
      </c>
      <c r="K84" s="35">
        <f>IFERROR(VLOOKUP(VENTAS[[#This Row],[Código del producto Vendido]],STOCK[],16,FALSE)*VENTAS[[#This Row],[Cantidad]]+VLOOKUP(VENTAS[[#This Row],[Código del producto Vendido]],STOCK[],19,FALSE)*VENTAS[[#This Row],[Cantidad]],VENTAS[[#This Row],[Total]])</f>
        <v>32.1666666666667</v>
      </c>
      <c r="L84" s="35">
        <f>VENTAS[[#This Row],[Total]]-VENTAS[[#This Row],[Comisión 10%]]-VENTAS[[#This Row],[Costo SIN Comision]]</f>
        <v>12.8333333333333</v>
      </c>
      <c r="M84" s="35"/>
    </row>
    <row r="85" ht="20" customHeight="1" spans="1:13">
      <c r="A85" s="29"/>
      <c r="B85" s="30" t="s">
        <v>3298</v>
      </c>
      <c r="C85" s="30"/>
      <c r="D85" s="30"/>
      <c r="E85" s="30" t="s">
        <v>569</v>
      </c>
      <c r="F85" s="30" t="str">
        <f>IFERROR(VLOOKUP(VENTAS[[#This Row],[Código del producto Vendido]],STOCK[],5,FALSE),"-")</f>
        <v>Vestido de manga farol de cuello cuadrado_M</v>
      </c>
      <c r="G85" s="34">
        <v>3</v>
      </c>
      <c r="H85" s="35">
        <v>15</v>
      </c>
      <c r="I85" s="35">
        <f>VENTAS[[#This Row],[Cantidad]]*VENTAS[[#This Row],[Precio Venta]]</f>
        <v>45</v>
      </c>
      <c r="J85" s="35">
        <f>IF(VENTAS[[#This Row],[Nombre del Gestor]]&gt;1,VENTAS[[#This Row],[Total]]*10%,0)</f>
        <v>0</v>
      </c>
      <c r="K85" s="35">
        <f>IFERROR(VLOOKUP(VENTAS[[#This Row],[Código del producto Vendido]],STOCK[],16,FALSE)*VENTAS[[#This Row],[Cantidad]]+VLOOKUP(VENTAS[[#This Row],[Código del producto Vendido]],STOCK[],19,FALSE)*VENTAS[[#This Row],[Cantidad]],VENTAS[[#This Row],[Total]])</f>
        <v>32.1666666666667</v>
      </c>
      <c r="L85" s="35">
        <f>VENTAS[[#This Row],[Total]]-VENTAS[[#This Row],[Comisión 10%]]-VENTAS[[#This Row],[Costo SIN Comision]]</f>
        <v>12.8333333333333</v>
      </c>
      <c r="M85" s="35"/>
    </row>
    <row r="86" ht="20" customHeight="1" spans="1:13">
      <c r="A86" s="29"/>
      <c r="B86" s="30" t="s">
        <v>3298</v>
      </c>
      <c r="C86" s="30"/>
      <c r="D86" s="30"/>
      <c r="E86" s="30" t="s">
        <v>567</v>
      </c>
      <c r="F86" s="30" t="str">
        <f>IFERROR(VLOOKUP(VENTAS[[#This Row],[Código del producto Vendido]],STOCK[],5,FALSE),"-")</f>
        <v>Vestido de manga farol de cuello cuadrado_L</v>
      </c>
      <c r="G86" s="34">
        <v>3</v>
      </c>
      <c r="H86" s="35">
        <v>15</v>
      </c>
      <c r="I86" s="35">
        <f>VENTAS[[#This Row],[Cantidad]]*VENTAS[[#This Row],[Precio Venta]]</f>
        <v>45</v>
      </c>
      <c r="J86" s="35">
        <f>IF(VENTAS[[#This Row],[Nombre del Gestor]]&gt;1,VENTAS[[#This Row],[Total]]*10%,0)</f>
        <v>0</v>
      </c>
      <c r="K86" s="35">
        <f>IFERROR(VLOOKUP(VENTAS[[#This Row],[Código del producto Vendido]],STOCK[],16,FALSE)*VENTAS[[#This Row],[Cantidad]]+VLOOKUP(VENTAS[[#This Row],[Código del producto Vendido]],STOCK[],19,FALSE)*VENTAS[[#This Row],[Cantidad]],VENTAS[[#This Row],[Total]])</f>
        <v>32.1666666666667</v>
      </c>
      <c r="L86" s="35">
        <f>VENTAS[[#This Row],[Total]]-VENTAS[[#This Row],[Comisión 10%]]-VENTAS[[#This Row],[Costo SIN Comision]]</f>
        <v>12.8333333333333</v>
      </c>
      <c r="M86" s="35"/>
    </row>
    <row r="87" ht="20" customHeight="1" spans="1:13">
      <c r="A87" s="29"/>
      <c r="B87" s="30" t="s">
        <v>3298</v>
      </c>
      <c r="C87" s="30"/>
      <c r="D87" s="30"/>
      <c r="E87" s="30" t="s">
        <v>498</v>
      </c>
      <c r="F87" s="30" t="str">
        <f>IFERROR(VLOOKUP(VENTAS[[#This Row],[Código del producto Vendido]],STOCK[],5,FALSE),"-")</f>
        <v>Vestido Bohemio</v>
      </c>
      <c r="G87" s="34">
        <v>1</v>
      </c>
      <c r="H87" s="35">
        <v>25</v>
      </c>
      <c r="I87" s="35">
        <f>VENTAS[[#This Row],[Cantidad]]*VENTAS[[#This Row],[Precio Venta]]</f>
        <v>25</v>
      </c>
      <c r="J87" s="35">
        <f>IF(VENTAS[[#This Row],[Nombre del Gestor]]&gt;1,VENTAS[[#This Row],[Total]]*10%,0)</f>
        <v>0</v>
      </c>
      <c r="K87" s="35">
        <f>IFERROR(VLOOKUP(VENTAS[[#This Row],[Código del producto Vendido]],STOCK[],16,FALSE)*VENTAS[[#This Row],[Cantidad]]+VLOOKUP(VENTAS[[#This Row],[Código del producto Vendido]],STOCK[],19,FALSE)*VENTAS[[#This Row],[Cantidad]],VENTAS[[#This Row],[Total]])</f>
        <v>10.1894444444444</v>
      </c>
      <c r="L87" s="35">
        <f>VENTAS[[#This Row],[Total]]-VENTAS[[#This Row],[Comisión 10%]]-VENTAS[[#This Row],[Costo SIN Comision]]</f>
        <v>14.8105555555556</v>
      </c>
      <c r="M87" s="35"/>
    </row>
    <row r="88" ht="20" customHeight="1" spans="1:13">
      <c r="A88" s="29"/>
      <c r="B88" s="30" t="s">
        <v>3298</v>
      </c>
      <c r="C88" s="30"/>
      <c r="D88" s="30"/>
      <c r="E88" s="30" t="s">
        <v>451</v>
      </c>
      <c r="F88" s="30" t="str">
        <f>IFERROR(VLOOKUP(VENTAS[[#This Row],[Código del producto Vendido]],STOCK[],5,FALSE),"-")</f>
        <v>Bañador bikini de manga raglán con cordón floral</v>
      </c>
      <c r="G88" s="34">
        <v>3</v>
      </c>
      <c r="H88" s="35">
        <v>25</v>
      </c>
      <c r="I88" s="35">
        <f>VENTAS[[#This Row],[Cantidad]]*VENTAS[[#This Row],[Precio Venta]]</f>
        <v>75</v>
      </c>
      <c r="J88" s="35">
        <f>IF(VENTAS[[#This Row],[Nombre del Gestor]]&gt;1,VENTAS[[#This Row],[Total]]*10%,0)</f>
        <v>0</v>
      </c>
      <c r="K88" s="35">
        <f>IFERROR(VLOOKUP(VENTAS[[#This Row],[Código del producto Vendido]],STOCK[],16,FALSE)*VENTAS[[#This Row],[Cantidad]]+VLOOKUP(VENTAS[[#This Row],[Código del producto Vendido]],STOCK[],19,FALSE)*VENTAS[[#This Row],[Cantidad]],VENTAS[[#This Row],[Total]])</f>
        <v>59.3833333333332</v>
      </c>
      <c r="L88" s="35">
        <f>VENTAS[[#This Row],[Total]]-VENTAS[[#This Row],[Comisión 10%]]-VENTAS[[#This Row],[Costo SIN Comision]]</f>
        <v>15.6166666666668</v>
      </c>
      <c r="M88" s="35"/>
    </row>
    <row r="89" ht="20" customHeight="1" spans="1:13">
      <c r="A89" s="29"/>
      <c r="B89" s="30" t="s">
        <v>3298</v>
      </c>
      <c r="C89" s="30"/>
      <c r="D89" s="30"/>
      <c r="E89" s="30" t="s">
        <v>323</v>
      </c>
      <c r="F89" s="30" t="str">
        <f>IFERROR(VLOOKUP(VENTAS[[#This Row],[Código del producto Vendido]],STOCK[],5,FALSE),"-")</f>
        <v>Vestido Tie-Dye Bohemio</v>
      </c>
      <c r="G89" s="34">
        <v>1</v>
      </c>
      <c r="H89" s="35">
        <v>12</v>
      </c>
      <c r="I89" s="35">
        <f>VENTAS[[#This Row],[Cantidad]]*VENTAS[[#This Row],[Precio Venta]]</f>
        <v>12</v>
      </c>
      <c r="J89" s="35">
        <f>IF(VENTAS[[#This Row],[Nombre del Gestor]]&gt;1,VENTAS[[#This Row],[Total]]*10%,0)</f>
        <v>0</v>
      </c>
      <c r="K89" s="35">
        <f>IFERROR(VLOOKUP(VENTAS[[#This Row],[Código del producto Vendido]],STOCK[],16,FALSE)*VENTAS[[#This Row],[Cantidad]]+VLOOKUP(VENTAS[[#This Row],[Código del producto Vendido]],STOCK[],19,FALSE)*VENTAS[[#This Row],[Cantidad]],VENTAS[[#This Row],[Total]])</f>
        <v>7.24555555555556</v>
      </c>
      <c r="L89" s="35">
        <f>VENTAS[[#This Row],[Total]]-VENTAS[[#This Row],[Comisión 10%]]-VENTAS[[#This Row],[Costo SIN Comision]]</f>
        <v>4.75444444444444</v>
      </c>
      <c r="M89" s="35"/>
    </row>
    <row r="90" ht="20" customHeight="1" spans="1:13">
      <c r="A90" s="29"/>
      <c r="B90" s="30" t="s">
        <v>3298</v>
      </c>
      <c r="C90" s="30"/>
      <c r="D90" s="30"/>
      <c r="E90" s="30" t="s">
        <v>327</v>
      </c>
      <c r="F90" s="30" t="str">
        <f>IFERROR(VLOOKUP(VENTAS[[#This Row],[Código del producto Vendido]],STOCK[],5,FALSE),"-")</f>
        <v>Vestido tubo con abertura de muslo con abertura</v>
      </c>
      <c r="G90" s="34">
        <v>1</v>
      </c>
      <c r="H90" s="35">
        <v>15</v>
      </c>
      <c r="I90" s="35">
        <f>VENTAS[[#This Row],[Cantidad]]*VENTAS[[#This Row],[Precio Venta]]</f>
        <v>15</v>
      </c>
      <c r="J90" s="35">
        <f>IF(VENTAS[[#This Row],[Nombre del Gestor]]&gt;1,VENTAS[[#This Row],[Total]]*10%,0)</f>
        <v>0</v>
      </c>
      <c r="K90" s="35">
        <f>IFERROR(VLOOKUP(VENTAS[[#This Row],[Código del producto Vendido]],STOCK[],16,FALSE)*VENTAS[[#This Row],[Cantidad]]+VLOOKUP(VENTAS[[#This Row],[Código del producto Vendido]],STOCK[],19,FALSE)*VENTAS[[#This Row],[Cantidad]],VENTAS[[#This Row],[Total]])</f>
        <v>12.14</v>
      </c>
      <c r="L90" s="35">
        <f>VENTAS[[#This Row],[Total]]-VENTAS[[#This Row],[Comisión 10%]]-VENTAS[[#This Row],[Costo SIN Comision]]</f>
        <v>2.86</v>
      </c>
      <c r="M90" s="35"/>
    </row>
    <row r="91" ht="20" customHeight="1" spans="1:13">
      <c r="A91" s="29"/>
      <c r="B91" s="30" t="s">
        <v>3298</v>
      </c>
      <c r="C91" s="30"/>
      <c r="D91" s="30"/>
      <c r="E91" s="30" t="s">
        <v>398</v>
      </c>
      <c r="F91" s="30" t="str">
        <f>IFERROR(VLOOKUP(VENTAS[[#This Row],[Código del producto Vendido]],STOCK[],5,FALSE),"-")</f>
        <v>EMERY ROSE Vestido Volante rígido Floral Sencillo_L</v>
      </c>
      <c r="G91" s="34">
        <v>1</v>
      </c>
      <c r="H91" s="35">
        <v>35</v>
      </c>
      <c r="I91" s="35">
        <f>VENTAS[[#This Row],[Cantidad]]*VENTAS[[#This Row],[Precio Venta]]</f>
        <v>35</v>
      </c>
      <c r="J91" s="35">
        <f>IF(VENTAS[[#This Row],[Nombre del Gestor]]&gt;1,VENTAS[[#This Row],[Total]]*10%,0)</f>
        <v>0</v>
      </c>
      <c r="K91" s="35">
        <f>IFERROR(VLOOKUP(VENTAS[[#This Row],[Código del producto Vendido]],STOCK[],16,FALSE)*VENTAS[[#This Row],[Cantidad]]+VLOOKUP(VENTAS[[#This Row],[Código del producto Vendido]],STOCK[],19,FALSE)*VENTAS[[#This Row],[Cantidad]],VENTAS[[#This Row],[Total]])</f>
        <v>19.21</v>
      </c>
      <c r="L91" s="35">
        <f>VENTAS[[#This Row],[Total]]-VENTAS[[#This Row],[Comisión 10%]]-VENTAS[[#This Row],[Costo SIN Comision]]</f>
        <v>15.79</v>
      </c>
      <c r="M91" s="35"/>
    </row>
    <row r="92" ht="20" customHeight="1" spans="1:13">
      <c r="A92" s="29"/>
      <c r="B92" s="30" t="s">
        <v>3298</v>
      </c>
      <c r="C92" s="30"/>
      <c r="D92" s="30"/>
      <c r="E92" s="30" t="s">
        <v>973</v>
      </c>
      <c r="F92" s="30" t="str">
        <f>IFERROR(VLOOKUP(VENTAS[[#This Row],[Código del producto Vendido]],STOCK[],5,FALSE),"-")</f>
        <v>Bañador despalda descubierta</v>
      </c>
      <c r="G92" s="34">
        <v>1</v>
      </c>
      <c r="H92" s="35">
        <v>25</v>
      </c>
      <c r="I92" s="35">
        <f>VENTAS[[#This Row],[Cantidad]]*VENTAS[[#This Row],[Precio Venta]]</f>
        <v>25</v>
      </c>
      <c r="J92" s="35">
        <f>IF(VENTAS[[#This Row],[Nombre del Gestor]]&gt;1,VENTAS[[#This Row],[Total]]*10%,0)</f>
        <v>0</v>
      </c>
      <c r="K92" s="35">
        <f>IFERROR(VLOOKUP(VENTAS[[#This Row],[Código del producto Vendido]],STOCK[],16,FALSE)*VENTAS[[#This Row],[Cantidad]]+VLOOKUP(VENTAS[[#This Row],[Código del producto Vendido]],STOCK[],19,FALSE)*VENTAS[[#This Row],[Cantidad]],VENTAS[[#This Row],[Total]])</f>
        <v>15.325</v>
      </c>
      <c r="L92" s="35">
        <f>VENTAS[[#This Row],[Total]]-VENTAS[[#This Row],[Comisión 10%]]-VENTAS[[#This Row],[Costo SIN Comision]]</f>
        <v>9.675</v>
      </c>
      <c r="M92" s="35"/>
    </row>
    <row r="93" ht="20" customHeight="1" spans="1:13">
      <c r="A93" s="29"/>
      <c r="B93" s="30" t="s">
        <v>3298</v>
      </c>
      <c r="C93" s="30"/>
      <c r="D93" s="30"/>
      <c r="E93" s="30" t="s">
        <v>394</v>
      </c>
      <c r="F93" s="30" t="str">
        <f>IFERROR(VLOOKUP(VENTAS[[#This Row],[Código del producto Vendido]],STOCK[],5,FALSE),"-")</f>
        <v>Bolsa cartera de cocodrilo_Naranja Quemada</v>
      </c>
      <c r="G93" s="34">
        <v>2</v>
      </c>
      <c r="H93" s="35">
        <v>16</v>
      </c>
      <c r="I93" s="35">
        <f>VENTAS[[#This Row],[Cantidad]]*VENTAS[[#This Row],[Precio Venta]]</f>
        <v>32</v>
      </c>
      <c r="J93" s="35">
        <f>IF(VENTAS[[#This Row],[Nombre del Gestor]]&gt;1,VENTAS[[#This Row],[Total]]*10%,0)</f>
        <v>0</v>
      </c>
      <c r="K93" s="35">
        <f>IFERROR(VLOOKUP(VENTAS[[#This Row],[Código del producto Vendido]],STOCK[],16,FALSE)*VENTAS[[#This Row],[Cantidad]]+VLOOKUP(VENTAS[[#This Row],[Código del producto Vendido]],STOCK[],19,FALSE)*VENTAS[[#This Row],[Cantidad]],VENTAS[[#This Row],[Total]])</f>
        <v>18.7577777777778</v>
      </c>
      <c r="L93" s="35">
        <f>VENTAS[[#This Row],[Total]]-VENTAS[[#This Row],[Comisión 10%]]-VENTAS[[#This Row],[Costo SIN Comision]]</f>
        <v>13.2422222222222</v>
      </c>
      <c r="M93" s="35"/>
    </row>
    <row r="94" ht="20" customHeight="1" spans="1:13">
      <c r="A94" s="29"/>
      <c r="B94" s="30" t="s">
        <v>3298</v>
      </c>
      <c r="C94" s="30"/>
      <c r="D94" s="30"/>
      <c r="E94" s="30" t="s">
        <v>385</v>
      </c>
      <c r="F94" s="30" t="str">
        <f>IFERROR(VLOOKUP(VENTAS[[#This Row],[Código del producto Vendido]],STOCK[],5,FALSE),"-")</f>
        <v>Bolsa cartera con manija_Negro</v>
      </c>
      <c r="G94" s="34">
        <v>2</v>
      </c>
      <c r="H94" s="35">
        <v>16</v>
      </c>
      <c r="I94" s="35">
        <f>VENTAS[[#This Row],[Cantidad]]*VENTAS[[#This Row],[Precio Venta]]</f>
        <v>32</v>
      </c>
      <c r="J94" s="35">
        <f>IF(VENTAS[[#This Row],[Nombre del Gestor]]&gt;1,VENTAS[[#This Row],[Total]]*10%,0)</f>
        <v>0</v>
      </c>
      <c r="K94" s="35">
        <f>IFERROR(VLOOKUP(VENTAS[[#This Row],[Código del producto Vendido]],STOCK[],16,FALSE)*VENTAS[[#This Row],[Cantidad]]+VLOOKUP(VENTAS[[#This Row],[Código del producto Vendido]],STOCK[],19,FALSE)*VENTAS[[#This Row],[Cantidad]],VENTAS[[#This Row],[Total]])</f>
        <v>15.6</v>
      </c>
      <c r="L94" s="35">
        <f>VENTAS[[#This Row],[Total]]-VENTAS[[#This Row],[Comisión 10%]]-VENTAS[[#This Row],[Costo SIN Comision]]</f>
        <v>16.4</v>
      </c>
      <c r="M94" s="35"/>
    </row>
    <row r="95" ht="20" customHeight="1" spans="1:13">
      <c r="A95" s="29"/>
      <c r="B95" s="30" t="s">
        <v>3298</v>
      </c>
      <c r="C95" s="30"/>
      <c r="D95" s="30"/>
      <c r="E95" s="30" t="s">
        <v>388</v>
      </c>
      <c r="F95" s="30" t="str">
        <f>IFERROR(VLOOKUP(VENTAS[[#This Row],[Código del producto Vendido]],STOCK[],5,FALSE),"-")</f>
        <v>Bolsa cartera con solapa con lagartija_Caqui</v>
      </c>
      <c r="G95" s="34">
        <v>2</v>
      </c>
      <c r="H95" s="35">
        <v>16</v>
      </c>
      <c r="I95" s="35">
        <f>VENTAS[[#This Row],[Cantidad]]*VENTAS[[#This Row],[Precio Venta]]</f>
        <v>32</v>
      </c>
      <c r="J95" s="35">
        <f>IF(VENTAS[[#This Row],[Nombre del Gestor]]&gt;1,VENTAS[[#This Row],[Total]]*10%,0)</f>
        <v>0</v>
      </c>
      <c r="K95" s="35">
        <f>IFERROR(VLOOKUP(VENTAS[[#This Row],[Código del producto Vendido]],STOCK[],16,FALSE)*VENTAS[[#This Row],[Cantidad]]+VLOOKUP(VENTAS[[#This Row],[Código del producto Vendido]],STOCK[],19,FALSE)*VENTAS[[#This Row],[Cantidad]],VENTAS[[#This Row],[Total]])</f>
        <v>16.0622222222222</v>
      </c>
      <c r="L95" s="35">
        <f>VENTAS[[#This Row],[Total]]-VENTAS[[#This Row],[Comisión 10%]]-VENTAS[[#This Row],[Costo SIN Comision]]</f>
        <v>15.9377777777778</v>
      </c>
      <c r="M95" s="35"/>
    </row>
    <row r="96" ht="20" customHeight="1" spans="1:13">
      <c r="A96" s="29"/>
      <c r="B96" s="30" t="s">
        <v>3298</v>
      </c>
      <c r="C96" s="30"/>
      <c r="D96" s="30"/>
      <c r="E96" s="30" t="s">
        <v>382</v>
      </c>
      <c r="F96" s="30" t="str">
        <f>IFERROR(VLOOKUP(VENTAS[[#This Row],[Código del producto Vendido]],STOCK[],5,FALSE),"-")</f>
        <v>Cinturón con hebilla_Unitalla</v>
      </c>
      <c r="G96" s="34">
        <v>1</v>
      </c>
      <c r="H96" s="35">
        <v>10</v>
      </c>
      <c r="I96" s="35">
        <f>VENTAS[[#This Row],[Cantidad]]*VENTAS[[#This Row],[Precio Venta]]</f>
        <v>10</v>
      </c>
      <c r="J96" s="35">
        <f>IF(VENTAS[[#This Row],[Nombre del Gestor]]&gt;1,VENTAS[[#This Row],[Total]]*10%,0)</f>
        <v>0</v>
      </c>
      <c r="K96" s="35">
        <f>IFERROR(VLOOKUP(VENTAS[[#This Row],[Código del producto Vendido]],STOCK[],16,FALSE)*VENTAS[[#This Row],[Cantidad]]+VLOOKUP(VENTAS[[#This Row],[Código del producto Vendido]],STOCK[],19,FALSE)*VENTAS[[#This Row],[Cantidad]],VENTAS[[#This Row],[Total]])</f>
        <v>5.72944444444444</v>
      </c>
      <c r="L96" s="35">
        <f>VENTAS[[#This Row],[Total]]-VENTAS[[#This Row],[Comisión 10%]]-VENTAS[[#This Row],[Costo SIN Comision]]</f>
        <v>4.27055555555556</v>
      </c>
      <c r="M96" s="35"/>
    </row>
    <row r="97" ht="20" customHeight="1" spans="1:13">
      <c r="A97" s="29"/>
      <c r="B97" s="30" t="s">
        <v>3298</v>
      </c>
      <c r="C97" s="30"/>
      <c r="D97" s="30"/>
      <c r="E97" s="30" t="s">
        <v>376</v>
      </c>
      <c r="F97" s="30" t="str">
        <f>IFERROR(VLOOKUP(VENTAS[[#This Row],[Código del producto Vendido]],STOCK[],5,FALSE),"-")</f>
        <v>SHEIN Felegant Vestido ajustado con estampado de leopardo_M</v>
      </c>
      <c r="G97" s="34">
        <v>1</v>
      </c>
      <c r="H97" s="35">
        <v>15</v>
      </c>
      <c r="I97" s="35">
        <f>VENTAS[[#This Row],[Cantidad]]*VENTAS[[#This Row],[Precio Venta]]</f>
        <v>15</v>
      </c>
      <c r="J97" s="35">
        <f>IF(VENTAS[[#This Row],[Nombre del Gestor]]&gt;1,VENTAS[[#This Row],[Total]]*10%,0)</f>
        <v>0</v>
      </c>
      <c r="K97" s="35">
        <f>IFERROR(VLOOKUP(VENTAS[[#This Row],[Código del producto Vendido]],STOCK[],16,FALSE)*VENTAS[[#This Row],[Cantidad]]+VLOOKUP(VENTAS[[#This Row],[Código del producto Vendido]],STOCK[],19,FALSE)*VENTAS[[#This Row],[Cantidad]],VENTAS[[#This Row],[Total]])</f>
        <v>7.24833333333333</v>
      </c>
      <c r="L97" s="35">
        <f>VENTAS[[#This Row],[Total]]-VENTAS[[#This Row],[Comisión 10%]]-VENTAS[[#This Row],[Costo SIN Comision]]</f>
        <v>7.75166666666667</v>
      </c>
      <c r="M97" s="35"/>
    </row>
    <row r="98" ht="20" customHeight="1" spans="1:13">
      <c r="A98" s="29"/>
      <c r="B98" s="30" t="s">
        <v>3298</v>
      </c>
      <c r="C98" s="30"/>
      <c r="D98" s="30"/>
      <c r="E98" s="30" t="s">
        <v>374</v>
      </c>
      <c r="F98" s="30" t="str">
        <f>IFERROR(VLOOKUP(VENTAS[[#This Row],[Código del producto Vendido]],STOCK[],5,FALSE),"-")</f>
        <v>SHEIN Belle Vestido de dama de honor de hombros descubiertos fruncido cruzado_S</v>
      </c>
      <c r="G98" s="34">
        <v>1</v>
      </c>
      <c r="H98" s="35">
        <v>30</v>
      </c>
      <c r="I98" s="35">
        <f>VENTAS[[#This Row],[Cantidad]]*VENTAS[[#This Row],[Precio Venta]]</f>
        <v>30</v>
      </c>
      <c r="J98" s="35">
        <f>IF(VENTAS[[#This Row],[Nombre del Gestor]]&gt;1,VENTAS[[#This Row],[Total]]*10%,0)</f>
        <v>0</v>
      </c>
      <c r="K98" s="35">
        <f>IFERROR(VLOOKUP(VENTAS[[#This Row],[Código del producto Vendido]],STOCK[],16,FALSE)*VENTAS[[#This Row],[Cantidad]]+VLOOKUP(VENTAS[[#This Row],[Código del producto Vendido]],STOCK[],19,FALSE)*VENTAS[[#This Row],[Cantidad]],VENTAS[[#This Row],[Total]])</f>
        <v>19.4577777777778</v>
      </c>
      <c r="L98" s="35">
        <f>VENTAS[[#This Row],[Total]]-VENTAS[[#This Row],[Comisión 10%]]-VENTAS[[#This Row],[Costo SIN Comision]]</f>
        <v>10.5422222222222</v>
      </c>
      <c r="M98" s="35"/>
    </row>
    <row r="99" ht="20" customHeight="1" spans="1:13">
      <c r="A99" s="29"/>
      <c r="B99" s="30" t="s">
        <v>3298</v>
      </c>
      <c r="C99" s="30"/>
      <c r="D99" s="30"/>
      <c r="E99" s="30" t="s">
        <v>372</v>
      </c>
      <c r="F99" s="30" t="str">
        <f>IFERROR(VLOOKUP(VENTAS[[#This Row],[Código del producto Vendido]],STOCK[],5,FALSE),"-")</f>
        <v>SHEIN VCAY Vestido ajustado con estampado de corazón de confeti de hombros descubiertos ribete fruncido_S</v>
      </c>
      <c r="G99" s="34">
        <v>1</v>
      </c>
      <c r="H99" s="35">
        <v>12</v>
      </c>
      <c r="I99" s="35">
        <f>VENTAS[[#This Row],[Cantidad]]*VENTAS[[#This Row],[Precio Venta]]</f>
        <v>12</v>
      </c>
      <c r="J99" s="35">
        <f>IF(VENTAS[[#This Row],[Nombre del Gestor]]&gt;1,VENTAS[[#This Row],[Total]]*10%,0)</f>
        <v>0</v>
      </c>
      <c r="K99" s="35">
        <f>IFERROR(VLOOKUP(VENTAS[[#This Row],[Código del producto Vendido]],STOCK[],16,FALSE)*VENTAS[[#This Row],[Cantidad]]+VLOOKUP(VENTAS[[#This Row],[Código del producto Vendido]],STOCK[],19,FALSE)*VENTAS[[#This Row],[Cantidad]],VENTAS[[#This Row],[Total]])</f>
        <v>8.37444444444444</v>
      </c>
      <c r="L99" s="35">
        <f>VENTAS[[#This Row],[Total]]-VENTAS[[#This Row],[Comisión 10%]]-VENTAS[[#This Row],[Costo SIN Comision]]</f>
        <v>3.62555555555556</v>
      </c>
      <c r="M99" s="35"/>
    </row>
    <row r="100" ht="20" customHeight="1" spans="1:13">
      <c r="A100" s="29"/>
      <c r="B100" s="30" t="s">
        <v>3298</v>
      </c>
      <c r="C100" s="30"/>
      <c r="D100" s="30"/>
      <c r="E100" s="30" t="s">
        <v>369</v>
      </c>
      <c r="F100" s="30" t="str">
        <f>IFERROR(VLOOKUP(VENTAS[[#This Row],[Código del producto Vendido]],STOCK[],5,FALSE),"-")</f>
        <v>SHEIN Vestido niña ceremonia de tirantes bajo con malla con lazo grande_98CM</v>
      </c>
      <c r="G100" s="34">
        <v>1</v>
      </c>
      <c r="H100" s="35">
        <v>30</v>
      </c>
      <c r="I100" s="35">
        <f>VENTAS[[#This Row],[Cantidad]]*VENTAS[[#This Row],[Precio Venta]]</f>
        <v>30</v>
      </c>
      <c r="J100" s="35">
        <f>IF(VENTAS[[#This Row],[Nombre del Gestor]]&gt;1,VENTAS[[#This Row],[Total]]*10%,0)</f>
        <v>0</v>
      </c>
      <c r="K100" s="35">
        <f>IFERROR(VLOOKUP(VENTAS[[#This Row],[Código del producto Vendido]],STOCK[],16,FALSE)*VENTAS[[#This Row],[Cantidad]]+VLOOKUP(VENTAS[[#This Row],[Código del producto Vendido]],STOCK[],19,FALSE)*VENTAS[[#This Row],[Cantidad]],VENTAS[[#This Row],[Total]])</f>
        <v>12.4555555555556</v>
      </c>
      <c r="L100" s="35">
        <f>VENTAS[[#This Row],[Total]]-VENTAS[[#This Row],[Comisión 10%]]-VENTAS[[#This Row],[Costo SIN Comision]]</f>
        <v>17.5444444444444</v>
      </c>
      <c r="M100" s="35"/>
    </row>
    <row r="101" ht="20" customHeight="1" spans="1:13">
      <c r="A101" s="29"/>
      <c r="B101" s="30" t="s">
        <v>3298</v>
      </c>
      <c r="C101" s="30"/>
      <c r="D101" s="30"/>
      <c r="E101" s="30" t="s">
        <v>355</v>
      </c>
      <c r="F101" s="30" t="str">
        <f>IFERROR(VLOOKUP(VENTAS[[#This Row],[Código del producto Vendido]],STOCK[],5,FALSE),"-")</f>
        <v>EMERY ROSE Vestido maxi floral con estampado de pañuelo de manga farol bajo con fruncido</v>
      </c>
      <c r="G101" s="34">
        <v>1</v>
      </c>
      <c r="H101" s="35">
        <v>35</v>
      </c>
      <c r="I101" s="35">
        <f>VENTAS[[#This Row],[Cantidad]]*VENTAS[[#This Row],[Precio Venta]]</f>
        <v>35</v>
      </c>
      <c r="J101" s="35">
        <f>IF(VENTAS[[#This Row],[Nombre del Gestor]]&gt;1,VENTAS[[#This Row],[Total]]*10%,0)</f>
        <v>0</v>
      </c>
      <c r="K101" s="35">
        <f>IFERROR(VLOOKUP(VENTAS[[#This Row],[Código del producto Vendido]],STOCK[],16,FALSE)*VENTAS[[#This Row],[Cantidad]]+VLOOKUP(VENTAS[[#This Row],[Código del producto Vendido]],STOCK[],19,FALSE)*VENTAS[[#This Row],[Cantidad]],VENTAS[[#This Row],[Total]])</f>
        <v>19.7327777777778</v>
      </c>
      <c r="L101" s="35">
        <f>VENTAS[[#This Row],[Total]]-VENTAS[[#This Row],[Comisión 10%]]-VENTAS[[#This Row],[Costo SIN Comision]]</f>
        <v>15.2672222222222</v>
      </c>
      <c r="M101" s="35"/>
    </row>
    <row r="102" ht="20" customHeight="1" spans="1:13">
      <c r="A102" s="29"/>
      <c r="B102" s="30" t="s">
        <v>3298</v>
      </c>
      <c r="C102" s="30"/>
      <c r="D102" s="30"/>
      <c r="E102" s="30" t="s">
        <v>345</v>
      </c>
      <c r="F102" s="30" t="str">
        <f>IFERROR(VLOOKUP(VENTAS[[#This Row],[Código del producto Vendido]],STOCK[],5,FALSE),"-")</f>
        <v>SHEIN Belle Vestido de dama de honor de hombros descubiertos fruncido cruzado de satén</v>
      </c>
      <c r="G102" s="34">
        <v>1</v>
      </c>
      <c r="H102" s="35">
        <v>30</v>
      </c>
      <c r="I102" s="35">
        <f>VENTAS[[#This Row],[Cantidad]]*VENTAS[[#This Row],[Precio Venta]]</f>
        <v>30</v>
      </c>
      <c r="J102" s="35">
        <f>IF(VENTAS[[#This Row],[Nombre del Gestor]]&gt;1,VENTAS[[#This Row],[Total]]*10%,0)</f>
        <v>0</v>
      </c>
      <c r="K102" s="35">
        <f>IFERROR(VLOOKUP(VENTAS[[#This Row],[Código del producto Vendido]],STOCK[],16,FALSE)*VENTAS[[#This Row],[Cantidad]]+VLOOKUP(VENTAS[[#This Row],[Código del producto Vendido]],STOCK[],19,FALSE)*VENTAS[[#This Row],[Cantidad]],VENTAS[[#This Row],[Total]])</f>
        <v>19.6888888888889</v>
      </c>
      <c r="L102" s="35">
        <f>VENTAS[[#This Row],[Total]]-VENTAS[[#This Row],[Comisión 10%]]-VENTAS[[#This Row],[Costo SIN Comision]]</f>
        <v>10.3111111111111</v>
      </c>
      <c r="M102" s="35"/>
    </row>
    <row r="103" ht="20" customHeight="1" spans="1:13">
      <c r="A103" s="29"/>
      <c r="B103" s="30" t="s">
        <v>3298</v>
      </c>
      <c r="C103" s="30"/>
      <c r="D103" s="30"/>
      <c r="E103" s="30" t="s">
        <v>335</v>
      </c>
      <c r="F103" s="30" t="str">
        <f>IFERROR(VLOOKUP(VENTAS[[#This Row],[Código del producto Vendido]],STOCK[],5,FALSE),"-")</f>
        <v>Vestido cruzado de lunares </v>
      </c>
      <c r="G103" s="34">
        <v>1</v>
      </c>
      <c r="H103" s="35">
        <v>25</v>
      </c>
      <c r="I103" s="35">
        <f>VENTAS[[#This Row],[Cantidad]]*VENTAS[[#This Row],[Precio Venta]]</f>
        <v>25</v>
      </c>
      <c r="J103" s="35">
        <f>IF(VENTAS[[#This Row],[Nombre del Gestor]]&gt;1,VENTAS[[#This Row],[Total]]*10%,0)</f>
        <v>0</v>
      </c>
      <c r="K103" s="35">
        <f>IFERROR(VLOOKUP(VENTAS[[#This Row],[Código del producto Vendido]],STOCK[],16,FALSE)*VENTAS[[#This Row],[Cantidad]]+VLOOKUP(VENTAS[[#This Row],[Código del producto Vendido]],STOCK[],19,FALSE)*VENTAS[[#This Row],[Cantidad]],VENTAS[[#This Row],[Total]])</f>
        <v>12.7216666666667</v>
      </c>
      <c r="L103" s="35">
        <f>VENTAS[[#This Row],[Total]]-VENTAS[[#This Row],[Comisión 10%]]-VENTAS[[#This Row],[Costo SIN Comision]]</f>
        <v>12.2783333333333</v>
      </c>
      <c r="M103" s="35"/>
    </row>
    <row r="104" ht="20" customHeight="1" spans="1:13">
      <c r="A104" s="29"/>
      <c r="B104" s="30" t="s">
        <v>3298</v>
      </c>
      <c r="C104" s="30"/>
      <c r="D104" s="30"/>
      <c r="E104" s="30" t="s">
        <v>333</v>
      </c>
      <c r="F104" s="30" t="str">
        <f>IFERROR(VLOOKUP(VENTAS[[#This Row],[Código del producto Vendido]],STOCK[],5,FALSE),"-")</f>
        <v>Vestido cruzado de lunares </v>
      </c>
      <c r="G104" s="34">
        <v>1</v>
      </c>
      <c r="H104" s="35">
        <v>25</v>
      </c>
      <c r="I104" s="35">
        <f>VENTAS[[#This Row],[Cantidad]]*VENTAS[[#This Row],[Precio Venta]]</f>
        <v>25</v>
      </c>
      <c r="J104" s="35">
        <f>IF(VENTAS[[#This Row],[Nombre del Gestor]]&gt;1,VENTAS[[#This Row],[Total]]*10%,0)</f>
        <v>0</v>
      </c>
      <c r="K104" s="35">
        <f>IFERROR(VLOOKUP(VENTAS[[#This Row],[Código del producto Vendido]],STOCK[],16,FALSE)*VENTAS[[#This Row],[Cantidad]]+VLOOKUP(VENTAS[[#This Row],[Código del producto Vendido]],STOCK[],19,FALSE)*VENTAS[[#This Row],[Cantidad]],VENTAS[[#This Row],[Total]])</f>
        <v>12.7216666666667</v>
      </c>
      <c r="L104" s="35">
        <f>VENTAS[[#This Row],[Total]]-VENTAS[[#This Row],[Comisión 10%]]-VENTAS[[#This Row],[Costo SIN Comision]]</f>
        <v>12.2783333333333</v>
      </c>
      <c r="M104" s="35"/>
    </row>
    <row r="105" ht="20" customHeight="1" spans="1:13">
      <c r="A105" s="29"/>
      <c r="B105" s="30" t="s">
        <v>3298</v>
      </c>
      <c r="C105" s="30"/>
      <c r="D105" s="30"/>
      <c r="E105" s="30" t="s">
        <v>616</v>
      </c>
      <c r="F105" s="30" t="str">
        <f>IFERROR(VLOOKUP(VENTAS[[#This Row],[Código del producto Vendido]],STOCK[],5,FALSE),"-")</f>
        <v>Cinturón trenzado </v>
      </c>
      <c r="G105" s="34">
        <v>2</v>
      </c>
      <c r="H105" s="35">
        <v>10</v>
      </c>
      <c r="I105" s="35">
        <f>VENTAS[[#This Row],[Cantidad]]*VENTAS[[#This Row],[Precio Venta]]</f>
        <v>20</v>
      </c>
      <c r="J105" s="35">
        <f>IF(VENTAS[[#This Row],[Nombre del Gestor]]&gt;1,VENTAS[[#This Row],[Total]]*10%,0)</f>
        <v>0</v>
      </c>
      <c r="K105" s="35">
        <f>IFERROR(VLOOKUP(VENTAS[[#This Row],[Código del producto Vendido]],STOCK[],16,FALSE)*VENTAS[[#This Row],[Cantidad]]+VLOOKUP(VENTAS[[#This Row],[Código del producto Vendido]],STOCK[],19,FALSE)*VENTAS[[#This Row],[Cantidad]],VENTAS[[#This Row],[Total]])</f>
        <v>8.3</v>
      </c>
      <c r="L105" s="35">
        <f>VENTAS[[#This Row],[Total]]-VENTAS[[#This Row],[Comisión 10%]]-VENTAS[[#This Row],[Costo SIN Comision]]</f>
        <v>11.7</v>
      </c>
      <c r="M105" s="35"/>
    </row>
    <row r="106" ht="20" customHeight="1" spans="1:13">
      <c r="A106" s="29"/>
      <c r="B106" s="30"/>
      <c r="C106" s="30"/>
      <c r="D106" s="30"/>
      <c r="E106" s="30" t="s">
        <v>616</v>
      </c>
      <c r="F106" s="30" t="str">
        <f>IFERROR(VLOOKUP(VENTAS[[#This Row],[Código del producto Vendido]],STOCK[],5,FALSE),"-")</f>
        <v>Cinturón trenzado </v>
      </c>
      <c r="G106" s="34">
        <v>1</v>
      </c>
      <c r="H106" s="35">
        <v>10</v>
      </c>
      <c r="I106" s="35">
        <f>VENTAS[[#This Row],[Cantidad]]*VENTAS[[#This Row],[Precio Venta]]</f>
        <v>10</v>
      </c>
      <c r="J106" s="35">
        <f>IF(VENTAS[[#This Row],[Nombre del Gestor]]&gt;1,VENTAS[[#This Row],[Total]]*10%,0)</f>
        <v>0</v>
      </c>
      <c r="K106" s="35">
        <f>IFERROR(VLOOKUP(VENTAS[[#This Row],[Código del producto Vendido]],STOCK[],16,FALSE)*VENTAS[[#This Row],[Cantidad]]+VLOOKUP(VENTAS[[#This Row],[Código del producto Vendido]],STOCK[],19,FALSE)*VENTAS[[#This Row],[Cantidad]],VENTAS[[#This Row],[Total]])</f>
        <v>4.15</v>
      </c>
      <c r="L106" s="35">
        <f>VENTAS[[#This Row],[Total]]-VENTAS[[#This Row],[Comisión 10%]]-VENTAS[[#This Row],[Costo SIN Comision]]</f>
        <v>5.85</v>
      </c>
      <c r="M106" s="35"/>
    </row>
    <row r="107" ht="20" customHeight="1" spans="1:13">
      <c r="A107" s="29"/>
      <c r="B107" s="30" t="s">
        <v>3298</v>
      </c>
      <c r="C107" s="30"/>
      <c r="D107" s="30"/>
      <c r="E107" s="30" t="s">
        <v>684</v>
      </c>
      <c r="F107" s="30" t="str">
        <f>IFERROR(VLOOKUP(VENTAS[[#This Row],[Código del producto Vendido]],STOCK[],5,FALSE),"-")</f>
        <v>Top de cuello cruzado con nudo lateral</v>
      </c>
      <c r="G107" s="34">
        <v>3</v>
      </c>
      <c r="H107" s="35">
        <v>10</v>
      </c>
      <c r="I107" s="35">
        <f>VENTAS[[#This Row],[Cantidad]]*VENTAS[[#This Row],[Precio Venta]]</f>
        <v>30</v>
      </c>
      <c r="J107" s="35">
        <f>IF(VENTAS[[#This Row],[Nombre del Gestor]]&gt;1,VENTAS[[#This Row],[Total]]*10%,0)</f>
        <v>0</v>
      </c>
      <c r="K107" s="35">
        <f>IFERROR(VLOOKUP(VENTAS[[#This Row],[Código del producto Vendido]],STOCK[],16,FALSE)*VENTAS[[#This Row],[Cantidad]]+VLOOKUP(VENTAS[[#This Row],[Código del producto Vendido]],STOCK[],19,FALSE)*VENTAS[[#This Row],[Cantidad]],VENTAS[[#This Row],[Total]])</f>
        <v>15.805</v>
      </c>
      <c r="L107" s="35">
        <f>VENTAS[[#This Row],[Total]]-VENTAS[[#This Row],[Comisión 10%]]-VENTAS[[#This Row],[Costo SIN Comision]]</f>
        <v>14.195</v>
      </c>
      <c r="M107" s="35"/>
    </row>
    <row r="108" ht="20" customHeight="1" spans="1:13">
      <c r="A108" s="29"/>
      <c r="B108" s="30" t="s">
        <v>3298</v>
      </c>
      <c r="C108" s="30"/>
      <c r="D108" s="30"/>
      <c r="E108" s="30" t="s">
        <v>577</v>
      </c>
      <c r="F108" s="30" t="str">
        <f>IFERROR(VLOOKUP(VENTAS[[#This Row],[Código del producto Vendido]],STOCK[],5,FALSE),"-")</f>
        <v>SHEIN SXY Camiseta corta unicolor con abertura_XS</v>
      </c>
      <c r="G108" s="34">
        <v>3</v>
      </c>
      <c r="H108" s="35">
        <v>10</v>
      </c>
      <c r="I108" s="35">
        <f>VENTAS[[#This Row],[Cantidad]]*VENTAS[[#This Row],[Precio Venta]]</f>
        <v>30</v>
      </c>
      <c r="J108" s="35">
        <f>IF(VENTAS[[#This Row],[Nombre del Gestor]]&gt;1,VENTAS[[#This Row],[Total]]*10%,0)</f>
        <v>0</v>
      </c>
      <c r="K108" s="35">
        <f>IFERROR(VLOOKUP(VENTAS[[#This Row],[Código del producto Vendido]],STOCK[],16,FALSE)*VENTAS[[#This Row],[Cantidad]]+VLOOKUP(VENTAS[[#This Row],[Código del producto Vendido]],STOCK[],19,FALSE)*VENTAS[[#This Row],[Cantidad]],VENTAS[[#This Row],[Total]])</f>
        <v>16.4</v>
      </c>
      <c r="L108" s="35">
        <f>VENTAS[[#This Row],[Total]]-VENTAS[[#This Row],[Comisión 10%]]-VENTAS[[#This Row],[Costo SIN Comision]]</f>
        <v>13.6</v>
      </c>
      <c r="M108" s="35"/>
    </row>
    <row r="109" ht="20" customHeight="1" spans="1:13">
      <c r="A109" s="29"/>
      <c r="B109" s="30" t="s">
        <v>3298</v>
      </c>
      <c r="C109" s="30"/>
      <c r="D109" s="30"/>
      <c r="E109" s="30" t="s">
        <v>581</v>
      </c>
      <c r="F109" s="30" t="str">
        <f>IFERROR(VLOOKUP(VENTAS[[#This Row],[Código del producto Vendido]],STOCK[],5,FALSE),"-")</f>
        <v>SHEIN SXY Camiseta corta unicolor con abertura</v>
      </c>
      <c r="G109" s="34">
        <v>3</v>
      </c>
      <c r="H109" s="35">
        <v>10</v>
      </c>
      <c r="I109" s="35">
        <f>VENTAS[[#This Row],[Cantidad]]*VENTAS[[#This Row],[Precio Venta]]</f>
        <v>30</v>
      </c>
      <c r="J109" s="35">
        <f>IF(VENTAS[[#This Row],[Nombre del Gestor]]&gt;1,VENTAS[[#This Row],[Total]]*10%,0)</f>
        <v>0</v>
      </c>
      <c r="K109" s="35">
        <f>IFERROR(VLOOKUP(VENTAS[[#This Row],[Código del producto Vendido]],STOCK[],16,FALSE)*VENTAS[[#This Row],[Cantidad]]+VLOOKUP(VENTAS[[#This Row],[Código del producto Vendido]],STOCK[],19,FALSE)*VENTAS[[#This Row],[Cantidad]],VENTAS[[#This Row],[Total]])</f>
        <v>15.08</v>
      </c>
      <c r="L109" s="35">
        <f>VENTAS[[#This Row],[Total]]-VENTAS[[#This Row],[Comisión 10%]]-VENTAS[[#This Row],[Costo SIN Comision]]</f>
        <v>14.92</v>
      </c>
      <c r="M109" s="35"/>
    </row>
    <row r="110" ht="20" customHeight="1" spans="1:13">
      <c r="A110" s="29"/>
      <c r="B110" s="30" t="s">
        <v>3298</v>
      </c>
      <c r="C110" s="30"/>
      <c r="D110" s="30"/>
      <c r="E110" s="30" t="s">
        <v>579</v>
      </c>
      <c r="F110" s="30" t="str">
        <f>IFERROR(VLOOKUP(VENTAS[[#This Row],[Código del producto Vendido]],STOCK[],5,FALSE),"-")</f>
        <v>Camiseta corta unicolor con abertura</v>
      </c>
      <c r="G110" s="34">
        <v>2</v>
      </c>
      <c r="H110" s="35">
        <v>9</v>
      </c>
      <c r="I110" s="35">
        <f>VENTAS[[#This Row],[Cantidad]]*VENTAS[[#This Row],[Precio Venta]]</f>
        <v>18</v>
      </c>
      <c r="J110" s="35">
        <f>IF(VENTAS[[#This Row],[Nombre del Gestor]]&gt;1,VENTAS[[#This Row],[Total]]*10%,0)</f>
        <v>0</v>
      </c>
      <c r="K110" s="35">
        <f>IFERROR(VLOOKUP(VENTAS[[#This Row],[Código del producto Vendido]],STOCK[],16,FALSE)*VENTAS[[#This Row],[Cantidad]]+VLOOKUP(VENTAS[[#This Row],[Código del producto Vendido]],STOCK[],19,FALSE)*VENTAS[[#This Row],[Cantidad]],VENTAS[[#This Row],[Total]])</f>
        <v>10.0533333333333</v>
      </c>
      <c r="L110" s="35">
        <f>VENTAS[[#This Row],[Total]]-VENTAS[[#This Row],[Comisión 10%]]-VENTAS[[#This Row],[Costo SIN Comision]]</f>
        <v>7.94666666666666</v>
      </c>
      <c r="M110" s="35"/>
    </row>
    <row r="111" ht="20" customHeight="1" spans="1:13">
      <c r="A111" s="29"/>
      <c r="B111" s="30" t="s">
        <v>3298</v>
      </c>
      <c r="C111" s="30"/>
      <c r="D111" s="30"/>
      <c r="E111" s="30" t="s">
        <v>3308</v>
      </c>
      <c r="F111" s="30" t="str">
        <f>IFERROR(VLOOKUP(VENTAS[[#This Row],[Código del producto Vendido]],STOCK[],5,FALSE),"-")</f>
        <v>-</v>
      </c>
      <c r="G111" s="34">
        <v>2</v>
      </c>
      <c r="H111" s="35">
        <v>14</v>
      </c>
      <c r="I111" s="35">
        <f>VENTAS[[#This Row],[Cantidad]]*VENTAS[[#This Row],[Precio Venta]]</f>
        <v>28</v>
      </c>
      <c r="J111" s="35">
        <f>IF(VENTAS[[#This Row],[Nombre del Gestor]]&gt;1,VENTAS[[#This Row],[Total]]*10%,0)</f>
        <v>0</v>
      </c>
      <c r="K111" s="35">
        <f>IFERROR(VLOOKUP(VENTAS[[#This Row],[Código del producto Vendido]],STOCK[],16,FALSE)*VENTAS[[#This Row],[Cantidad]]+VLOOKUP(VENTAS[[#This Row],[Código del producto Vendido]],STOCK[],19,FALSE)*VENTAS[[#This Row],[Cantidad]],VENTAS[[#This Row],[Total]])</f>
        <v>28</v>
      </c>
      <c r="L111" s="35">
        <f>VENTAS[[#This Row],[Total]]-VENTAS[[#This Row],[Comisión 10%]]-VENTAS[[#This Row],[Costo SIN Comision]]</f>
        <v>0</v>
      </c>
      <c r="M111" s="35"/>
    </row>
    <row r="112" ht="20" customHeight="1" spans="1:13">
      <c r="A112" s="29"/>
      <c r="B112" s="30" t="s">
        <v>3298</v>
      </c>
      <c r="C112" s="30"/>
      <c r="D112" s="30"/>
      <c r="E112" s="30" t="s">
        <v>589</v>
      </c>
      <c r="F112" s="30" t="str">
        <f>IFERROR(VLOOKUP(VENTAS[[#This Row],[Código del producto Vendido]],STOCK[],5,FALSE),"-")</f>
        <v>SHEIN SXY Top corto con nudo con abertura de manga farol_S</v>
      </c>
      <c r="G112" s="34">
        <v>1</v>
      </c>
      <c r="H112" s="35">
        <v>9</v>
      </c>
      <c r="I112" s="35">
        <f>VENTAS[[#This Row],[Cantidad]]*VENTAS[[#This Row],[Precio Venta]]</f>
        <v>9</v>
      </c>
      <c r="J112" s="35">
        <f>IF(VENTAS[[#This Row],[Nombre del Gestor]]&gt;1,VENTAS[[#This Row],[Total]]*10%,0)</f>
        <v>0</v>
      </c>
      <c r="K112" s="35">
        <f>IFERROR(VLOOKUP(VENTAS[[#This Row],[Código del producto Vendido]],STOCK[],16,FALSE)*VENTAS[[#This Row],[Cantidad]]+VLOOKUP(VENTAS[[#This Row],[Código del producto Vendido]],STOCK[],19,FALSE)*VENTAS[[#This Row],[Cantidad]],VENTAS[[#This Row],[Total]])</f>
        <v>5.735</v>
      </c>
      <c r="L112" s="35">
        <f>VENTAS[[#This Row],[Total]]-VENTAS[[#This Row],[Comisión 10%]]-VENTAS[[#This Row],[Costo SIN Comision]]</f>
        <v>3.265</v>
      </c>
      <c r="M112" s="35"/>
    </row>
    <row r="113" ht="20" customHeight="1" spans="1:13">
      <c r="A113" s="29"/>
      <c r="B113" s="30" t="s">
        <v>3298</v>
      </c>
      <c r="C113" s="30"/>
      <c r="D113" s="30"/>
      <c r="E113" s="30" t="s">
        <v>591</v>
      </c>
      <c r="F113" s="30" t="str">
        <f>IFERROR(VLOOKUP(VENTAS[[#This Row],[Código del producto Vendido]],STOCK[],5,FALSE),"-")</f>
        <v>SHEIN SXY Top corto con nudo con abertura de manga farol_M</v>
      </c>
      <c r="G113" s="34">
        <v>3</v>
      </c>
      <c r="H113" s="35">
        <v>9</v>
      </c>
      <c r="I113" s="35">
        <f>VENTAS[[#This Row],[Cantidad]]*VENTAS[[#This Row],[Precio Venta]]</f>
        <v>27</v>
      </c>
      <c r="J113" s="35">
        <f>IF(VENTAS[[#This Row],[Nombre del Gestor]]&gt;1,VENTAS[[#This Row],[Total]]*10%,0)</f>
        <v>0</v>
      </c>
      <c r="K113" s="35">
        <f>IFERROR(VLOOKUP(VENTAS[[#This Row],[Código del producto Vendido]],STOCK[],16,FALSE)*VENTAS[[#This Row],[Cantidad]]+VLOOKUP(VENTAS[[#This Row],[Código del producto Vendido]],STOCK[],19,FALSE)*VENTAS[[#This Row],[Cantidad]],VENTAS[[#This Row],[Total]])</f>
        <v>17.205</v>
      </c>
      <c r="L113" s="35">
        <f>VENTAS[[#This Row],[Total]]-VENTAS[[#This Row],[Comisión 10%]]-VENTAS[[#This Row],[Costo SIN Comision]]</f>
        <v>9.795</v>
      </c>
      <c r="M113" s="35"/>
    </row>
    <row r="114" ht="20" customHeight="1" spans="1:13">
      <c r="A114" s="29"/>
      <c r="B114" s="30" t="s">
        <v>3298</v>
      </c>
      <c r="C114" s="30"/>
      <c r="D114" s="30"/>
      <c r="E114" s="30" t="s">
        <v>665</v>
      </c>
      <c r="F114" s="30" t="str">
        <f>IFERROR(VLOOKUP(VENTAS[[#This Row],[Código del producto Vendido]],STOCK[],5,FALSE),"-")</f>
        <v>SHEIN SXY Camiseta con abertura de malla_M</v>
      </c>
      <c r="G114" s="34">
        <v>3</v>
      </c>
      <c r="H114" s="35">
        <v>10</v>
      </c>
      <c r="I114" s="35">
        <f>VENTAS[[#This Row],[Cantidad]]*VENTAS[[#This Row],[Precio Venta]]</f>
        <v>30</v>
      </c>
      <c r="J114" s="35">
        <f>IF(VENTAS[[#This Row],[Nombre del Gestor]]&gt;1,VENTAS[[#This Row],[Total]]*10%,0)</f>
        <v>0</v>
      </c>
      <c r="K114" s="35">
        <f>IFERROR(VLOOKUP(VENTAS[[#This Row],[Código del producto Vendido]],STOCK[],16,FALSE)*VENTAS[[#This Row],[Cantidad]]+VLOOKUP(VENTAS[[#This Row],[Código del producto Vendido]],STOCK[],19,FALSE)*VENTAS[[#This Row],[Cantidad]],VENTAS[[#This Row],[Total]])</f>
        <v>16.33</v>
      </c>
      <c r="L114" s="35">
        <f>VENTAS[[#This Row],[Total]]-VENTAS[[#This Row],[Comisión 10%]]-VENTAS[[#This Row],[Costo SIN Comision]]</f>
        <v>13.67</v>
      </c>
      <c r="M114" s="35"/>
    </row>
    <row r="115" ht="20" customHeight="1" spans="1:13">
      <c r="A115" s="29"/>
      <c r="B115" s="30" t="s">
        <v>3298</v>
      </c>
      <c r="C115" s="30"/>
      <c r="D115" s="30"/>
      <c r="E115" s="30" t="s">
        <v>667</v>
      </c>
      <c r="F115" s="30" t="str">
        <f>IFERROR(VLOOKUP(VENTAS[[#This Row],[Código del producto Vendido]],STOCK[],5,FALSE),"-")</f>
        <v>SHEIN SXY Camiseta con abertura de malla_S</v>
      </c>
      <c r="G115" s="34">
        <v>3</v>
      </c>
      <c r="H115" s="35">
        <v>10</v>
      </c>
      <c r="I115" s="35">
        <f>VENTAS[[#This Row],[Cantidad]]*VENTAS[[#This Row],[Precio Venta]]</f>
        <v>30</v>
      </c>
      <c r="J115" s="35">
        <f>IF(VENTAS[[#This Row],[Nombre del Gestor]]&gt;1,VENTAS[[#This Row],[Total]]*10%,0)</f>
        <v>0</v>
      </c>
      <c r="K115" s="35">
        <f>IFERROR(VLOOKUP(VENTAS[[#This Row],[Código del producto Vendido]],STOCK[],16,FALSE)*VENTAS[[#This Row],[Cantidad]]+VLOOKUP(VENTAS[[#This Row],[Código del producto Vendido]],STOCK[],19,FALSE)*VENTAS[[#This Row],[Cantidad]],VENTAS[[#This Row],[Total]])</f>
        <v>16.33</v>
      </c>
      <c r="L115" s="35">
        <f>VENTAS[[#This Row],[Total]]-VENTAS[[#This Row],[Comisión 10%]]-VENTAS[[#This Row],[Costo SIN Comision]]</f>
        <v>13.67</v>
      </c>
      <c r="M115" s="35"/>
    </row>
    <row r="116" ht="20" customHeight="1" spans="1:13">
      <c r="A116" s="29"/>
      <c r="B116" s="30" t="s">
        <v>3298</v>
      </c>
      <c r="C116" s="30"/>
      <c r="D116" s="30"/>
      <c r="E116" s="30" t="s">
        <v>669</v>
      </c>
      <c r="F116" s="30" t="str">
        <f>IFERROR(VLOOKUP(VENTAS[[#This Row],[Código del producto Vendido]],STOCK[],5,FALSE),"-")</f>
        <v>SHEIN SXY Camiseta con abertura de malla_XS</v>
      </c>
      <c r="G116" s="34">
        <v>3</v>
      </c>
      <c r="H116" s="35">
        <v>9</v>
      </c>
      <c r="I116" s="35">
        <f>VENTAS[[#This Row],[Cantidad]]*VENTAS[[#This Row],[Precio Venta]]</f>
        <v>27</v>
      </c>
      <c r="J116" s="35">
        <f>IF(VENTAS[[#This Row],[Nombre del Gestor]]&gt;1,VENTAS[[#This Row],[Total]]*10%,0)</f>
        <v>0</v>
      </c>
      <c r="K116" s="35">
        <f>IFERROR(VLOOKUP(VENTAS[[#This Row],[Código del producto Vendido]],STOCK[],16,FALSE)*VENTAS[[#This Row],[Cantidad]]+VLOOKUP(VENTAS[[#This Row],[Código del producto Vendido]],STOCK[],19,FALSE)*VENTAS[[#This Row],[Cantidad]],VENTAS[[#This Row],[Total]])</f>
        <v>16.33</v>
      </c>
      <c r="L116" s="35">
        <f>VENTAS[[#This Row],[Total]]-VENTAS[[#This Row],[Comisión 10%]]-VENTAS[[#This Row],[Costo SIN Comision]]</f>
        <v>10.67</v>
      </c>
      <c r="M116" s="35"/>
    </row>
    <row r="117" ht="20" customHeight="1" spans="1:13">
      <c r="A117" s="29"/>
      <c r="B117" s="30" t="s">
        <v>3298</v>
      </c>
      <c r="C117" s="30"/>
      <c r="D117" s="30"/>
      <c r="E117" s="30" t="s">
        <v>3309</v>
      </c>
      <c r="F117" s="30" t="str">
        <f>IFERROR(VLOOKUP(VENTAS[[#This Row],[Código del producto Vendido]],STOCK[],5,FALSE),"-")</f>
        <v>-</v>
      </c>
      <c r="G117" s="34">
        <v>1</v>
      </c>
      <c r="H117" s="35">
        <v>9</v>
      </c>
      <c r="I117" s="35">
        <f>VENTAS[[#This Row],[Cantidad]]*VENTAS[[#This Row],[Precio Venta]]</f>
        <v>9</v>
      </c>
      <c r="J117" s="35">
        <f>IF(VENTAS[[#This Row],[Nombre del Gestor]]&gt;1,VENTAS[[#This Row],[Total]]*10%,0)</f>
        <v>0</v>
      </c>
      <c r="K117" s="35">
        <f>IFERROR(VLOOKUP(VENTAS[[#This Row],[Código del producto Vendido]],STOCK[],16,FALSE)*VENTAS[[#This Row],[Cantidad]]+VLOOKUP(VENTAS[[#This Row],[Código del producto Vendido]],STOCK[],19,FALSE)*VENTAS[[#This Row],[Cantidad]],VENTAS[[#This Row],[Total]])</f>
        <v>9</v>
      </c>
      <c r="L117" s="35">
        <f>VENTAS[[#This Row],[Total]]-VENTAS[[#This Row],[Comisión 10%]]-VENTAS[[#This Row],[Costo SIN Comision]]</f>
        <v>0</v>
      </c>
      <c r="M117" s="35"/>
    </row>
    <row r="118" ht="20" customHeight="1" spans="1:13">
      <c r="A118" s="29"/>
      <c r="B118" s="30" t="s">
        <v>3298</v>
      </c>
      <c r="C118" s="30"/>
      <c r="D118" s="30"/>
      <c r="E118" s="30" t="s">
        <v>3310</v>
      </c>
      <c r="F118" s="30" t="str">
        <f>IFERROR(VLOOKUP(VENTAS[[#This Row],[Código del producto Vendido]],STOCK[],5,FALSE),"-")</f>
        <v>-</v>
      </c>
      <c r="G118" s="34">
        <v>1</v>
      </c>
      <c r="H118" s="35">
        <v>10</v>
      </c>
      <c r="I118" s="35">
        <f>VENTAS[[#This Row],[Cantidad]]*VENTAS[[#This Row],[Precio Venta]]</f>
        <v>10</v>
      </c>
      <c r="J118" s="35">
        <f>IF(VENTAS[[#This Row],[Nombre del Gestor]]&gt;1,VENTAS[[#This Row],[Total]]*10%,0)</f>
        <v>0</v>
      </c>
      <c r="K118" s="35">
        <f>IFERROR(VLOOKUP(VENTAS[[#This Row],[Código del producto Vendido]],STOCK[],16,FALSE)*VENTAS[[#This Row],[Cantidad]]+VLOOKUP(VENTAS[[#This Row],[Código del producto Vendido]],STOCK[],19,FALSE)*VENTAS[[#This Row],[Cantidad]],VENTAS[[#This Row],[Total]])</f>
        <v>10</v>
      </c>
      <c r="L118" s="35">
        <f>VENTAS[[#This Row],[Total]]-VENTAS[[#This Row],[Comisión 10%]]-VENTAS[[#This Row],[Costo SIN Comision]]</f>
        <v>0</v>
      </c>
      <c r="M118" s="35"/>
    </row>
    <row r="119" ht="20" customHeight="1" spans="1:13">
      <c r="A119" s="29"/>
      <c r="B119" s="30" t="s">
        <v>3298</v>
      </c>
      <c r="C119" s="30"/>
      <c r="D119" s="30"/>
      <c r="E119" s="30" t="s">
        <v>3311</v>
      </c>
      <c r="F119" s="30" t="str">
        <f>IFERROR(VLOOKUP(VENTAS[[#This Row],[Código del producto Vendido]],STOCK[],5,FALSE),"-")</f>
        <v>-</v>
      </c>
      <c r="G119" s="34">
        <v>2</v>
      </c>
      <c r="H119" s="35">
        <v>9</v>
      </c>
      <c r="I119" s="35">
        <f>VENTAS[[#This Row],[Cantidad]]*VENTAS[[#This Row],[Precio Venta]]</f>
        <v>18</v>
      </c>
      <c r="J119" s="35">
        <f>IF(VENTAS[[#This Row],[Nombre del Gestor]]&gt;1,VENTAS[[#This Row],[Total]]*10%,0)</f>
        <v>0</v>
      </c>
      <c r="K119" s="35">
        <f>IFERROR(VLOOKUP(VENTAS[[#This Row],[Código del producto Vendido]],STOCK[],16,FALSE)*VENTAS[[#This Row],[Cantidad]]+VLOOKUP(VENTAS[[#This Row],[Código del producto Vendido]],STOCK[],19,FALSE)*VENTAS[[#This Row],[Cantidad]],VENTAS[[#This Row],[Total]])</f>
        <v>18</v>
      </c>
      <c r="L119" s="35">
        <f>VENTAS[[#This Row],[Total]]-VENTAS[[#This Row],[Comisión 10%]]-VENTAS[[#This Row],[Costo SIN Comision]]</f>
        <v>0</v>
      </c>
      <c r="M119" s="35"/>
    </row>
    <row r="120" ht="20" customHeight="1" spans="1:13">
      <c r="A120" s="29"/>
      <c r="B120" s="30" t="s">
        <v>3298</v>
      </c>
      <c r="C120" s="30"/>
      <c r="D120" s="30"/>
      <c r="E120" s="30" t="s">
        <v>3312</v>
      </c>
      <c r="F120" s="30" t="str">
        <f>IFERROR(VLOOKUP(VENTAS[[#This Row],[Código del producto Vendido]],STOCK[],5,FALSE),"-")</f>
        <v>-</v>
      </c>
      <c r="G120" s="34">
        <v>2</v>
      </c>
      <c r="H120" s="35">
        <v>9</v>
      </c>
      <c r="I120" s="35">
        <f>VENTAS[[#This Row],[Cantidad]]*VENTAS[[#This Row],[Precio Venta]]</f>
        <v>18</v>
      </c>
      <c r="J120" s="35">
        <f>IF(VENTAS[[#This Row],[Nombre del Gestor]]&gt;1,VENTAS[[#This Row],[Total]]*10%,0)</f>
        <v>0</v>
      </c>
      <c r="K120" s="35">
        <f>IFERROR(VLOOKUP(VENTAS[[#This Row],[Código del producto Vendido]],STOCK[],16,FALSE)*VENTAS[[#This Row],[Cantidad]]+VLOOKUP(VENTAS[[#This Row],[Código del producto Vendido]],STOCK[],19,FALSE)*VENTAS[[#This Row],[Cantidad]],VENTAS[[#This Row],[Total]])</f>
        <v>18</v>
      </c>
      <c r="L120" s="35">
        <f>VENTAS[[#This Row],[Total]]-VENTAS[[#This Row],[Comisión 10%]]-VENTAS[[#This Row],[Costo SIN Comision]]</f>
        <v>0</v>
      </c>
      <c r="M120" s="35"/>
    </row>
    <row r="121" ht="20" customHeight="1" spans="1:13">
      <c r="A121" s="29"/>
      <c r="B121" s="30" t="s">
        <v>3298</v>
      </c>
      <c r="C121" s="30"/>
      <c r="D121" s="30"/>
      <c r="E121" s="30" t="s">
        <v>615</v>
      </c>
      <c r="F121" s="30" t="str">
        <f>IFERROR(VLOOKUP(VENTAS[[#This Row],[Código del producto Vendido]],STOCK[],5,FALSE),"-")</f>
        <v>Camiseta corta de manga farol</v>
      </c>
      <c r="G121" s="34">
        <v>2</v>
      </c>
      <c r="H121" s="35">
        <v>9</v>
      </c>
      <c r="I121" s="35">
        <f>VENTAS[[#This Row],[Cantidad]]*VENTAS[[#This Row],[Precio Venta]]</f>
        <v>18</v>
      </c>
      <c r="J121" s="35">
        <f>IF(VENTAS[[#This Row],[Nombre del Gestor]]&gt;1,VENTAS[[#This Row],[Total]]*10%,0)</f>
        <v>0</v>
      </c>
      <c r="K121" s="35">
        <f>IFERROR(VLOOKUP(VENTAS[[#This Row],[Código del producto Vendido]],STOCK[],16,FALSE)*VENTAS[[#This Row],[Cantidad]]+VLOOKUP(VENTAS[[#This Row],[Código del producto Vendido]],STOCK[],19,FALSE)*VENTAS[[#This Row],[Cantidad]],VENTAS[[#This Row],[Total]])</f>
        <v>11.47</v>
      </c>
      <c r="L121" s="35">
        <f>VENTAS[[#This Row],[Total]]-VENTAS[[#This Row],[Comisión 10%]]-VENTAS[[#This Row],[Costo SIN Comision]]</f>
        <v>6.53</v>
      </c>
      <c r="M121" s="35"/>
    </row>
    <row r="122" ht="20" customHeight="1" spans="1:13">
      <c r="A122" s="29"/>
      <c r="B122" s="30" t="s">
        <v>3298</v>
      </c>
      <c r="C122" s="30"/>
      <c r="D122" s="30"/>
      <c r="E122" s="30" t="s">
        <v>3313</v>
      </c>
      <c r="F122" s="30" t="str">
        <f>IFERROR(VLOOKUP(VENTAS[[#This Row],[Código del producto Vendido]],STOCK[],5,FALSE),"-")</f>
        <v>-</v>
      </c>
      <c r="G122" s="34">
        <v>1</v>
      </c>
      <c r="H122" s="35">
        <v>9</v>
      </c>
      <c r="I122" s="35">
        <f>VENTAS[[#This Row],[Cantidad]]*VENTAS[[#This Row],[Precio Venta]]</f>
        <v>9</v>
      </c>
      <c r="J122" s="35">
        <f>IF(VENTAS[[#This Row],[Nombre del Gestor]]&gt;1,VENTAS[[#This Row],[Total]]*10%,0)</f>
        <v>0</v>
      </c>
      <c r="K122" s="35">
        <f>IFERROR(VLOOKUP(VENTAS[[#This Row],[Código del producto Vendido]],STOCK[],16,FALSE)*VENTAS[[#This Row],[Cantidad]]+VLOOKUP(VENTAS[[#This Row],[Código del producto Vendido]],STOCK[],19,FALSE)*VENTAS[[#This Row],[Cantidad]],VENTAS[[#This Row],[Total]])</f>
        <v>9</v>
      </c>
      <c r="L122" s="35">
        <f>VENTAS[[#This Row],[Total]]-VENTAS[[#This Row],[Comisión 10%]]-VENTAS[[#This Row],[Costo SIN Comision]]</f>
        <v>0</v>
      </c>
      <c r="M122" s="35"/>
    </row>
    <row r="123" ht="20" customHeight="1" spans="1:13">
      <c r="A123" s="29"/>
      <c r="B123" s="30" t="s">
        <v>3298</v>
      </c>
      <c r="C123" s="30"/>
      <c r="D123" s="30"/>
      <c r="E123" s="30" t="s">
        <v>613</v>
      </c>
      <c r="F123" s="30" t="str">
        <f>IFERROR(VLOOKUP(VENTAS[[#This Row],[Código del producto Vendido]],STOCK[],5,FALSE),"-")</f>
        <v>Camiseta corta de manga farol</v>
      </c>
      <c r="G123" s="34">
        <v>2</v>
      </c>
      <c r="H123" s="35">
        <v>9</v>
      </c>
      <c r="I123" s="35">
        <f>VENTAS[[#This Row],[Cantidad]]*VENTAS[[#This Row],[Precio Venta]]</f>
        <v>18</v>
      </c>
      <c r="J123" s="35">
        <f>IF(VENTAS[[#This Row],[Nombre del Gestor]]&gt;1,VENTAS[[#This Row],[Total]]*10%,0)</f>
        <v>0</v>
      </c>
      <c r="K123" s="35">
        <f>IFERROR(VLOOKUP(VENTAS[[#This Row],[Código del producto Vendido]],STOCK[],16,FALSE)*VENTAS[[#This Row],[Cantidad]]+VLOOKUP(VENTAS[[#This Row],[Código del producto Vendido]],STOCK[],19,FALSE)*VENTAS[[#This Row],[Cantidad]],VENTAS[[#This Row],[Total]])</f>
        <v>11.47</v>
      </c>
      <c r="L123" s="35">
        <f>VENTAS[[#This Row],[Total]]-VENTAS[[#This Row],[Comisión 10%]]-VENTAS[[#This Row],[Costo SIN Comision]]</f>
        <v>6.53</v>
      </c>
      <c r="M123" s="35"/>
    </row>
    <row r="124" ht="20" customHeight="1" spans="1:13">
      <c r="A124" s="29"/>
      <c r="B124" s="30" t="s">
        <v>3298</v>
      </c>
      <c r="C124" s="30"/>
      <c r="D124" s="30"/>
      <c r="E124" s="30" t="s">
        <v>3314</v>
      </c>
      <c r="F124" s="30" t="str">
        <f>IFERROR(VLOOKUP(VENTAS[[#This Row],[Código del producto Vendido]],STOCK[],5,FALSE),"-")</f>
        <v>-</v>
      </c>
      <c r="G124" s="34">
        <v>1</v>
      </c>
      <c r="H124" s="35">
        <v>9</v>
      </c>
      <c r="I124" s="35">
        <f>VENTAS[[#This Row],[Cantidad]]*VENTAS[[#This Row],[Precio Venta]]</f>
        <v>9</v>
      </c>
      <c r="J124" s="35">
        <f>IF(VENTAS[[#This Row],[Nombre del Gestor]]&gt;1,VENTAS[[#This Row],[Total]]*10%,0)</f>
        <v>0</v>
      </c>
      <c r="K124" s="35">
        <f>IFERROR(VLOOKUP(VENTAS[[#This Row],[Código del producto Vendido]],STOCK[],16,FALSE)*VENTAS[[#This Row],[Cantidad]]+VLOOKUP(VENTAS[[#This Row],[Código del producto Vendido]],STOCK[],19,FALSE)*VENTAS[[#This Row],[Cantidad]],VENTAS[[#This Row],[Total]])</f>
        <v>9</v>
      </c>
      <c r="L124" s="35">
        <f>VENTAS[[#This Row],[Total]]-VENTAS[[#This Row],[Comisión 10%]]-VENTAS[[#This Row],[Costo SIN Comision]]</f>
        <v>0</v>
      </c>
      <c r="M124" s="35"/>
    </row>
    <row r="125" ht="20" customHeight="1" spans="1:13">
      <c r="A125" s="29"/>
      <c r="B125" s="30" t="s">
        <v>3298</v>
      </c>
      <c r="C125" s="30"/>
      <c r="D125" s="30"/>
      <c r="E125" s="30" t="s">
        <v>587</v>
      </c>
      <c r="F125" s="30" t="str">
        <f>IFERROR(VLOOKUP(VENTAS[[#This Row],[Código del producto Vendido]],STOCK[],5,FALSE),"-")</f>
        <v>Top corto manga farol</v>
      </c>
      <c r="G125" s="34">
        <v>2</v>
      </c>
      <c r="H125" s="35">
        <v>9</v>
      </c>
      <c r="I125" s="35">
        <f>VENTAS[[#This Row],[Cantidad]]*VENTAS[[#This Row],[Precio Venta]]</f>
        <v>18</v>
      </c>
      <c r="J125" s="35">
        <f>IF(VENTAS[[#This Row],[Nombre del Gestor]]&gt;1,VENTAS[[#This Row],[Total]]*10%,0)</f>
        <v>0</v>
      </c>
      <c r="K125" s="35">
        <f>IFERROR(VLOOKUP(VENTAS[[#This Row],[Código del producto Vendido]],STOCK[],16,FALSE)*VENTAS[[#This Row],[Cantidad]]+VLOOKUP(VENTAS[[#This Row],[Código del producto Vendido]],STOCK[],19,FALSE)*VENTAS[[#This Row],[Cantidad]],VENTAS[[#This Row],[Total]])</f>
        <v>11.47</v>
      </c>
      <c r="L125" s="35">
        <f>VENTAS[[#This Row],[Total]]-VENTAS[[#This Row],[Comisión 10%]]-VENTAS[[#This Row],[Costo SIN Comision]]</f>
        <v>6.53</v>
      </c>
      <c r="M125" s="35"/>
    </row>
    <row r="126" ht="20" customHeight="1" spans="1:13">
      <c r="A126" s="29"/>
      <c r="B126" s="30" t="s">
        <v>3298</v>
      </c>
      <c r="C126" s="30"/>
      <c r="D126" s="30"/>
      <c r="E126" s="30" t="s">
        <v>575</v>
      </c>
      <c r="F126" s="30" t="str">
        <f>IFERROR(VLOOKUP(VENTAS[[#This Row],[Código del producto Vendido]],STOCK[],5,FALSE),"-")</f>
        <v>Top de hombros descubiertos unicolor ribete con fruncido_S</v>
      </c>
      <c r="G126" s="34">
        <v>3</v>
      </c>
      <c r="H126" s="35">
        <v>12</v>
      </c>
      <c r="I126" s="35">
        <f>VENTAS[[#This Row],[Cantidad]]*VENTAS[[#This Row],[Precio Venta]]</f>
        <v>36</v>
      </c>
      <c r="J126" s="35">
        <f>IF(VENTAS[[#This Row],[Nombre del Gestor]]&gt;1,VENTAS[[#This Row],[Total]]*10%,0)</f>
        <v>0</v>
      </c>
      <c r="K126" s="35">
        <f>IFERROR(VLOOKUP(VENTAS[[#This Row],[Código del producto Vendido]],STOCK[],16,FALSE)*VENTAS[[#This Row],[Cantidad]]+VLOOKUP(VENTAS[[#This Row],[Código del producto Vendido]],STOCK[],19,FALSE)*VENTAS[[#This Row],[Cantidad]],VENTAS[[#This Row],[Total]])</f>
        <v>15.275</v>
      </c>
      <c r="L126" s="35">
        <f>VENTAS[[#This Row],[Total]]-VENTAS[[#This Row],[Comisión 10%]]-VENTAS[[#This Row],[Costo SIN Comision]]</f>
        <v>20.725</v>
      </c>
      <c r="M126" s="35"/>
    </row>
    <row r="127" ht="20" customHeight="1" spans="1:13">
      <c r="A127" s="29">
        <v>45045</v>
      </c>
      <c r="B127" s="30"/>
      <c r="C127" s="30" t="s">
        <v>3315</v>
      </c>
      <c r="D127" s="30"/>
      <c r="E127" s="30" t="s">
        <v>52</v>
      </c>
      <c r="F127" s="30" t="str">
        <f>IFERROR(VLOOKUP(VENTAS[[#This Row],[Código del producto Vendido]],STOCK[],5,FALSE),"-")</f>
        <v>Pareo pantalón</v>
      </c>
      <c r="G127" s="34">
        <v>1</v>
      </c>
      <c r="H127" s="35">
        <v>15</v>
      </c>
      <c r="I127" s="35">
        <f>VENTAS[[#This Row],[Cantidad]]*VENTAS[[#This Row],[Precio Venta]]</f>
        <v>15</v>
      </c>
      <c r="J127" s="35">
        <f>IF(VENTAS[[#This Row],[Nombre del Gestor]]&gt;1,VENTAS[[#This Row],[Total]]*10%,0)</f>
        <v>0</v>
      </c>
      <c r="K127" s="35">
        <f>IFERROR(VLOOKUP(VENTAS[[#This Row],[Código del producto Vendido]],STOCK[],16,FALSE)*VENTAS[[#This Row],[Cantidad]]+VLOOKUP(VENTAS[[#This Row],[Código del producto Vendido]],STOCK[],19,FALSE)*VENTAS[[#This Row],[Cantidad]],VENTAS[[#This Row],[Total]])</f>
        <v>10.0633333333333</v>
      </c>
      <c r="L127" s="35">
        <f>VENTAS[[#This Row],[Total]]-VENTAS[[#This Row],[Comisión 10%]]-VENTAS[[#This Row],[Costo SIN Comision]]</f>
        <v>4.93666666666667</v>
      </c>
      <c r="M127" s="35"/>
    </row>
    <row r="128" ht="20" customHeight="1" spans="1:13">
      <c r="A128" s="29">
        <v>45045</v>
      </c>
      <c r="B128" s="30"/>
      <c r="C128" s="30" t="s">
        <v>3316</v>
      </c>
      <c r="D128" s="30"/>
      <c r="E128" s="30" t="s">
        <v>137</v>
      </c>
      <c r="F128" s="30" t="str">
        <f>IFERROR(VLOOKUP(VENTAS[[#This Row],[Código del producto Vendido]],STOCK[],5,FALSE),"-")</f>
        <v>Bañador con estampado de girasol con cover up</v>
      </c>
      <c r="G128" s="34">
        <v>1</v>
      </c>
      <c r="H128" s="35">
        <v>20</v>
      </c>
      <c r="I128" s="35">
        <f>VENTAS[[#This Row],[Cantidad]]*VENTAS[[#This Row],[Precio Venta]]</f>
        <v>20</v>
      </c>
      <c r="J128" s="35">
        <f>IF(VENTAS[[#This Row],[Nombre del Gestor]]&gt;1,VENTAS[[#This Row],[Total]]*10%,0)</f>
        <v>0</v>
      </c>
      <c r="K128" s="35">
        <f>IFERROR(VLOOKUP(VENTAS[[#This Row],[Código del producto Vendido]],STOCK[],16,FALSE)*VENTAS[[#This Row],[Cantidad]]+VLOOKUP(VENTAS[[#This Row],[Código del producto Vendido]],STOCK[],19,FALSE)*VENTAS[[#This Row],[Cantidad]],VENTAS[[#This Row],[Total]])</f>
        <v>12.805</v>
      </c>
      <c r="L128" s="35">
        <f>VENTAS[[#This Row],[Total]]-VENTAS[[#This Row],[Comisión 10%]]-VENTAS[[#This Row],[Costo SIN Comision]]</f>
        <v>7.195</v>
      </c>
      <c r="M128" s="35"/>
    </row>
    <row r="129" ht="20" customHeight="1" spans="1:13">
      <c r="A129" s="29">
        <v>45045</v>
      </c>
      <c r="B129" s="30"/>
      <c r="C129" s="30" t="s">
        <v>3317</v>
      </c>
      <c r="D129" s="30"/>
      <c r="E129" s="30" t="s">
        <v>624</v>
      </c>
      <c r="F129" s="30" t="str">
        <f>IFERROR(VLOOKUP(VENTAS[[#This Row],[Código del producto Vendido]],STOCK[],5,FALSE),"-")</f>
        <v>Vestido pecho con fruncido cruzado cintura con estampado floral_L</v>
      </c>
      <c r="G129" s="34">
        <v>1</v>
      </c>
      <c r="H129" s="35">
        <v>15</v>
      </c>
      <c r="I129" s="35">
        <f>VENTAS[[#This Row],[Cantidad]]*VENTAS[[#This Row],[Precio Venta]]</f>
        <v>15</v>
      </c>
      <c r="J129" s="35">
        <f>IF(VENTAS[[#This Row],[Nombre del Gestor]]&gt;1,VENTAS[[#This Row],[Total]]*10%,0)</f>
        <v>0</v>
      </c>
      <c r="K129" s="35">
        <f>IFERROR(VLOOKUP(VENTAS[[#This Row],[Código del producto Vendido]],STOCK[],16,FALSE)*VENTAS[[#This Row],[Cantidad]]+VLOOKUP(VENTAS[[#This Row],[Código del producto Vendido]],STOCK[],19,FALSE)*VENTAS[[#This Row],[Cantidad]],VENTAS[[#This Row],[Total]])</f>
        <v>10.7222222222222</v>
      </c>
      <c r="L129" s="35">
        <f>VENTAS[[#This Row],[Total]]-VENTAS[[#This Row],[Comisión 10%]]-VENTAS[[#This Row],[Costo SIN Comision]]</f>
        <v>4.27777777777778</v>
      </c>
      <c r="M129" s="35"/>
    </row>
    <row r="130" ht="20" customHeight="1" spans="1:13">
      <c r="A130" s="29">
        <v>45045</v>
      </c>
      <c r="B130" s="30"/>
      <c r="C130" s="30" t="s">
        <v>3318</v>
      </c>
      <c r="D130" s="30"/>
      <c r="E130" s="30" t="s">
        <v>601</v>
      </c>
      <c r="F130" s="30" t="str">
        <f>IFERROR(VLOOKUP(VENTAS[[#This Row],[Código del producto Vendido]],STOCK[],5,FALSE),"-")</f>
        <v>Vestido floral de mangas farol</v>
      </c>
      <c r="G130" s="34">
        <v>1</v>
      </c>
      <c r="H130" s="35">
        <v>15</v>
      </c>
      <c r="I130" s="35">
        <f>VENTAS[[#This Row],[Cantidad]]*VENTAS[[#This Row],[Precio Venta]]</f>
        <v>15</v>
      </c>
      <c r="J130" s="35">
        <f>IF(VENTAS[[#This Row],[Nombre del Gestor]]&gt;1,VENTAS[[#This Row],[Total]]*10%,0)</f>
        <v>0</v>
      </c>
      <c r="K130" s="35">
        <f>IFERROR(VLOOKUP(VENTAS[[#This Row],[Código del producto Vendido]],STOCK[],16,FALSE)*VENTAS[[#This Row],[Cantidad]]+VLOOKUP(VENTAS[[#This Row],[Código del producto Vendido]],STOCK[],19,FALSE)*VENTAS[[#This Row],[Cantidad]],VENTAS[[#This Row],[Total]])</f>
        <v>10.7222222222222</v>
      </c>
      <c r="L130" s="35">
        <f>VENTAS[[#This Row],[Total]]-VENTAS[[#This Row],[Comisión 10%]]-VENTAS[[#This Row],[Costo SIN Comision]]</f>
        <v>4.27777777777778</v>
      </c>
      <c r="M130" s="35"/>
    </row>
    <row r="131" ht="20" customHeight="1" spans="1:13">
      <c r="A131" s="29">
        <v>45045</v>
      </c>
      <c r="B131" s="30"/>
      <c r="C131" s="30" t="s">
        <v>3319</v>
      </c>
      <c r="D131" s="30"/>
      <c r="E131" s="30" t="s">
        <v>642</v>
      </c>
      <c r="F131" s="30" t="str">
        <f>IFERROR(VLOOKUP(VENTAS[[#This Row],[Código del producto Vendido]],STOCK[],5,FALSE),"-")</f>
        <v>Vestido floral de manga farol escote corazón con cordón lateral_S</v>
      </c>
      <c r="G131" s="34">
        <v>1</v>
      </c>
      <c r="H131" s="35">
        <v>15</v>
      </c>
      <c r="I131" s="35">
        <f>VENTAS[[#This Row],[Cantidad]]*VENTAS[[#This Row],[Precio Venta]]</f>
        <v>15</v>
      </c>
      <c r="J131" s="35">
        <f>IF(VENTAS[[#This Row],[Nombre del Gestor]]&gt;1,VENTAS[[#This Row],[Total]]*10%,0)</f>
        <v>0</v>
      </c>
      <c r="K131" s="35">
        <f>IFERROR(VLOOKUP(VENTAS[[#This Row],[Código del producto Vendido]],STOCK[],16,FALSE)*VENTAS[[#This Row],[Cantidad]]+VLOOKUP(VENTAS[[#This Row],[Código del producto Vendido]],STOCK[],19,FALSE)*VENTAS[[#This Row],[Cantidad]],VENTAS[[#This Row],[Total]])</f>
        <v>10.7222222222222</v>
      </c>
      <c r="L131" s="35">
        <f>VENTAS[[#This Row],[Total]]-VENTAS[[#This Row],[Comisión 10%]]-VENTAS[[#This Row],[Costo SIN Comision]]</f>
        <v>4.27777777777778</v>
      </c>
      <c r="M131" s="35"/>
    </row>
    <row r="132" ht="20" customHeight="1" spans="1:13">
      <c r="A132" s="29"/>
      <c r="B132" s="30" t="s">
        <v>3298</v>
      </c>
      <c r="C132" s="30"/>
      <c r="D132" s="30"/>
      <c r="E132" s="30" t="s">
        <v>721</v>
      </c>
      <c r="F132" s="30" t="str">
        <f>IFERROR(VLOOKUP(VENTAS[[#This Row],[Código del producto Vendido]],STOCK[],5,FALSE),"-")</f>
        <v>Top acanalado sin mangas</v>
      </c>
      <c r="G132" s="34">
        <v>5</v>
      </c>
      <c r="H132" s="35">
        <v>9</v>
      </c>
      <c r="I132" s="35">
        <f>VENTAS[[#This Row],[Cantidad]]*VENTAS[[#This Row],[Precio Venta]]</f>
        <v>45</v>
      </c>
      <c r="J132" s="35">
        <f>IF(VENTAS[[#This Row],[Nombre del Gestor]]&gt;1,VENTAS[[#This Row],[Total]]*10%,0)</f>
        <v>0</v>
      </c>
      <c r="K132" s="35">
        <f>IFERROR(VLOOKUP(VENTAS[[#This Row],[Código del producto Vendido]],STOCK[],16,FALSE)*VENTAS[[#This Row],[Cantidad]]+VLOOKUP(VENTAS[[#This Row],[Código del producto Vendido]],STOCK[],19,FALSE)*VENTAS[[#This Row],[Cantidad]],VENTAS[[#This Row],[Total]])</f>
        <v>25.1111111111111</v>
      </c>
      <c r="L132" s="35">
        <f>VENTAS[[#This Row],[Total]]-VENTAS[[#This Row],[Comisión 10%]]-VENTAS[[#This Row],[Costo SIN Comision]]</f>
        <v>19.8888888888889</v>
      </c>
      <c r="M132" s="35"/>
    </row>
    <row r="133" ht="20" customHeight="1" spans="1:13">
      <c r="A133" s="29"/>
      <c r="B133" s="30" t="s">
        <v>3298</v>
      </c>
      <c r="C133" s="30"/>
      <c r="D133" s="30"/>
      <c r="E133" s="30" t="s">
        <v>726</v>
      </c>
      <c r="F133" s="30" t="str">
        <f>IFERROR(VLOOKUP(VENTAS[[#This Row],[Código del producto Vendido]],STOCK[],5,FALSE),"-")</f>
        <v>Top acanalado sin mangas</v>
      </c>
      <c r="G133" s="34">
        <v>5</v>
      </c>
      <c r="H133" s="35">
        <v>9</v>
      </c>
      <c r="I133" s="35">
        <f>VENTAS[[#This Row],[Cantidad]]*VENTAS[[#This Row],[Precio Venta]]</f>
        <v>45</v>
      </c>
      <c r="J133" s="35">
        <f>IF(VENTAS[[#This Row],[Nombre del Gestor]]&gt;1,VENTAS[[#This Row],[Total]]*10%,0)</f>
        <v>0</v>
      </c>
      <c r="K133" s="35">
        <f>IFERROR(VLOOKUP(VENTAS[[#This Row],[Código del producto Vendido]],STOCK[],16,FALSE)*VENTAS[[#This Row],[Cantidad]]+VLOOKUP(VENTAS[[#This Row],[Código del producto Vendido]],STOCK[],19,FALSE)*VENTAS[[#This Row],[Cantidad]],VENTAS[[#This Row],[Total]])</f>
        <v>25.1111111111111</v>
      </c>
      <c r="L133" s="35">
        <f>VENTAS[[#This Row],[Total]]-VENTAS[[#This Row],[Comisión 10%]]-VENTAS[[#This Row],[Costo SIN Comision]]</f>
        <v>19.8888888888889</v>
      </c>
      <c r="M133" s="35"/>
    </row>
    <row r="134" ht="20" customHeight="1" spans="1:13">
      <c r="A134" s="29">
        <v>45047</v>
      </c>
      <c r="B134" s="30"/>
      <c r="C134" s="30" t="s">
        <v>3320</v>
      </c>
      <c r="D134" s="30"/>
      <c r="E134" s="30" t="s">
        <v>126</v>
      </c>
      <c r="F134" s="30" t="str">
        <f>IFERROR(VLOOKUP(VENTAS[[#This Row],[Código del producto Vendido]],STOCK[],5,FALSE),"-")</f>
        <v>Bañador chicas con estampado de letra con cremallera</v>
      </c>
      <c r="G134" s="34">
        <v>1</v>
      </c>
      <c r="H134" s="35">
        <v>20</v>
      </c>
      <c r="I134" s="35">
        <f>VENTAS[[#This Row],[Cantidad]]*VENTAS[[#This Row],[Precio Venta]]</f>
        <v>20</v>
      </c>
      <c r="J134" s="35">
        <f>IF(VENTAS[[#This Row],[Nombre del Gestor]]&gt;1,VENTAS[[#This Row],[Total]]*10%,0)</f>
        <v>0</v>
      </c>
      <c r="K134" s="35">
        <f>IFERROR(VLOOKUP(VENTAS[[#This Row],[Código del producto Vendido]],STOCK[],16,FALSE)*VENTAS[[#This Row],[Cantidad]]+VLOOKUP(VENTAS[[#This Row],[Código del producto Vendido]],STOCK[],19,FALSE)*VENTAS[[#This Row],[Cantidad]],VENTAS[[#This Row],[Total]])</f>
        <v>14.7661111111111</v>
      </c>
      <c r="L134" s="35">
        <f>VENTAS[[#This Row],[Total]]-VENTAS[[#This Row],[Comisión 10%]]-VENTAS[[#This Row],[Costo SIN Comision]]</f>
        <v>5.2338888888889</v>
      </c>
      <c r="M134" s="35"/>
    </row>
    <row r="135" ht="20" customHeight="1" spans="1:13">
      <c r="A135" s="29">
        <v>45047</v>
      </c>
      <c r="B135" s="30"/>
      <c r="C135" s="30" t="s">
        <v>3320</v>
      </c>
      <c r="D135" s="30"/>
      <c r="E135" s="30" t="s">
        <v>93</v>
      </c>
      <c r="F135" s="30" t="str">
        <f>IFERROR(VLOOKUP(VENTAS[[#This Row],[Código del producto Vendido]],STOCK[],5,FALSE),"-")</f>
        <v>Sets de Bikini Casual</v>
      </c>
      <c r="G135" s="34">
        <v>1</v>
      </c>
      <c r="H135" s="35">
        <v>25</v>
      </c>
      <c r="I135" s="35">
        <f>VENTAS[[#This Row],[Cantidad]]*VENTAS[[#This Row],[Precio Venta]]</f>
        <v>25</v>
      </c>
      <c r="J135" s="35">
        <f>IF(VENTAS[[#This Row],[Nombre del Gestor]]&gt;1,VENTAS[[#This Row],[Total]]*10%,0)</f>
        <v>0</v>
      </c>
      <c r="K135" s="35">
        <f>IFERROR(VLOOKUP(VENTAS[[#This Row],[Código del producto Vendido]],STOCK[],16,FALSE)*VENTAS[[#This Row],[Cantidad]]+VLOOKUP(VENTAS[[#This Row],[Código del producto Vendido]],STOCK[],19,FALSE)*VENTAS[[#This Row],[Cantidad]],VENTAS[[#This Row],[Total]])</f>
        <v>14.4261111111111</v>
      </c>
      <c r="L135" s="35">
        <f>VENTAS[[#This Row],[Total]]-VENTAS[[#This Row],[Comisión 10%]]-VENTAS[[#This Row],[Costo SIN Comision]]</f>
        <v>10.5738888888889</v>
      </c>
      <c r="M135" s="35"/>
    </row>
    <row r="136" s="22" customFormat="1" ht="20" customHeight="1" spans="1:13">
      <c r="A136" s="40">
        <v>45047</v>
      </c>
      <c r="B136" s="41"/>
      <c r="C136" s="41" t="s">
        <v>3321</v>
      </c>
      <c r="D136" s="41"/>
      <c r="E136" s="41" t="s">
        <v>618</v>
      </c>
      <c r="F136" s="41" t="str">
        <f>IFERROR(VLOOKUP(VENTAS[[#This Row],[Código del producto Vendido]],STOCK[],5,FALSE),"-")</f>
        <v>Vestido pecho con fruncido </v>
      </c>
      <c r="G136" s="43">
        <v>1</v>
      </c>
      <c r="H136" s="44">
        <v>15</v>
      </c>
      <c r="I136" s="44">
        <f>VENTAS[[#This Row],[Cantidad]]*VENTAS[[#This Row],[Precio Venta]]</f>
        <v>15</v>
      </c>
      <c r="J136" s="44">
        <f>IF(VENTAS[[#This Row],[Nombre del Gestor]]&gt;1,VENTAS[[#This Row],[Total]]*10%,0)</f>
        <v>0</v>
      </c>
      <c r="K136" s="44">
        <f>IFERROR(VLOOKUP(VENTAS[[#This Row],[Código del producto Vendido]],STOCK[],16,FALSE)*VENTAS[[#This Row],[Cantidad]]+VLOOKUP(VENTAS[[#This Row],[Código del producto Vendido]],STOCK[],19,FALSE)*VENTAS[[#This Row],[Cantidad]],VENTAS[[#This Row],[Total]])</f>
        <v>10.7222222222222</v>
      </c>
      <c r="L136" s="35">
        <f>VENTAS[[#This Row],[Total]]-VENTAS[[#This Row],[Comisión 10%]]-VENTAS[[#This Row],[Costo SIN Comision]]</f>
        <v>4.27777777777778</v>
      </c>
      <c r="M136" s="44"/>
    </row>
    <row r="137" ht="20" customHeight="1" spans="1:13">
      <c r="A137" s="29"/>
      <c r="B137" s="30"/>
      <c r="C137" s="30"/>
      <c r="D137" s="30"/>
      <c r="E137" s="30" t="s">
        <v>118</v>
      </c>
      <c r="F137" s="30" t="str">
        <f>IFERROR(VLOOKUP(VENTAS[[#This Row],[Código del producto Vendido]],STOCK[],5,FALSE),"-")</f>
        <v>Bañador color combinado con cremallera_S</v>
      </c>
      <c r="G137" s="34">
        <v>1</v>
      </c>
      <c r="H137" s="35">
        <v>25</v>
      </c>
      <c r="I137" s="35">
        <f>VENTAS[[#This Row],[Cantidad]]*VENTAS[[#This Row],[Precio Venta]]</f>
        <v>25</v>
      </c>
      <c r="J137" s="35">
        <f>IF(VENTAS[[#This Row],[Nombre del Gestor]]&gt;1,VENTAS[[#This Row],[Total]]*10%,0)</f>
        <v>0</v>
      </c>
      <c r="K137" s="35">
        <f>IFERROR(VLOOKUP(VENTAS[[#This Row],[Código del producto Vendido]],STOCK[],16,FALSE)*VENTAS[[#This Row],[Cantidad]]+VLOOKUP(VENTAS[[#This Row],[Código del producto Vendido]],STOCK[],19,FALSE)*VENTAS[[#This Row],[Cantidad]],VENTAS[[#This Row],[Total]])</f>
        <v>16.7727777777778</v>
      </c>
      <c r="L137" s="35">
        <f>VENTAS[[#This Row],[Total]]-VENTAS[[#This Row],[Comisión 10%]]-VENTAS[[#This Row],[Costo SIN Comision]]</f>
        <v>8.2272222222222</v>
      </c>
      <c r="M137" s="35"/>
    </row>
    <row r="138" ht="20" customHeight="1" spans="1:13">
      <c r="A138" s="29">
        <v>45048</v>
      </c>
      <c r="B138" s="30"/>
      <c r="C138" s="30"/>
      <c r="D138" s="30"/>
      <c r="E138" s="30" t="s">
        <v>29</v>
      </c>
      <c r="F138" s="30" t="str">
        <f>IFERROR(VLOOKUP(VENTAS[[#This Row],[Código del producto Vendido]],STOCK[],5,FALSE),"-")</f>
        <v>Pareo falda </v>
      </c>
      <c r="G138" s="34">
        <v>1</v>
      </c>
      <c r="H138" s="35">
        <v>8</v>
      </c>
      <c r="I138" s="35">
        <f>VENTAS[[#This Row],[Cantidad]]*VENTAS[[#This Row],[Precio Venta]]</f>
        <v>8</v>
      </c>
      <c r="J138" s="35">
        <f>IF(VENTAS[[#This Row],[Nombre del Gestor]]&gt;1,VENTAS[[#This Row],[Total]]*10%,0)</f>
        <v>0</v>
      </c>
      <c r="K138" s="35">
        <f>IFERROR(VLOOKUP(VENTAS[[#This Row],[Código del producto Vendido]],STOCK[],16,FALSE)*VENTAS[[#This Row],[Cantidad]]+VLOOKUP(VENTAS[[#This Row],[Código del producto Vendido]],STOCK[],19,FALSE)*VENTAS[[#This Row],[Cantidad]],VENTAS[[#This Row],[Total]])</f>
        <v>4.33722222222222</v>
      </c>
      <c r="L138" s="35">
        <f>VENTAS[[#This Row],[Total]]-VENTAS[[#This Row],[Comisión 10%]]-VENTAS[[#This Row],[Costo SIN Comision]]</f>
        <v>3.66277777777778</v>
      </c>
      <c r="M138" s="35"/>
    </row>
    <row r="139" ht="20" customHeight="1" spans="1:13">
      <c r="A139" s="29">
        <v>45048</v>
      </c>
      <c r="B139" s="30"/>
      <c r="C139" s="30"/>
      <c r="D139" s="30"/>
      <c r="E139" s="30" t="s">
        <v>109</v>
      </c>
      <c r="F139" s="34" t="str">
        <f>IFERROR(VLOOKUP(VENTAS[[#This Row],[Código del producto Vendido]],STOCK[],5,FALSE),"-")</f>
        <v>Bañador de zíper en color combinado</v>
      </c>
      <c r="G139" s="34">
        <v>1</v>
      </c>
      <c r="H139" s="35">
        <v>25</v>
      </c>
      <c r="I139" s="35">
        <f>VENTAS[[#This Row],[Cantidad]]*VENTAS[[#This Row],[Precio Venta]]</f>
        <v>25</v>
      </c>
      <c r="J139" s="35">
        <f>IF(VENTAS[[#This Row],[Nombre del Gestor]]&gt;1,VENTAS[[#This Row],[Total]]*10%,0)</f>
        <v>0</v>
      </c>
      <c r="K139" s="35">
        <f>IFERROR(VLOOKUP(VENTAS[[#This Row],[Código del producto Vendido]],STOCK[],16,FALSE)*VENTAS[[#This Row],[Cantidad]]+VLOOKUP(VENTAS[[#This Row],[Código del producto Vendido]],STOCK[],19,FALSE)*VENTAS[[#This Row],[Cantidad]],VENTAS[[#This Row],[Total]])</f>
        <v>19.1588888888889</v>
      </c>
      <c r="L139" s="35">
        <f>VENTAS[[#This Row],[Total]]-VENTAS[[#This Row],[Comisión 10%]]-VENTAS[[#This Row],[Costo SIN Comision]]</f>
        <v>5.8411111111111</v>
      </c>
      <c r="M139" s="35"/>
    </row>
    <row r="140" ht="20" customHeight="1" spans="1:13">
      <c r="A140" s="29">
        <v>45048</v>
      </c>
      <c r="B140" s="30"/>
      <c r="C140" s="30"/>
      <c r="D140" s="30"/>
      <c r="E140" s="30" t="s">
        <v>122</v>
      </c>
      <c r="F140" s="34" t="str">
        <f>IFERROR(VLOOKUP(VENTAS[[#This Row],[Código del producto Vendido]],STOCK[],5,FALSE),"-")</f>
        <v>Bikini chicas estampado tropical</v>
      </c>
      <c r="G140" s="34">
        <v>1</v>
      </c>
      <c r="H140" s="35">
        <v>20</v>
      </c>
      <c r="I140" s="35">
        <f>VENTAS[[#This Row],[Cantidad]]*VENTAS[[#This Row],[Precio Venta]]</f>
        <v>20</v>
      </c>
      <c r="J140" s="35">
        <f>IF(VENTAS[[#This Row],[Nombre del Gestor]]&gt;1,VENTAS[[#This Row],[Total]]*10%,0)</f>
        <v>0</v>
      </c>
      <c r="K140" s="35">
        <f>IFERROR(VLOOKUP(VENTAS[[#This Row],[Código del producto Vendido]],STOCK[],16,FALSE)*VENTAS[[#This Row],[Cantidad]]+VLOOKUP(VENTAS[[#This Row],[Código del producto Vendido]],STOCK[],19,FALSE)*VENTAS[[#This Row],[Cantidad]],VENTAS[[#This Row],[Total]])</f>
        <v>12.8444444444444</v>
      </c>
      <c r="L140" s="35">
        <f>VENTAS[[#This Row],[Total]]-VENTAS[[#This Row],[Comisión 10%]]-VENTAS[[#This Row],[Costo SIN Comision]]</f>
        <v>7.15555555555556</v>
      </c>
      <c r="M140" s="35"/>
    </row>
    <row r="141" ht="20" customHeight="1" spans="1:13">
      <c r="A141" s="29">
        <v>45051</v>
      </c>
      <c r="B141" s="30"/>
      <c r="C141" s="30" t="s">
        <v>3322</v>
      </c>
      <c r="D141" s="30"/>
      <c r="E141" s="30" t="s">
        <v>102</v>
      </c>
      <c r="F141" s="34" t="str">
        <f>IFERROR(VLOOKUP(VENTAS[[#This Row],[Código del producto Vendido]],STOCK[],5,FALSE),"-")</f>
        <v>Bañador con tira cruzada </v>
      </c>
      <c r="G141" s="34">
        <v>1</v>
      </c>
      <c r="H141" s="35">
        <v>22</v>
      </c>
      <c r="I141" s="35">
        <f>VENTAS[[#This Row],[Cantidad]]*VENTAS[[#This Row],[Precio Venta]]</f>
        <v>22</v>
      </c>
      <c r="J141" s="35">
        <f>IF(VENTAS[[#This Row],[Nombre del Gestor]]&gt;1,VENTAS[[#This Row],[Total]]*10%,0)</f>
        <v>0</v>
      </c>
      <c r="K141" s="35">
        <f>IFERROR(VLOOKUP(VENTAS[[#This Row],[Código del producto Vendido]],STOCK[],16,FALSE)*VENTAS[[#This Row],[Cantidad]]+VLOOKUP(VENTAS[[#This Row],[Código del producto Vendido]],STOCK[],19,FALSE)*VENTAS[[#This Row],[Cantidad]],VENTAS[[#This Row],[Total]])</f>
        <v>14.8283333333333</v>
      </c>
      <c r="L141" s="35">
        <f>VENTAS[[#This Row],[Total]]-VENTAS[[#This Row],[Comisión 10%]]-VENTAS[[#This Row],[Costo SIN Comision]]</f>
        <v>7.1716666666667</v>
      </c>
      <c r="M141" s="35"/>
    </row>
    <row r="142" ht="20" customHeight="1" spans="1:13">
      <c r="A142" s="29">
        <v>45057</v>
      </c>
      <c r="B142" s="30"/>
      <c r="C142" s="30" t="s">
        <v>3323</v>
      </c>
      <c r="D142" s="30"/>
      <c r="E142" s="30" t="s">
        <v>48</v>
      </c>
      <c r="F142" s="34" t="str">
        <f>IFERROR(VLOOKUP(VENTAS[[#This Row],[Código del producto Vendido]],STOCK[],5,FALSE),"-")</f>
        <v>Vestido Camisero Elegante</v>
      </c>
      <c r="G142" s="34">
        <v>1</v>
      </c>
      <c r="H142" s="35">
        <v>30</v>
      </c>
      <c r="I142" s="35">
        <f>VENTAS[[#This Row],[Cantidad]]*VENTAS[[#This Row],[Precio Venta]]</f>
        <v>30</v>
      </c>
      <c r="J142" s="35">
        <f>IF(VENTAS[[#This Row],[Nombre del Gestor]]&gt;1,VENTAS[[#This Row],[Total]]*10%,0)</f>
        <v>0</v>
      </c>
      <c r="K142" s="35">
        <f>IFERROR(VLOOKUP(VENTAS[[#This Row],[Código del producto Vendido]],STOCK[],16,FALSE)*VENTAS[[#This Row],[Cantidad]]+VLOOKUP(VENTAS[[#This Row],[Código del producto Vendido]],STOCK[],19,FALSE)*VENTAS[[#This Row],[Cantidad]],VENTAS[[#This Row],[Total]])</f>
        <v>18.5772222222222</v>
      </c>
      <c r="L142" s="35">
        <f>VENTAS[[#This Row],[Total]]-VENTAS[[#This Row],[Comisión 10%]]-VENTAS[[#This Row],[Costo SIN Comision]]</f>
        <v>11.4227777777778</v>
      </c>
      <c r="M142" s="35"/>
    </row>
    <row r="143" ht="20" customHeight="1" spans="1:13">
      <c r="A143" s="29">
        <v>45057</v>
      </c>
      <c r="B143" s="30"/>
      <c r="C143" s="30" t="s">
        <v>3323</v>
      </c>
      <c r="D143" s="30"/>
      <c r="E143" s="30" t="s">
        <v>289</v>
      </c>
      <c r="F143" s="34" t="str">
        <f>IFERROR(VLOOKUP(VENTAS[[#This Row],[Código del producto Vendido]],STOCK[],5,FALSE),"-")</f>
        <v>Conjunto de cuello profundo con girante delantero con falda</v>
      </c>
      <c r="G143" s="34">
        <v>1</v>
      </c>
      <c r="H143" s="35">
        <v>25</v>
      </c>
      <c r="I143" s="35">
        <f>VENTAS[[#This Row],[Cantidad]]*VENTAS[[#This Row],[Precio Venta]]</f>
        <v>25</v>
      </c>
      <c r="J143" s="35">
        <f>IF(VENTAS[[#This Row],[Nombre del Gestor]]&gt;1,VENTAS[[#This Row],[Total]]*10%,0)</f>
        <v>0</v>
      </c>
      <c r="K143" s="35">
        <f>IFERROR(VLOOKUP(VENTAS[[#This Row],[Código del producto Vendido]],STOCK[],16,FALSE)*VENTAS[[#This Row],[Cantidad]]+VLOOKUP(VENTAS[[#This Row],[Código del producto Vendido]],STOCK[],19,FALSE)*VENTAS[[#This Row],[Cantidad]],VENTAS[[#This Row],[Total]])</f>
        <v>13.2333333333333</v>
      </c>
      <c r="L143" s="35">
        <f>VENTAS[[#This Row],[Total]]-VENTAS[[#This Row],[Comisión 10%]]-VENTAS[[#This Row],[Costo SIN Comision]]</f>
        <v>11.7666666666667</v>
      </c>
      <c r="M143" s="35"/>
    </row>
    <row r="144" ht="20" customHeight="1" spans="1:13">
      <c r="A144" s="29">
        <v>45057</v>
      </c>
      <c r="B144" s="30"/>
      <c r="C144" s="30" t="s">
        <v>3324</v>
      </c>
      <c r="D144" s="30"/>
      <c r="E144" s="30" t="s">
        <v>319</v>
      </c>
      <c r="F144" s="34" t="str">
        <f>IFERROR(VLOOKUP(VENTAS[[#This Row],[Código del producto Vendido]],STOCK[],5,FALSE),"-")</f>
        <v>Falda en mezclilla de talle alto con abertura</v>
      </c>
      <c r="G144" s="34">
        <v>1</v>
      </c>
      <c r="H144" s="35">
        <v>35</v>
      </c>
      <c r="I144" s="35">
        <f>VENTAS[[#This Row],[Cantidad]]*VENTAS[[#This Row],[Precio Venta]]</f>
        <v>35</v>
      </c>
      <c r="J144" s="35">
        <f>IF(VENTAS[[#This Row],[Nombre del Gestor]]&gt;1,VENTAS[[#This Row],[Total]]*10%,0)</f>
        <v>0</v>
      </c>
      <c r="K144" s="35">
        <f>IFERROR(VLOOKUP(VENTAS[[#This Row],[Código del producto Vendido]],STOCK[],16,FALSE)*VENTAS[[#This Row],[Cantidad]]+VLOOKUP(VENTAS[[#This Row],[Código del producto Vendido]],STOCK[],19,FALSE)*VENTAS[[#This Row],[Cantidad]],VENTAS[[#This Row],[Total]])</f>
        <v>19</v>
      </c>
      <c r="L144" s="35">
        <f>VENTAS[[#This Row],[Total]]-VENTAS[[#This Row],[Comisión 10%]]-VENTAS[[#This Row],[Costo SIN Comision]]</f>
        <v>16</v>
      </c>
      <c r="M144" s="35"/>
    </row>
    <row r="145" ht="20" customHeight="1" spans="1:13">
      <c r="A145" s="29">
        <v>45057</v>
      </c>
      <c r="B145" s="30"/>
      <c r="C145" s="30" t="s">
        <v>3325</v>
      </c>
      <c r="D145" s="30"/>
      <c r="E145" s="30" t="s">
        <v>52</v>
      </c>
      <c r="F145" s="34" t="str">
        <f>IFERROR(VLOOKUP(VENTAS[[#This Row],[Código del producto Vendido]],STOCK[],5,FALSE),"-")</f>
        <v>Pareo pantalón</v>
      </c>
      <c r="G145" s="34">
        <v>1</v>
      </c>
      <c r="H145" s="35">
        <v>15</v>
      </c>
      <c r="I145" s="35">
        <f>VENTAS[[#This Row],[Cantidad]]*VENTAS[[#This Row],[Precio Venta]]</f>
        <v>15</v>
      </c>
      <c r="J145" s="35">
        <f>IF(VENTAS[[#This Row],[Nombre del Gestor]]&gt;1,VENTAS[[#This Row],[Total]]*10%,0)</f>
        <v>0</v>
      </c>
      <c r="K145" s="35">
        <f>IFERROR(VLOOKUP(VENTAS[[#This Row],[Código del producto Vendido]],STOCK[],16,FALSE)*VENTAS[[#This Row],[Cantidad]]+VLOOKUP(VENTAS[[#This Row],[Código del producto Vendido]],STOCK[],19,FALSE)*VENTAS[[#This Row],[Cantidad]],VENTAS[[#This Row],[Total]])</f>
        <v>10.0633333333333</v>
      </c>
      <c r="L145" s="35">
        <f>VENTAS[[#This Row],[Total]]-VENTAS[[#This Row],[Comisión 10%]]-VENTAS[[#This Row],[Costo SIN Comision]]</f>
        <v>4.93666666666667</v>
      </c>
      <c r="M145" s="35"/>
    </row>
    <row r="146" ht="20" customHeight="1" spans="1:13">
      <c r="A146" s="29"/>
      <c r="B146" s="30" t="s">
        <v>3326</v>
      </c>
      <c r="C146" s="30"/>
      <c r="D146" s="30"/>
      <c r="E146" s="30" t="s">
        <v>71</v>
      </c>
      <c r="F146" s="34" t="str">
        <f>IFERROR(VLOOKUP(VENTAS[[#This Row],[Código del producto Vendido]],STOCK[],5,FALSE),"-")</f>
        <v>Bañador con estampado floral</v>
      </c>
      <c r="G146" s="34">
        <v>1</v>
      </c>
      <c r="H146" s="35">
        <v>25</v>
      </c>
      <c r="I146" s="35">
        <f>VENTAS[[#This Row],[Cantidad]]*VENTAS[[#This Row],[Precio Venta]]</f>
        <v>25</v>
      </c>
      <c r="J146" s="35">
        <f>IF(VENTAS[[#This Row],[Nombre del Gestor]]&gt;1,VENTAS[[#This Row],[Total]]*10%,0)</f>
        <v>0</v>
      </c>
      <c r="K146" s="35">
        <f>IFERROR(VLOOKUP(VENTAS[[#This Row],[Código del producto Vendido]],STOCK[],16,FALSE)*VENTAS[[#This Row],[Cantidad]]+VLOOKUP(VENTAS[[#This Row],[Código del producto Vendido]],STOCK[],19,FALSE)*VENTAS[[#This Row],[Cantidad]],VENTAS[[#This Row],[Total]])</f>
        <v>19.8388888888889</v>
      </c>
      <c r="L146" s="35">
        <f>VENTAS[[#This Row],[Total]]-VENTAS[[#This Row],[Comisión 10%]]-VENTAS[[#This Row],[Costo SIN Comision]]</f>
        <v>5.1611111111111</v>
      </c>
      <c r="M146" s="35"/>
    </row>
    <row r="147" ht="20" customHeight="1" spans="1:13">
      <c r="A147" s="29">
        <v>45062</v>
      </c>
      <c r="B147" s="30"/>
      <c r="C147" s="30" t="s">
        <v>3327</v>
      </c>
      <c r="D147" s="30"/>
      <c r="E147" s="30" t="s">
        <v>544</v>
      </c>
      <c r="F147" s="34" t="str">
        <f>IFERROR(VLOOKUP(VENTAS[[#This Row],[Código del producto Vendido]],STOCK[],5,FALSE),"-")</f>
        <v>Cubierta de pezón de metal vinculado</v>
      </c>
      <c r="G147" s="34">
        <v>1</v>
      </c>
      <c r="H147" s="35">
        <v>8</v>
      </c>
      <c r="I147" s="35">
        <f>VENTAS[[#This Row],[Cantidad]]*VENTAS[[#This Row],[Precio Venta]]</f>
        <v>8</v>
      </c>
      <c r="J147" s="35">
        <f>IF(VENTAS[[#This Row],[Nombre del Gestor]]&gt;1,VENTAS[[#This Row],[Total]]*10%,0)</f>
        <v>0</v>
      </c>
      <c r="K147" s="35">
        <f>IFERROR(VLOOKUP(VENTAS[[#This Row],[Código del producto Vendido]],STOCK[],16,FALSE)*VENTAS[[#This Row],[Cantidad]]+VLOOKUP(VENTAS[[#This Row],[Código del producto Vendido]],STOCK[],19,FALSE)*VENTAS[[#This Row],[Cantidad]],VENTAS[[#This Row],[Total]])</f>
        <v>3.86444444444444</v>
      </c>
      <c r="L147" s="35">
        <f>VENTAS[[#This Row],[Total]]-VENTAS[[#This Row],[Comisión 10%]]-VENTAS[[#This Row],[Costo SIN Comision]]</f>
        <v>4.13555555555556</v>
      </c>
      <c r="M147" s="35"/>
    </row>
    <row r="148" ht="20" customHeight="1" spans="1:13">
      <c r="A148" s="29"/>
      <c r="B148" s="30" t="s">
        <v>3326</v>
      </c>
      <c r="C148" s="30"/>
      <c r="D148" s="30"/>
      <c r="E148" s="30" t="s">
        <v>54</v>
      </c>
      <c r="F148" s="34" t="str">
        <f>IFERROR(VLOOKUP(VENTAS[[#This Row],[Código del producto Vendido]],STOCK[],5,FALSE),"-")</f>
        <v>Pareo pantalón en malla</v>
      </c>
      <c r="G148" s="34">
        <v>1</v>
      </c>
      <c r="H148" s="35">
        <v>15</v>
      </c>
      <c r="I148" s="35">
        <f>VENTAS[[#This Row],[Cantidad]]*VENTAS[[#This Row],[Precio Venta]]</f>
        <v>15</v>
      </c>
      <c r="J148" s="35">
        <f>IF(VENTAS[[#This Row],[Nombre del Gestor]]&gt;1,VENTAS[[#This Row],[Total]]*10%,0)</f>
        <v>0</v>
      </c>
      <c r="K148" s="35">
        <f>IFERROR(VLOOKUP(VENTAS[[#This Row],[Código del producto Vendido]],STOCK[],16,FALSE)*VENTAS[[#This Row],[Cantidad]]+VLOOKUP(VENTAS[[#This Row],[Código del producto Vendido]],STOCK[],19,FALSE)*VENTAS[[#This Row],[Cantidad]],VENTAS[[#This Row],[Total]])</f>
        <v>10.0633333333333</v>
      </c>
      <c r="L148" s="35">
        <f>VENTAS[[#This Row],[Total]]-VENTAS[[#This Row],[Comisión 10%]]-VENTAS[[#This Row],[Costo SIN Comision]]</f>
        <v>4.93666666666667</v>
      </c>
      <c r="M148" s="35"/>
    </row>
    <row r="149" ht="20" customHeight="1" spans="1:13">
      <c r="A149" s="29">
        <v>45062</v>
      </c>
      <c r="B149" s="30"/>
      <c r="C149" s="30" t="s">
        <v>3327</v>
      </c>
      <c r="D149" s="30"/>
      <c r="E149" s="30" t="s">
        <v>432</v>
      </c>
      <c r="F149" s="34" t="str">
        <f>IFERROR(VLOOKUP(VENTAS[[#This Row],[Código del producto Vendido]],STOCK[],5,FALSE),"-")</f>
        <v>Vestido con cordón de espalda abierta </v>
      </c>
      <c r="G149" s="34">
        <v>1</v>
      </c>
      <c r="H149" s="35">
        <v>25</v>
      </c>
      <c r="I149" s="35">
        <f>VENTAS[[#This Row],[Cantidad]]*VENTAS[[#This Row],[Precio Venta]]</f>
        <v>25</v>
      </c>
      <c r="J149" s="35">
        <f>IF(VENTAS[[#This Row],[Nombre del Gestor]]&gt;1,VENTAS[[#This Row],[Total]]*10%,0)</f>
        <v>0</v>
      </c>
      <c r="K149" s="35">
        <f>IFERROR(VLOOKUP(VENTAS[[#This Row],[Código del producto Vendido]],STOCK[],16,FALSE)*VENTAS[[#This Row],[Cantidad]]+VLOOKUP(VENTAS[[#This Row],[Código del producto Vendido]],STOCK[],19,FALSE)*VENTAS[[#This Row],[Cantidad]],VENTAS[[#This Row],[Total]])</f>
        <v>15.9077777777778</v>
      </c>
      <c r="L149" s="35">
        <f>VENTAS[[#This Row],[Total]]-VENTAS[[#This Row],[Comisión 10%]]-VENTAS[[#This Row],[Costo SIN Comision]]</f>
        <v>9.0922222222222</v>
      </c>
      <c r="M149" s="35"/>
    </row>
    <row r="150" ht="20" customHeight="1" spans="1:13">
      <c r="A150" s="29">
        <v>45062</v>
      </c>
      <c r="B150" s="30"/>
      <c r="C150" s="30" t="s">
        <v>3327</v>
      </c>
      <c r="D150" s="30"/>
      <c r="E150" s="30" t="s">
        <v>906</v>
      </c>
      <c r="F150" s="34" t="str">
        <f>IFERROR(VLOOKUP(VENTAS[[#This Row],[Código del producto Vendido]],STOCK[],5,FALSE),"-")</f>
        <v> Top Cuello V Verde</v>
      </c>
      <c r="G150" s="34">
        <v>1</v>
      </c>
      <c r="H150" s="35">
        <v>12</v>
      </c>
      <c r="I150" s="35">
        <f>VENTAS[[#This Row],[Cantidad]]*VENTAS[[#This Row],[Precio Venta]]</f>
        <v>12</v>
      </c>
      <c r="J150" s="35">
        <f>IF(VENTAS[[#This Row],[Nombre del Gestor]]&gt;1,VENTAS[[#This Row],[Total]]*10%,0)</f>
        <v>0</v>
      </c>
      <c r="K150" s="35">
        <f>IFERROR(VLOOKUP(VENTAS[[#This Row],[Código del producto Vendido]],STOCK[],16,FALSE)*VENTAS[[#This Row],[Cantidad]]+VLOOKUP(VENTAS[[#This Row],[Código del producto Vendido]],STOCK[],19,FALSE)*VENTAS[[#This Row],[Cantidad]],VENTAS[[#This Row],[Total]])</f>
        <v>8.00545454545454</v>
      </c>
      <c r="L150" s="35">
        <f>VENTAS[[#This Row],[Total]]-VENTAS[[#This Row],[Comisión 10%]]-VENTAS[[#This Row],[Costo SIN Comision]]</f>
        <v>3.99454545454546</v>
      </c>
      <c r="M150" s="35"/>
    </row>
    <row r="151" ht="20" customHeight="1" spans="1:13">
      <c r="A151" s="42">
        <v>45062</v>
      </c>
      <c r="B151" s="30"/>
      <c r="C151" s="30" t="s">
        <v>3327</v>
      </c>
      <c r="D151" s="30"/>
      <c r="E151" s="30" t="s">
        <v>889</v>
      </c>
      <c r="F151" s="34" t="str">
        <f>IFERROR(VLOOKUP(VENTAS[[#This Row],[Código del producto Vendido]],STOCK[],5,FALSE),"-")</f>
        <v>Top Cuello encaje y mangas abombadas</v>
      </c>
      <c r="G151" s="34">
        <v>1</v>
      </c>
      <c r="H151" s="35">
        <v>12</v>
      </c>
      <c r="I151" s="35">
        <f>VENTAS[[#This Row],[Cantidad]]*VENTAS[[#This Row],[Precio Venta]]</f>
        <v>12</v>
      </c>
      <c r="J151" s="35">
        <f>IF(VENTAS[[#This Row],[Nombre del Gestor]]&gt;1,VENTAS[[#This Row],[Total]]*10%,0)</f>
        <v>0</v>
      </c>
      <c r="K151" s="35">
        <f>IFERROR(VLOOKUP(VENTAS[[#This Row],[Código del producto Vendido]],STOCK[],16,FALSE)*VENTAS[[#This Row],[Cantidad]]+VLOOKUP(VENTAS[[#This Row],[Código del producto Vendido]],STOCK[],19,FALSE)*VENTAS[[#This Row],[Cantidad]],VENTAS[[#This Row],[Total]])</f>
        <v>6.35818181818182</v>
      </c>
      <c r="L151" s="35">
        <f>VENTAS[[#This Row],[Total]]-VENTAS[[#This Row],[Comisión 10%]]-VENTAS[[#This Row],[Costo SIN Comision]]</f>
        <v>5.64181818181818</v>
      </c>
      <c r="M151" s="35"/>
    </row>
    <row r="152" ht="20" customHeight="1" spans="1:13">
      <c r="A152" s="29">
        <v>45062</v>
      </c>
      <c r="B152" s="30"/>
      <c r="C152" s="30" t="s">
        <v>3327</v>
      </c>
      <c r="D152" s="30"/>
      <c r="E152" s="30" t="s">
        <v>632</v>
      </c>
      <c r="F152" s="34" t="str">
        <f>IFERROR(VLOOKUP(VENTAS[[#This Row],[Código del producto Vendido]],STOCK[],5,FALSE),"-")</f>
        <v>Vestido floral con abertura trasera</v>
      </c>
      <c r="G152" s="34">
        <v>1</v>
      </c>
      <c r="H152" s="35">
        <v>15</v>
      </c>
      <c r="I152" s="35">
        <f>VENTAS[[#This Row],[Cantidad]]*VENTAS[[#This Row],[Precio Venta]]</f>
        <v>15</v>
      </c>
      <c r="J152" s="35">
        <f>IF(VENTAS[[#This Row],[Nombre del Gestor]]&gt;1,VENTAS[[#This Row],[Total]]*10%,0)</f>
        <v>0</v>
      </c>
      <c r="K152" s="35">
        <f>IFERROR(VLOOKUP(VENTAS[[#This Row],[Código del producto Vendido]],STOCK[],16,FALSE)*VENTAS[[#This Row],[Cantidad]]+VLOOKUP(VENTAS[[#This Row],[Código del producto Vendido]],STOCK[],19,FALSE)*VENTAS[[#This Row],[Cantidad]],VENTAS[[#This Row],[Total]])</f>
        <v>10.7222222222222</v>
      </c>
      <c r="L152" s="35">
        <f>VENTAS[[#This Row],[Total]]-VENTAS[[#This Row],[Comisión 10%]]-VENTAS[[#This Row],[Costo SIN Comision]]</f>
        <v>4.27777777777778</v>
      </c>
      <c r="M152" s="35"/>
    </row>
    <row r="153" ht="20" customHeight="1" spans="1:13">
      <c r="A153" s="29">
        <v>45062</v>
      </c>
      <c r="B153" s="30"/>
      <c r="C153" s="30" t="s">
        <v>3327</v>
      </c>
      <c r="D153" s="30"/>
      <c r="E153" s="30" t="s">
        <v>1003</v>
      </c>
      <c r="F153" s="34" t="str">
        <f>IFERROR(VLOOKUP(VENTAS[[#This Row],[Código del producto Vendido]],STOCK[],5,FALSE),"-")</f>
        <v>Vestido frenchy de puntos</v>
      </c>
      <c r="G153" s="34">
        <v>1</v>
      </c>
      <c r="H153" s="35">
        <v>22</v>
      </c>
      <c r="I153" s="35">
        <f>VENTAS[[#This Row],[Cantidad]]*VENTAS[[#This Row],[Precio Venta]]</f>
        <v>22</v>
      </c>
      <c r="J153" s="35">
        <f>IF(VENTAS[[#This Row],[Nombre del Gestor]]&gt;1,VENTAS[[#This Row],[Total]]*10%,0)</f>
        <v>0</v>
      </c>
      <c r="K153" s="35">
        <f>IFERROR(VLOOKUP(VENTAS[[#This Row],[Código del producto Vendido]],STOCK[],16,FALSE)*VENTAS[[#This Row],[Cantidad]]+VLOOKUP(VENTAS[[#This Row],[Código del producto Vendido]],STOCK[],19,FALSE)*VENTAS[[#This Row],[Cantidad]],VENTAS[[#This Row],[Total]])</f>
        <v>15.3272727272727</v>
      </c>
      <c r="L153" s="35">
        <f>VENTAS[[#This Row],[Total]]-VENTAS[[#This Row],[Comisión 10%]]-VENTAS[[#This Row],[Costo SIN Comision]]</f>
        <v>6.6727272727273</v>
      </c>
      <c r="M153" s="35"/>
    </row>
    <row r="154" ht="20" customHeight="1" spans="1:13">
      <c r="A154" s="42">
        <v>45062</v>
      </c>
      <c r="B154" s="30"/>
      <c r="C154" s="30" t="s">
        <v>3327</v>
      </c>
      <c r="D154" s="30"/>
      <c r="E154" s="30" t="s">
        <v>998</v>
      </c>
      <c r="F154" s="34" t="str">
        <f>IFERROR(VLOOKUP(VENTAS[[#This Row],[Código del producto Vendido]],STOCK[],5,FALSE),"-")</f>
        <v>Top Acanalado</v>
      </c>
      <c r="G154" s="34">
        <v>1</v>
      </c>
      <c r="H154" s="35">
        <v>12</v>
      </c>
      <c r="I154" s="35">
        <f>VENTAS[[#This Row],[Cantidad]]*VENTAS[[#This Row],[Precio Venta]]</f>
        <v>12</v>
      </c>
      <c r="J154" s="35">
        <f>IF(VENTAS[[#This Row],[Nombre del Gestor]]&gt;1,VENTAS[[#This Row],[Total]]*10%,0)</f>
        <v>0</v>
      </c>
      <c r="K154" s="35">
        <f>IFERROR(VLOOKUP(VENTAS[[#This Row],[Código del producto Vendido]],STOCK[],16,FALSE)*VENTAS[[#This Row],[Cantidad]]+VLOOKUP(VENTAS[[#This Row],[Código del producto Vendido]],STOCK[],19,FALSE)*VENTAS[[#This Row],[Cantidad]],VENTAS[[#This Row],[Total]])</f>
        <v>9.28</v>
      </c>
      <c r="L154" s="35">
        <f>VENTAS[[#This Row],[Total]]-VENTAS[[#This Row],[Comisión 10%]]-VENTAS[[#This Row],[Costo SIN Comision]]</f>
        <v>2.72</v>
      </c>
      <c r="M154" s="35"/>
    </row>
    <row r="155" ht="20" customHeight="1" spans="1:13">
      <c r="A155" s="29">
        <v>45061</v>
      </c>
      <c r="B155" s="30"/>
      <c r="C155" s="30" t="s">
        <v>3328</v>
      </c>
      <c r="D155" s="30"/>
      <c r="E155" s="30" t="s">
        <v>1021</v>
      </c>
      <c r="F155" s="34" t="str">
        <f>IFERROR(VLOOKUP(VENTAS[[#This Row],[Código del producto Vendido]],STOCK[],5,FALSE),"-")</f>
        <v>Falda Margarita</v>
      </c>
      <c r="G155" s="34">
        <v>1</v>
      </c>
      <c r="H155" s="35">
        <v>18</v>
      </c>
      <c r="I155" s="35">
        <f>VENTAS[[#This Row],[Cantidad]]*VENTAS[[#This Row],[Precio Venta]]</f>
        <v>18</v>
      </c>
      <c r="J155" s="35">
        <f>IF(VENTAS[[#This Row],[Nombre del Gestor]]&gt;1,VENTAS[[#This Row],[Total]]*10%,0)</f>
        <v>0</v>
      </c>
      <c r="K155" s="35">
        <f>IFERROR(VLOOKUP(VENTAS[[#This Row],[Código del producto Vendido]],STOCK[],16,FALSE)*VENTAS[[#This Row],[Cantidad]]+VLOOKUP(VENTAS[[#This Row],[Código del producto Vendido]],STOCK[],19,FALSE)*VENTAS[[#This Row],[Cantidad]],VENTAS[[#This Row],[Total]])</f>
        <v>8.105</v>
      </c>
      <c r="L155" s="35">
        <f>VENTAS[[#This Row],[Total]]-VENTAS[[#This Row],[Comisión 10%]]-VENTAS[[#This Row],[Costo SIN Comision]]</f>
        <v>9.895</v>
      </c>
      <c r="M155" s="35"/>
    </row>
    <row r="156" ht="20" customHeight="1" spans="1:13">
      <c r="A156" s="29">
        <v>45061</v>
      </c>
      <c r="B156" s="30"/>
      <c r="C156" s="30" t="s">
        <v>3328</v>
      </c>
      <c r="D156" s="30"/>
      <c r="E156" s="30" t="s">
        <v>1015</v>
      </c>
      <c r="F156" s="34" t="str">
        <f>IFERROR(VLOOKUP(VENTAS[[#This Row],[Código del producto Vendido]],STOCK[],5,FALSE),"-")</f>
        <v>Top Dreamer Negro</v>
      </c>
      <c r="G156" s="34">
        <v>1</v>
      </c>
      <c r="H156" s="35">
        <v>12</v>
      </c>
      <c r="I156" s="35">
        <f>VENTAS[[#This Row],[Cantidad]]*VENTAS[[#This Row],[Precio Venta]]</f>
        <v>12</v>
      </c>
      <c r="J156" s="35">
        <f>IF(VENTAS[[#This Row],[Nombre del Gestor]]&gt;1,VENTAS[[#This Row],[Total]]*10%,0)</f>
        <v>0</v>
      </c>
      <c r="K156" s="35">
        <f>IFERROR(VLOOKUP(VENTAS[[#This Row],[Código del producto Vendido]],STOCK[],16,FALSE)*VENTAS[[#This Row],[Cantidad]]+VLOOKUP(VENTAS[[#This Row],[Código del producto Vendido]],STOCK[],19,FALSE)*VENTAS[[#This Row],[Cantidad]],VENTAS[[#This Row],[Total]])</f>
        <v>7.15681818181818</v>
      </c>
      <c r="L156" s="35">
        <f>VENTAS[[#This Row],[Total]]-VENTAS[[#This Row],[Comisión 10%]]-VENTAS[[#This Row],[Costo SIN Comision]]</f>
        <v>4.84318181818182</v>
      </c>
      <c r="M156" s="35"/>
    </row>
    <row r="157" ht="20" customHeight="1" spans="1:13">
      <c r="A157" s="29">
        <v>45061</v>
      </c>
      <c r="B157" s="30"/>
      <c r="C157" s="30" t="s">
        <v>3328</v>
      </c>
      <c r="D157" s="30"/>
      <c r="E157" s="30" t="s">
        <v>979</v>
      </c>
      <c r="F157" s="34" t="str">
        <f>IFERROR(VLOOKUP(VENTAS[[#This Row],[Código del producto Vendido]],STOCK[],5,FALSE),"-")</f>
        <v> Top Mangas Fruncidas</v>
      </c>
      <c r="G157" s="34">
        <v>1</v>
      </c>
      <c r="H157" s="35">
        <v>11</v>
      </c>
      <c r="I157" s="35">
        <f>VENTAS[[#This Row],[Cantidad]]*VENTAS[[#This Row],[Precio Venta]]</f>
        <v>11</v>
      </c>
      <c r="J157" s="35">
        <f>IF(VENTAS[[#This Row],[Nombre del Gestor]]&gt;1,VENTAS[[#This Row],[Total]]*10%,0)</f>
        <v>0</v>
      </c>
      <c r="K157" s="35">
        <f>IFERROR(VLOOKUP(VENTAS[[#This Row],[Código del producto Vendido]],STOCK[],16,FALSE)*VENTAS[[#This Row],[Cantidad]]+VLOOKUP(VENTAS[[#This Row],[Código del producto Vendido]],STOCK[],19,FALSE)*VENTAS[[#This Row],[Cantidad]],VENTAS[[#This Row],[Total]])</f>
        <v>6.81136363636364</v>
      </c>
      <c r="L157" s="35">
        <f>VENTAS[[#This Row],[Total]]-VENTAS[[#This Row],[Comisión 10%]]-VENTAS[[#This Row],[Costo SIN Comision]]</f>
        <v>4.18863636363636</v>
      </c>
      <c r="M157" s="35"/>
    </row>
    <row r="158" ht="20" customHeight="1" spans="1:13">
      <c r="A158" s="29">
        <v>45061</v>
      </c>
      <c r="B158" s="30"/>
      <c r="C158" s="30" t="s">
        <v>3328</v>
      </c>
      <c r="D158" s="30"/>
      <c r="E158" s="30" t="s">
        <v>1047</v>
      </c>
      <c r="F158" s="34" t="str">
        <f>IFERROR(VLOOKUP(VENTAS[[#This Row],[Código del producto Vendido]],STOCK[],5,FALSE),"-")</f>
        <v>Pantaloneta Camel</v>
      </c>
      <c r="G158" s="34">
        <v>1</v>
      </c>
      <c r="H158" s="35">
        <v>30</v>
      </c>
      <c r="I158" s="35">
        <f>VENTAS[[#This Row],[Cantidad]]*VENTAS[[#This Row],[Precio Venta]]</f>
        <v>30</v>
      </c>
      <c r="J158" s="35">
        <f>IF(VENTAS[[#This Row],[Nombre del Gestor]]&gt;1,VENTAS[[#This Row],[Total]]*10%,0)</f>
        <v>0</v>
      </c>
      <c r="K158" s="35">
        <f>IFERROR(VLOOKUP(VENTAS[[#This Row],[Código del producto Vendido]],STOCK[],16,FALSE)*VENTAS[[#This Row],[Cantidad]]+VLOOKUP(VENTAS[[#This Row],[Código del producto Vendido]],STOCK[],19,FALSE)*VENTAS[[#This Row],[Cantidad]],VENTAS[[#This Row],[Total]])</f>
        <v>18.6477272727273</v>
      </c>
      <c r="L158" s="35">
        <f>VENTAS[[#This Row],[Total]]-VENTAS[[#This Row],[Comisión 10%]]-VENTAS[[#This Row],[Costo SIN Comision]]</f>
        <v>11.3522727272727</v>
      </c>
      <c r="M158" s="35"/>
    </row>
    <row r="159" ht="20" customHeight="1" spans="1:13">
      <c r="A159" s="29">
        <v>45061</v>
      </c>
      <c r="B159" s="30"/>
      <c r="C159" s="30" t="s">
        <v>3328</v>
      </c>
      <c r="D159" s="30"/>
      <c r="E159" s="30" t="s">
        <v>913</v>
      </c>
      <c r="F159" s="34" t="str">
        <f>IFERROR(VLOOKUP(VENTAS[[#This Row],[Código del producto Vendido]],STOCK[],5,FALSE),"-")</f>
        <v>Camiseta con figura</v>
      </c>
      <c r="G159" s="34">
        <v>1</v>
      </c>
      <c r="H159" s="35">
        <v>15</v>
      </c>
      <c r="I159" s="35">
        <f>VENTAS[[#This Row],[Cantidad]]*VENTAS[[#This Row],[Precio Venta]]</f>
        <v>15</v>
      </c>
      <c r="J159" s="35">
        <f>IF(VENTAS[[#This Row],[Nombre del Gestor]]&gt;1,VENTAS[[#This Row],[Total]]*10%,0)</f>
        <v>0</v>
      </c>
      <c r="K159" s="35">
        <f>IFERROR(VLOOKUP(VENTAS[[#This Row],[Código del producto Vendido]],STOCK[],16,FALSE)*VENTAS[[#This Row],[Cantidad]]+VLOOKUP(VENTAS[[#This Row],[Código del producto Vendido]],STOCK[],19,FALSE)*VENTAS[[#This Row],[Cantidad]],VENTAS[[#This Row],[Total]])</f>
        <v>10.0772727272727</v>
      </c>
      <c r="L159" s="35">
        <f>VENTAS[[#This Row],[Total]]-VENTAS[[#This Row],[Comisión 10%]]-VENTAS[[#This Row],[Costo SIN Comision]]</f>
        <v>4.92272727272727</v>
      </c>
      <c r="M159" s="35"/>
    </row>
    <row r="160" ht="20" customHeight="1" spans="1:13">
      <c r="A160" s="29">
        <v>45061</v>
      </c>
      <c r="B160" s="30"/>
      <c r="C160" s="30" t="s">
        <v>3328</v>
      </c>
      <c r="D160" s="30"/>
      <c r="E160" s="30" t="s">
        <v>1042</v>
      </c>
      <c r="F160" s="34" t="str">
        <f>IFERROR(VLOOKUP(VENTAS[[#This Row],[Código del producto Vendido]],STOCK[],5,FALSE),"-")</f>
        <v>Jeans Elastizados Pierna Ancha</v>
      </c>
      <c r="G160" s="34">
        <v>1</v>
      </c>
      <c r="H160" s="35">
        <v>35</v>
      </c>
      <c r="I160" s="35">
        <f>VENTAS[[#This Row],[Cantidad]]*VENTAS[[#This Row],[Precio Venta]]</f>
        <v>35</v>
      </c>
      <c r="J160" s="35">
        <f>IF(VENTAS[[#This Row],[Nombre del Gestor]]&gt;1,VENTAS[[#This Row],[Total]]*10%,0)</f>
        <v>0</v>
      </c>
      <c r="K160" s="35">
        <f>IFERROR(VLOOKUP(VENTAS[[#This Row],[Código del producto Vendido]],STOCK[],16,FALSE)*VENTAS[[#This Row],[Cantidad]]+VLOOKUP(VENTAS[[#This Row],[Código del producto Vendido]],STOCK[],19,FALSE)*VENTAS[[#This Row],[Cantidad]],VENTAS[[#This Row],[Total]])</f>
        <v>27.5227272727273</v>
      </c>
      <c r="L160" s="35">
        <f>VENTAS[[#This Row],[Total]]-VENTAS[[#This Row],[Comisión 10%]]-VENTAS[[#This Row],[Costo SIN Comision]]</f>
        <v>7.4772727272727</v>
      </c>
      <c r="M160" s="35"/>
    </row>
    <row r="161" ht="20" customHeight="1" spans="1:13">
      <c r="A161" s="29">
        <v>45062</v>
      </c>
      <c r="B161" s="30"/>
      <c r="C161" s="30" t="s">
        <v>3329</v>
      </c>
      <c r="D161" s="30"/>
      <c r="E161" s="30" t="s">
        <v>49</v>
      </c>
      <c r="F161" s="34" t="str">
        <f>IFERROR(VLOOKUP(VENTAS[[#This Row],[Código del producto Vendido]],STOCK[],5,FALSE),"-")</f>
        <v>Pareo Pantalón</v>
      </c>
      <c r="G161" s="34">
        <v>1</v>
      </c>
      <c r="H161" s="35">
        <v>15</v>
      </c>
      <c r="I161" s="35">
        <f>VENTAS[[#This Row],[Cantidad]]*VENTAS[[#This Row],[Precio Venta]]</f>
        <v>15</v>
      </c>
      <c r="J161" s="35">
        <f>IF(VENTAS[[#This Row],[Nombre del Gestor]]&gt;1,VENTAS[[#This Row],[Total]]*10%,0)</f>
        <v>0</v>
      </c>
      <c r="K161" s="35">
        <f>IFERROR(VLOOKUP(VENTAS[[#This Row],[Código del producto Vendido]],STOCK[],16,FALSE)*VENTAS[[#This Row],[Cantidad]]+VLOOKUP(VENTAS[[#This Row],[Código del producto Vendido]],STOCK[],19,FALSE)*VENTAS[[#This Row],[Cantidad]],VENTAS[[#This Row],[Total]])</f>
        <v>10.0633333333333</v>
      </c>
      <c r="L161" s="35">
        <f>VENTAS[[#This Row],[Total]]-VENTAS[[#This Row],[Comisión 10%]]-VENTAS[[#This Row],[Costo SIN Comision]]</f>
        <v>4.93666666666667</v>
      </c>
      <c r="M161" s="35"/>
    </row>
    <row r="162" ht="20" customHeight="1" spans="1:13">
      <c r="A162" s="29">
        <v>45062</v>
      </c>
      <c r="B162" s="30"/>
      <c r="C162" s="30" t="s">
        <v>3329</v>
      </c>
      <c r="D162" s="30"/>
      <c r="E162" s="30" t="s">
        <v>899</v>
      </c>
      <c r="F162" s="34" t="str">
        <f>IFERROR(VLOOKUP(VENTAS[[#This Row],[Código del producto Vendido]],STOCK[],5,FALSE),"-")</f>
        <v>Bañador con adorno de malla</v>
      </c>
      <c r="G162" s="34">
        <v>1</v>
      </c>
      <c r="H162" s="35">
        <v>25</v>
      </c>
      <c r="I162" s="35">
        <f>VENTAS[[#This Row],[Cantidad]]*VENTAS[[#This Row],[Precio Venta]]</f>
        <v>25</v>
      </c>
      <c r="J162" s="35">
        <f>IF(VENTAS[[#This Row],[Nombre del Gestor]]&gt;1,VENTAS[[#This Row],[Total]]*10%,0)</f>
        <v>0</v>
      </c>
      <c r="K162" s="35">
        <f>IFERROR(VLOOKUP(VENTAS[[#This Row],[Código del producto Vendido]],STOCK[],16,FALSE)*VENTAS[[#This Row],[Cantidad]]+VLOOKUP(VENTAS[[#This Row],[Código del producto Vendido]],STOCK[],19,FALSE)*VENTAS[[#This Row],[Cantidad]],VENTAS[[#This Row],[Total]])</f>
        <v>15.3295454545455</v>
      </c>
      <c r="L162" s="35">
        <f>VENTAS[[#This Row],[Total]]-VENTAS[[#This Row],[Comisión 10%]]-VENTAS[[#This Row],[Costo SIN Comision]]</f>
        <v>9.6704545454545</v>
      </c>
      <c r="M162" s="35"/>
    </row>
    <row r="163" ht="20" customHeight="1" spans="1:13">
      <c r="A163" s="29">
        <v>45059</v>
      </c>
      <c r="B163" s="30" t="s">
        <v>1073</v>
      </c>
      <c r="C163" s="30" t="s">
        <v>3315</v>
      </c>
      <c r="D163" s="30"/>
      <c r="E163" s="30" t="s">
        <v>955</v>
      </c>
      <c r="F163" s="34" t="str">
        <f>IFERROR(VLOOKUP(VENTAS[[#This Row],[Código del producto Vendido]],STOCK[],5,FALSE),"-")</f>
        <v>Bañador una pieza con mariposa aplique fruncido</v>
      </c>
      <c r="G163" s="34">
        <v>1</v>
      </c>
      <c r="H163" s="35">
        <v>22</v>
      </c>
      <c r="I163" s="35">
        <f>VENTAS[[#This Row],[Cantidad]]*VENTAS[[#This Row],[Precio Venta]]</f>
        <v>22</v>
      </c>
      <c r="J163" s="35">
        <f>IF(VENTAS[[#This Row],[Nombre del Gestor]]&gt;1,VENTAS[[#This Row],[Total]]*10%,0)</f>
        <v>0</v>
      </c>
      <c r="K163" s="35">
        <f>IFERROR(VLOOKUP(VENTAS[[#This Row],[Código del producto Vendido]],STOCK[],16,FALSE)*VENTAS[[#This Row],[Cantidad]]+VLOOKUP(VENTAS[[#This Row],[Código del producto Vendido]],STOCK[],19,FALSE)*VENTAS[[#This Row],[Cantidad]],VENTAS[[#This Row],[Total]])</f>
        <v>11.9227272727273</v>
      </c>
      <c r="L163" s="35">
        <f>VENTAS[[#This Row],[Total]]-VENTAS[[#This Row],[Comisión 10%]]-VENTAS[[#This Row],[Costo SIN Comision]]</f>
        <v>10.0772727272727</v>
      </c>
      <c r="M163" s="35"/>
    </row>
    <row r="164" ht="20" customHeight="1" spans="1:13">
      <c r="A164" s="29">
        <v>45064</v>
      </c>
      <c r="B164" s="30"/>
      <c r="C164" s="30" t="s">
        <v>3330</v>
      </c>
      <c r="D164" s="30"/>
      <c r="E164" s="30" t="s">
        <v>1039</v>
      </c>
      <c r="F164" s="34" t="str">
        <f>IFERROR(VLOOKUP(VENTAS[[#This Row],[Código del producto Vendido]],STOCK[],5,FALSE),"-")</f>
        <v>Jeans Elastizados Pierna Ancha</v>
      </c>
      <c r="G164" s="34">
        <v>1</v>
      </c>
      <c r="H164" s="35">
        <v>35</v>
      </c>
      <c r="I164" s="35">
        <f>VENTAS[[#This Row],[Cantidad]]*VENTAS[[#This Row],[Precio Venta]]</f>
        <v>35</v>
      </c>
      <c r="J164" s="35">
        <f>IF(VENTAS[[#This Row],[Nombre del Gestor]]&gt;1,VENTAS[[#This Row],[Total]]*10%,0)</f>
        <v>0</v>
      </c>
      <c r="K164" s="35">
        <f>IFERROR(VLOOKUP(VENTAS[[#This Row],[Código del producto Vendido]],STOCK[],16,FALSE)*VENTAS[[#This Row],[Cantidad]]+VLOOKUP(VENTAS[[#This Row],[Código del producto Vendido]],STOCK[],19,FALSE)*VENTAS[[#This Row],[Cantidad]],VENTAS[[#This Row],[Total]])</f>
        <v>27.5227272727273</v>
      </c>
      <c r="L164" s="35">
        <f>VENTAS[[#This Row],[Total]]-VENTAS[[#This Row],[Comisión 10%]]-VENTAS[[#This Row],[Costo SIN Comision]]</f>
        <v>7.4772727272727</v>
      </c>
      <c r="M164" s="35"/>
    </row>
    <row r="165" ht="20" customHeight="1" spans="1:13">
      <c r="A165" s="29">
        <v>45064</v>
      </c>
      <c r="B165" s="30"/>
      <c r="C165" s="30" t="s">
        <v>3330</v>
      </c>
      <c r="D165" s="30"/>
      <c r="E165" s="30" t="s">
        <v>982</v>
      </c>
      <c r="F165" s="34" t="str">
        <f>IFERROR(VLOOKUP(VENTAS[[#This Row],[Código del producto Vendido]],STOCK[],5,FALSE),"-")</f>
        <v> Top Mangas Fruncidas</v>
      </c>
      <c r="G165" s="34">
        <v>1</v>
      </c>
      <c r="H165" s="35">
        <v>12</v>
      </c>
      <c r="I165" s="35">
        <f>VENTAS[[#This Row],[Cantidad]]*VENTAS[[#This Row],[Precio Venta]]</f>
        <v>12</v>
      </c>
      <c r="J165" s="35">
        <f>IF(VENTAS[[#This Row],[Nombre del Gestor]]&gt;1,VENTAS[[#This Row],[Total]]*10%,0)</f>
        <v>0</v>
      </c>
      <c r="K165" s="35">
        <f>IFERROR(VLOOKUP(VENTAS[[#This Row],[Código del producto Vendido]],STOCK[],16,FALSE)*VENTAS[[#This Row],[Cantidad]]+VLOOKUP(VENTAS[[#This Row],[Código del producto Vendido]],STOCK[],19,FALSE)*VENTAS[[#This Row],[Cantidad]],VENTAS[[#This Row],[Total]])</f>
        <v>6.81136363636364</v>
      </c>
      <c r="L165" s="35">
        <f>VENTAS[[#This Row],[Total]]-VENTAS[[#This Row],[Comisión 10%]]-VENTAS[[#This Row],[Costo SIN Comision]]</f>
        <v>5.18863636363636</v>
      </c>
      <c r="M165" s="35"/>
    </row>
    <row r="166" ht="20" customHeight="1" spans="1:13">
      <c r="A166" s="29">
        <v>45064</v>
      </c>
      <c r="B166" s="30"/>
      <c r="C166" s="30" t="s">
        <v>3331</v>
      </c>
      <c r="D166" s="30"/>
      <c r="E166" s="45" t="s">
        <v>941</v>
      </c>
      <c r="F166" s="34" t="str">
        <f>IFERROR(VLOOKUP(VENTAS[[#This Row],[Código del producto Vendido]],STOCK[],5,FALSE),"-")</f>
        <v>Vestido Tropical</v>
      </c>
      <c r="G166" s="34">
        <v>1</v>
      </c>
      <c r="H166" s="35">
        <v>30</v>
      </c>
      <c r="I166" s="35">
        <f>VENTAS[[#This Row],[Cantidad]]*VENTAS[[#This Row],[Precio Venta]]</f>
        <v>30</v>
      </c>
      <c r="J166" s="35">
        <f>IF(VENTAS[[#This Row],[Nombre del Gestor]]&gt;1,VENTAS[[#This Row],[Total]]*10%,0)</f>
        <v>0</v>
      </c>
      <c r="K166" s="35">
        <f>IFERROR(VLOOKUP(VENTAS[[#This Row],[Código del producto Vendido]],STOCK[],16,FALSE)*VENTAS[[#This Row],[Cantidad]]+VLOOKUP(VENTAS[[#This Row],[Código del producto Vendido]],STOCK[],19,FALSE)*VENTAS[[#This Row],[Cantidad]],VENTAS[[#This Row],[Total]])</f>
        <v>18.8486363636364</v>
      </c>
      <c r="L166" s="35">
        <f>VENTAS[[#This Row],[Total]]-VENTAS[[#This Row],[Comisión 10%]]-VENTAS[[#This Row],[Costo SIN Comision]]</f>
        <v>11.1513636363636</v>
      </c>
      <c r="M166" s="35"/>
    </row>
    <row r="167" ht="20" customHeight="1" spans="1:13">
      <c r="A167" s="29">
        <v>45064</v>
      </c>
      <c r="B167" s="30"/>
      <c r="C167" s="30" t="s">
        <v>3331</v>
      </c>
      <c r="D167" s="30"/>
      <c r="E167" s="30" t="s">
        <v>985</v>
      </c>
      <c r="F167" s="34" t="str">
        <f>IFERROR(VLOOKUP(VENTAS[[#This Row],[Código del producto Vendido]],STOCK[],5,FALSE),"-")</f>
        <v>Vestido con abertura</v>
      </c>
      <c r="G167" s="34">
        <v>1</v>
      </c>
      <c r="H167" s="35">
        <v>22</v>
      </c>
      <c r="I167" s="35">
        <f>VENTAS[[#This Row],[Cantidad]]*VENTAS[[#This Row],[Precio Venta]]</f>
        <v>22</v>
      </c>
      <c r="J167" s="35">
        <f>IF(VENTAS[[#This Row],[Nombre del Gestor]]&gt;1,VENTAS[[#This Row],[Total]]*10%,0)</f>
        <v>0</v>
      </c>
      <c r="K167" s="35">
        <f>IFERROR(VLOOKUP(VENTAS[[#This Row],[Código del producto Vendido]],STOCK[],16,FALSE)*VENTAS[[#This Row],[Cantidad]]+VLOOKUP(VENTAS[[#This Row],[Código del producto Vendido]],STOCK[],19,FALSE)*VENTAS[[#This Row],[Cantidad]],VENTAS[[#This Row],[Total]])</f>
        <v>15.5277272727273</v>
      </c>
      <c r="L167" s="35">
        <f>VENTAS[[#This Row],[Total]]-VENTAS[[#This Row],[Comisión 10%]]-VENTAS[[#This Row],[Costo SIN Comision]]</f>
        <v>6.4722727272727</v>
      </c>
      <c r="M167" s="35"/>
    </row>
    <row r="168" ht="20" customHeight="1" spans="1:13">
      <c r="A168" s="29">
        <v>45064</v>
      </c>
      <c r="B168" s="30"/>
      <c r="C168" s="30" t="s">
        <v>3322</v>
      </c>
      <c r="D168" s="30"/>
      <c r="E168" s="30" t="s">
        <v>29</v>
      </c>
      <c r="F168" s="34" t="str">
        <f>IFERROR(VLOOKUP(VENTAS[[#This Row],[Código del producto Vendido]],STOCK[],5,FALSE),"-")</f>
        <v>Pareo falda </v>
      </c>
      <c r="G168" s="34">
        <v>4</v>
      </c>
      <c r="H168" s="35">
        <v>8</v>
      </c>
      <c r="I168" s="35">
        <f>VENTAS[[#This Row],[Cantidad]]*VENTAS[[#This Row],[Precio Venta]]</f>
        <v>32</v>
      </c>
      <c r="J168" s="35">
        <f>IF(VENTAS[[#This Row],[Nombre del Gestor]]&gt;1,VENTAS[[#This Row],[Total]]*10%,0)</f>
        <v>0</v>
      </c>
      <c r="K168" s="35">
        <f>IFERROR(VLOOKUP(VENTAS[[#This Row],[Código del producto Vendido]],STOCK[],16,FALSE)*VENTAS[[#This Row],[Cantidad]]+VLOOKUP(VENTAS[[#This Row],[Código del producto Vendido]],STOCK[],19,FALSE)*VENTAS[[#This Row],[Cantidad]],VENTAS[[#This Row],[Total]])</f>
        <v>17.3488888888889</v>
      </c>
      <c r="L168" s="35">
        <f>VENTAS[[#This Row],[Total]]-VENTAS[[#This Row],[Comisión 10%]]-VENTAS[[#This Row],[Costo SIN Comision]]</f>
        <v>14.6511111111111</v>
      </c>
      <c r="M168" s="35"/>
    </row>
    <row r="169" ht="20" customHeight="1" spans="1:13">
      <c r="A169" s="29">
        <v>45064</v>
      </c>
      <c r="B169" s="30"/>
      <c r="C169" s="30" t="s">
        <v>3322</v>
      </c>
      <c r="D169" s="30"/>
      <c r="E169" s="30" t="s">
        <v>107</v>
      </c>
      <c r="F169" s="34" t="str">
        <f>IFERROR(VLOOKUP(VENTAS[[#This Row],[Código del producto Vendido]],STOCK[],5,FALSE),"-")</f>
        <v>Bañador color combinado</v>
      </c>
      <c r="G169" s="34">
        <v>1</v>
      </c>
      <c r="H169" s="35">
        <v>25</v>
      </c>
      <c r="I169" s="35">
        <f>VENTAS[[#This Row],[Cantidad]]*VENTAS[[#This Row],[Precio Venta]]</f>
        <v>25</v>
      </c>
      <c r="J169" s="35">
        <f>IF(VENTAS[[#This Row],[Nombre del Gestor]]&gt;1,VENTAS[[#This Row],[Total]]*10%,0)</f>
        <v>0</v>
      </c>
      <c r="K169" s="35">
        <f>IFERROR(VLOOKUP(VENTAS[[#This Row],[Código del producto Vendido]],STOCK[],16,FALSE)*VENTAS[[#This Row],[Cantidad]]+VLOOKUP(VENTAS[[#This Row],[Código del producto Vendido]],STOCK[],19,FALSE)*VENTAS[[#This Row],[Cantidad]],VENTAS[[#This Row],[Total]])</f>
        <v>18.4788888888889</v>
      </c>
      <c r="L169" s="35">
        <f>VENTAS[[#This Row],[Total]]-VENTAS[[#This Row],[Comisión 10%]]-VENTAS[[#This Row],[Costo SIN Comision]]</f>
        <v>6.5211111111111</v>
      </c>
      <c r="M169" s="35"/>
    </row>
    <row r="170" ht="20" customHeight="1" spans="1:13">
      <c r="A170" s="29">
        <v>45064</v>
      </c>
      <c r="B170" s="30"/>
      <c r="C170" s="30" t="s">
        <v>3332</v>
      </c>
      <c r="D170" s="30"/>
      <c r="E170" s="30" t="s">
        <v>896</v>
      </c>
      <c r="F170" s="34" t="str">
        <f>IFERROR(VLOOKUP(VENTAS[[#This Row],[Código del producto Vendido]],STOCK[],5,FALSE),"-")</f>
        <v>Bañador con adorno de malla</v>
      </c>
      <c r="G170" s="34">
        <v>1</v>
      </c>
      <c r="H170" s="35">
        <v>25</v>
      </c>
      <c r="I170" s="35">
        <f>VENTAS[[#This Row],[Cantidad]]*VENTAS[[#This Row],[Precio Venta]]</f>
        <v>25</v>
      </c>
      <c r="J170" s="35">
        <f>IF(VENTAS[[#This Row],[Nombre del Gestor]]&gt;1,VENTAS[[#This Row],[Total]]*10%,0)</f>
        <v>0</v>
      </c>
      <c r="K170" s="35">
        <f>IFERROR(VLOOKUP(VENTAS[[#This Row],[Código del producto Vendido]],STOCK[],16,FALSE)*VENTAS[[#This Row],[Cantidad]]+VLOOKUP(VENTAS[[#This Row],[Código del producto Vendido]],STOCK[],19,FALSE)*VENTAS[[#This Row],[Cantidad]],VENTAS[[#This Row],[Total]])</f>
        <v>16.1795454545455</v>
      </c>
      <c r="L170" s="35">
        <f>VENTAS[[#This Row],[Total]]-VENTAS[[#This Row],[Comisión 10%]]-VENTAS[[#This Row],[Costo SIN Comision]]</f>
        <v>8.8204545454545</v>
      </c>
      <c r="M170" s="35"/>
    </row>
    <row r="171" ht="20" customHeight="1" spans="1:13">
      <c r="A171" s="29">
        <v>45064</v>
      </c>
      <c r="B171" s="30"/>
      <c r="C171" s="30" t="s">
        <v>3333</v>
      </c>
      <c r="D171" s="30"/>
      <c r="E171" s="30" t="s">
        <v>1001</v>
      </c>
      <c r="F171" s="34" t="str">
        <f>IFERROR(VLOOKUP(VENTAS[[#This Row],[Código del producto Vendido]],STOCK[],5,FALSE),"-")</f>
        <v>Vestido frenchy de puntos</v>
      </c>
      <c r="G171" s="34">
        <v>1</v>
      </c>
      <c r="H171" s="35">
        <v>22</v>
      </c>
      <c r="I171" s="35">
        <f>VENTAS[[#This Row],[Cantidad]]*VENTAS[[#This Row],[Precio Venta]]</f>
        <v>22</v>
      </c>
      <c r="J171" s="35">
        <f>IF(VENTAS[[#This Row],[Nombre del Gestor]]&gt;1,VENTAS[[#This Row],[Total]]*10%,0)</f>
        <v>0</v>
      </c>
      <c r="K171" s="35">
        <f>IFERROR(VLOOKUP(VENTAS[[#This Row],[Código del producto Vendido]],STOCK[],16,FALSE)*VENTAS[[#This Row],[Cantidad]]+VLOOKUP(VENTAS[[#This Row],[Código del producto Vendido]],STOCK[],19,FALSE)*VENTAS[[#This Row],[Cantidad]],VENTAS[[#This Row],[Total]])</f>
        <v>15.3272727272727</v>
      </c>
      <c r="L171" s="35">
        <f>VENTAS[[#This Row],[Total]]-VENTAS[[#This Row],[Comisión 10%]]-VENTAS[[#This Row],[Costo SIN Comision]]</f>
        <v>6.6727272727273</v>
      </c>
      <c r="M171" s="35"/>
    </row>
    <row r="172" ht="20" customHeight="1" spans="1:13">
      <c r="A172" s="29">
        <v>45065</v>
      </c>
      <c r="B172" s="30"/>
      <c r="C172" s="30" t="s">
        <v>3334</v>
      </c>
      <c r="D172" s="30"/>
      <c r="E172" s="30" t="s">
        <v>951</v>
      </c>
      <c r="F172" s="34" t="str">
        <f>IFERROR(VLOOKUP(VENTAS[[#This Row],[Código del producto Vendido]],STOCK[],5,FALSE),"-")</f>
        <v> Pantaloneta Verde</v>
      </c>
      <c r="G172" s="34">
        <v>1</v>
      </c>
      <c r="H172" s="35">
        <v>25</v>
      </c>
      <c r="I172" s="35">
        <f>VENTAS[[#This Row],[Cantidad]]*VENTAS[[#This Row],[Precio Venta]]</f>
        <v>25</v>
      </c>
      <c r="J172" s="35">
        <f>IF(VENTAS[[#This Row],[Nombre del Gestor]]&gt;1,VENTAS[[#This Row],[Total]]*10%,0)</f>
        <v>0</v>
      </c>
      <c r="K172" s="35">
        <f>IFERROR(VLOOKUP(VENTAS[[#This Row],[Código del producto Vendido]],STOCK[],16,FALSE)*VENTAS[[#This Row],[Cantidad]]+VLOOKUP(VENTAS[[#This Row],[Código del producto Vendido]],STOCK[],19,FALSE)*VENTAS[[#This Row],[Cantidad]],VENTAS[[#This Row],[Total]])</f>
        <v>14.8713636363636</v>
      </c>
      <c r="L172" s="35">
        <f>VENTAS[[#This Row],[Total]]-VENTAS[[#This Row],[Comisión 10%]]-VENTAS[[#This Row],[Costo SIN Comision]]</f>
        <v>10.1286363636364</v>
      </c>
      <c r="M172" s="35"/>
    </row>
    <row r="173" ht="20" customHeight="1" spans="1:13">
      <c r="A173" s="29">
        <v>45065</v>
      </c>
      <c r="B173" s="30"/>
      <c r="C173" s="30" t="s">
        <v>3335</v>
      </c>
      <c r="D173" s="30"/>
      <c r="E173" s="30" t="s">
        <v>436</v>
      </c>
      <c r="F173" s="34" t="str">
        <f>IFERROR(VLOOKUP(VENTAS[[#This Row],[Código del producto Vendido]],STOCK[],5,FALSE),"-")</f>
        <v>Bañador bikini floral</v>
      </c>
      <c r="G173" s="34">
        <v>1</v>
      </c>
      <c r="H173" s="35">
        <v>25</v>
      </c>
      <c r="I173" s="35">
        <f>VENTAS[[#This Row],[Cantidad]]*VENTAS[[#This Row],[Precio Venta]]</f>
        <v>25</v>
      </c>
      <c r="J173" s="35">
        <f>IF(VENTAS[[#This Row],[Nombre del Gestor]]&gt;1,VENTAS[[#This Row],[Total]]*10%,0)</f>
        <v>0</v>
      </c>
      <c r="K173" s="35">
        <f>IFERROR(VLOOKUP(VENTAS[[#This Row],[Código del producto Vendido]],STOCK[],16,FALSE)*VENTAS[[#This Row],[Cantidad]]+VLOOKUP(VENTAS[[#This Row],[Código del producto Vendido]],STOCK[],19,FALSE)*VENTAS[[#This Row],[Cantidad]],VENTAS[[#This Row],[Total]])</f>
        <v>16.6044444444444</v>
      </c>
      <c r="L173" s="35">
        <f>VENTAS[[#This Row],[Total]]-VENTAS[[#This Row],[Comisión 10%]]-VENTAS[[#This Row],[Costo SIN Comision]]</f>
        <v>8.3955555555556</v>
      </c>
      <c r="M173" s="35"/>
    </row>
    <row r="174" ht="20" customHeight="1" spans="1:13">
      <c r="A174" s="29">
        <v>45065</v>
      </c>
      <c r="B174" s="30"/>
      <c r="C174" s="30" t="s">
        <v>3336</v>
      </c>
      <c r="D174" s="30"/>
      <c r="E174" s="30" t="s">
        <v>367</v>
      </c>
      <c r="F174" s="34" t="str">
        <f>IFERROR(VLOOKUP(VENTAS[[#This Row],[Código del producto Vendido]],STOCK[],5,FALSE),"-")</f>
        <v>Vestido de un hombro con nudo</v>
      </c>
      <c r="G174" s="34">
        <v>1</v>
      </c>
      <c r="H174" s="35">
        <v>15</v>
      </c>
      <c r="I174" s="35">
        <f>VENTAS[[#This Row],[Cantidad]]*VENTAS[[#This Row],[Precio Venta]]</f>
        <v>15</v>
      </c>
      <c r="J174" s="35">
        <f>IF(VENTAS[[#This Row],[Nombre del Gestor]]&gt;1,VENTAS[[#This Row],[Total]]*10%,0)</f>
        <v>0</v>
      </c>
      <c r="K174" s="35">
        <f>IFERROR(VLOOKUP(VENTAS[[#This Row],[Código del producto Vendido]],STOCK[],16,FALSE)*VENTAS[[#This Row],[Cantidad]]+VLOOKUP(VENTAS[[#This Row],[Código del producto Vendido]],STOCK[],19,FALSE)*VENTAS[[#This Row],[Cantidad]],VENTAS[[#This Row],[Total]])</f>
        <v>12.835</v>
      </c>
      <c r="L174" s="35">
        <f>VENTAS[[#This Row],[Total]]-VENTAS[[#This Row],[Comisión 10%]]-VENTAS[[#This Row],[Costo SIN Comision]]</f>
        <v>2.165</v>
      </c>
      <c r="M174" s="35"/>
    </row>
    <row r="175" ht="20" customHeight="1" spans="1:13">
      <c r="A175" s="29">
        <v>45065</v>
      </c>
      <c r="B175" s="30"/>
      <c r="C175" s="30" t="s">
        <v>3336</v>
      </c>
      <c r="D175" s="30"/>
      <c r="E175" s="30" t="s">
        <v>378</v>
      </c>
      <c r="F175" s="34" t="str">
        <f>IFERROR(VLOOKUP(VENTAS[[#This Row],[Código del producto Vendido]],STOCK[],5,FALSE),"-")</f>
        <v>Elegant Vestido ajustado con estampado de leopardo</v>
      </c>
      <c r="G175" s="34">
        <v>1</v>
      </c>
      <c r="H175" s="35">
        <v>15</v>
      </c>
      <c r="I175" s="35">
        <f>VENTAS[[#This Row],[Cantidad]]*VENTAS[[#This Row],[Precio Venta]]</f>
        <v>15</v>
      </c>
      <c r="J175" s="35">
        <f>IF(VENTAS[[#This Row],[Nombre del Gestor]]&gt;1,VENTAS[[#This Row],[Total]]*10%,0)</f>
        <v>0</v>
      </c>
      <c r="K175" s="35">
        <f>IFERROR(VLOOKUP(VENTAS[[#This Row],[Código del producto Vendido]],STOCK[],16,FALSE)*VENTAS[[#This Row],[Cantidad]]+VLOOKUP(VENTAS[[#This Row],[Código del producto Vendido]],STOCK[],19,FALSE)*VENTAS[[#This Row],[Cantidad]],VENTAS[[#This Row],[Total]])</f>
        <v>7.24833333333333</v>
      </c>
      <c r="L175" s="35">
        <f>VENTAS[[#This Row],[Total]]-VENTAS[[#This Row],[Comisión 10%]]-VENTAS[[#This Row],[Costo SIN Comision]]</f>
        <v>7.75166666666667</v>
      </c>
      <c r="M175" s="35"/>
    </row>
    <row r="176" ht="20" customHeight="1" spans="1:13">
      <c r="A176" s="29">
        <v>45065</v>
      </c>
      <c r="B176" s="30"/>
      <c r="C176" s="30" t="s">
        <v>3336</v>
      </c>
      <c r="D176" s="30"/>
      <c r="E176" s="30" t="s">
        <v>583</v>
      </c>
      <c r="F176" s="34" t="str">
        <f>IFERROR(VLOOKUP(VENTAS[[#This Row],[Código del producto Vendido]],STOCK[],5,FALSE),"-")</f>
        <v>Top cruzado blanco</v>
      </c>
      <c r="G176" s="34">
        <v>1</v>
      </c>
      <c r="H176" s="35">
        <v>9</v>
      </c>
      <c r="I176" s="35">
        <f>VENTAS[[#This Row],[Cantidad]]*VENTAS[[#This Row],[Precio Venta]]</f>
        <v>9</v>
      </c>
      <c r="J176" s="35">
        <f>IF(VENTAS[[#This Row],[Nombre del Gestor]]&gt;1,VENTAS[[#This Row],[Total]]*10%,0)</f>
        <v>0</v>
      </c>
      <c r="K176" s="35">
        <f>IFERROR(VLOOKUP(VENTAS[[#This Row],[Código del producto Vendido]],STOCK[],16,FALSE)*VENTAS[[#This Row],[Cantidad]]+VLOOKUP(VENTAS[[#This Row],[Código del producto Vendido]],STOCK[],19,FALSE)*VENTAS[[#This Row],[Cantidad]],VENTAS[[#This Row],[Total]])</f>
        <v>5.19333333333333</v>
      </c>
      <c r="L176" s="35">
        <f>VENTAS[[#This Row],[Total]]-VENTAS[[#This Row],[Comisión 10%]]-VENTAS[[#This Row],[Costo SIN Comision]]</f>
        <v>3.80666666666667</v>
      </c>
      <c r="M176" s="35"/>
    </row>
    <row r="177" ht="20" customHeight="1" spans="1:13">
      <c r="A177" s="29">
        <v>45065</v>
      </c>
      <c r="B177" s="30"/>
      <c r="C177" s="30" t="s">
        <v>3336</v>
      </c>
      <c r="D177" s="30"/>
      <c r="E177" s="30" t="s">
        <v>727</v>
      </c>
      <c r="F177" s="34" t="str">
        <f>IFERROR(VLOOKUP(VENTAS[[#This Row],[Código del producto Vendido]],STOCK[],5,FALSE),"-")</f>
        <v>Vestido acanalado de un hombro</v>
      </c>
      <c r="G177" s="34">
        <v>1</v>
      </c>
      <c r="H177" s="35">
        <v>18</v>
      </c>
      <c r="I177" s="35">
        <f>VENTAS[[#This Row],[Cantidad]]*VENTAS[[#This Row],[Precio Venta]]</f>
        <v>18</v>
      </c>
      <c r="J177" s="35">
        <f>IF(VENTAS[[#This Row],[Nombre del Gestor]]&gt;1,VENTAS[[#This Row],[Total]]*10%,0)</f>
        <v>0</v>
      </c>
      <c r="K177" s="35">
        <f>IFERROR(VLOOKUP(VENTAS[[#This Row],[Código del producto Vendido]],STOCK[],16,FALSE)*VENTAS[[#This Row],[Cantidad]]+VLOOKUP(VENTAS[[#This Row],[Código del producto Vendido]],STOCK[],19,FALSE)*VENTAS[[#This Row],[Cantidad]],VENTAS[[#This Row],[Total]])</f>
        <v>11.9444444444444</v>
      </c>
      <c r="L177" s="35">
        <f>VENTAS[[#This Row],[Total]]-VENTAS[[#This Row],[Comisión 10%]]-VENTAS[[#This Row],[Costo SIN Comision]]</f>
        <v>6.05555555555556</v>
      </c>
      <c r="M177" s="35"/>
    </row>
    <row r="178" ht="20" customHeight="1" spans="1:13">
      <c r="A178" s="29"/>
      <c r="B178" s="30" t="s">
        <v>3326</v>
      </c>
      <c r="C178" s="30" t="s">
        <v>3327</v>
      </c>
      <c r="D178" s="30"/>
      <c r="E178" s="30" t="s">
        <v>3337</v>
      </c>
      <c r="F178" s="34" t="str">
        <f>IFERROR(VLOOKUP(VENTAS[[#This Row],[Código del producto Vendido]],STOCK[],5,FALSE),"-")</f>
        <v>-</v>
      </c>
      <c r="G178" s="34">
        <v>1</v>
      </c>
      <c r="H178" s="35">
        <v>18</v>
      </c>
      <c r="I178" s="35">
        <f>VENTAS[[#This Row],[Cantidad]]*VENTAS[[#This Row],[Precio Venta]]</f>
        <v>18</v>
      </c>
      <c r="J178" s="35">
        <f>IF(VENTAS[[#This Row],[Nombre del Gestor]]&gt;1,VENTAS[[#This Row],[Total]]*10%,0)</f>
        <v>0</v>
      </c>
      <c r="K178" s="35">
        <f>IFERROR(VLOOKUP(VENTAS[[#This Row],[Código del producto Vendido]],STOCK[],16,FALSE)*VENTAS[[#This Row],[Cantidad]]+VLOOKUP(VENTAS[[#This Row],[Código del producto Vendido]],STOCK[],19,FALSE)*VENTAS[[#This Row],[Cantidad]],VENTAS[[#This Row],[Total]])</f>
        <v>18</v>
      </c>
      <c r="L178" s="35">
        <f>VENTAS[[#This Row],[Total]]-VENTAS[[#This Row],[Comisión 10%]]-VENTAS[[#This Row],[Costo SIN Comision]]</f>
        <v>0</v>
      </c>
      <c r="M178" s="35"/>
    </row>
    <row r="179" ht="20" customHeight="1" spans="1:13">
      <c r="A179" s="29">
        <v>45065</v>
      </c>
      <c r="B179" s="30"/>
      <c r="C179" s="30" t="s">
        <v>3338</v>
      </c>
      <c r="D179" s="30"/>
      <c r="E179" s="30" t="s">
        <v>1039</v>
      </c>
      <c r="F179" s="34" t="str">
        <f>IFERROR(VLOOKUP(VENTAS[[#This Row],[Código del producto Vendido]],STOCK[],5,FALSE),"-")</f>
        <v>Jeans Elastizados Pierna Ancha</v>
      </c>
      <c r="G179" s="34">
        <v>1</v>
      </c>
      <c r="H179" s="35">
        <v>35</v>
      </c>
      <c r="I179" s="35">
        <f>VENTAS[[#This Row],[Cantidad]]*VENTAS[[#This Row],[Precio Venta]]</f>
        <v>35</v>
      </c>
      <c r="J179" s="35">
        <f>IF(VENTAS[[#This Row],[Nombre del Gestor]]&gt;1,VENTAS[[#This Row],[Total]]*10%,0)</f>
        <v>0</v>
      </c>
      <c r="K179" s="35">
        <f>IFERROR(VLOOKUP(VENTAS[[#This Row],[Código del producto Vendido]],STOCK[],16,FALSE)*VENTAS[[#This Row],[Cantidad]]+VLOOKUP(VENTAS[[#This Row],[Código del producto Vendido]],STOCK[],19,FALSE)*VENTAS[[#This Row],[Cantidad]],VENTAS[[#This Row],[Total]])</f>
        <v>27.5227272727273</v>
      </c>
      <c r="L179" s="35">
        <f>VENTAS[[#This Row],[Total]]-VENTAS[[#This Row],[Comisión 10%]]-VENTAS[[#This Row],[Costo SIN Comision]]</f>
        <v>7.4772727272727</v>
      </c>
      <c r="M179" s="35"/>
    </row>
    <row r="180" ht="20" customHeight="1" spans="1:13">
      <c r="A180" s="29">
        <v>45067</v>
      </c>
      <c r="B180" s="30"/>
      <c r="C180" s="30" t="s">
        <v>3339</v>
      </c>
      <c r="D180" s="30"/>
      <c r="E180" s="30" t="s">
        <v>913</v>
      </c>
      <c r="F180" s="34" t="str">
        <f>IFERROR(VLOOKUP(VENTAS[[#This Row],[Código del producto Vendido]],STOCK[],5,FALSE),"-")</f>
        <v>Camiseta con figura</v>
      </c>
      <c r="G180" s="34">
        <v>1</v>
      </c>
      <c r="H180" s="35">
        <v>14</v>
      </c>
      <c r="I180" s="35">
        <f>VENTAS[[#This Row],[Cantidad]]*VENTAS[[#This Row],[Precio Venta]]</f>
        <v>14</v>
      </c>
      <c r="J180" s="35">
        <f>IF(VENTAS[[#This Row],[Nombre del Gestor]]&gt;1,VENTAS[[#This Row],[Total]]*10%,0)</f>
        <v>0</v>
      </c>
      <c r="K180" s="35">
        <f>IFERROR(VLOOKUP(VENTAS[[#This Row],[Código del producto Vendido]],STOCK[],16,FALSE)*VENTAS[[#This Row],[Cantidad]]+VLOOKUP(VENTAS[[#This Row],[Código del producto Vendido]],STOCK[],19,FALSE)*VENTAS[[#This Row],[Cantidad]],VENTAS[[#This Row],[Total]])</f>
        <v>10.0772727272727</v>
      </c>
      <c r="L180" s="35">
        <f>VENTAS[[#This Row],[Total]]-VENTAS[[#This Row],[Comisión 10%]]-VENTAS[[#This Row],[Costo SIN Comision]]</f>
        <v>3.92272727272727</v>
      </c>
      <c r="M180" s="35"/>
    </row>
    <row r="181" ht="20" customHeight="1" spans="1:13">
      <c r="A181" s="29">
        <v>45067</v>
      </c>
      <c r="B181" s="30"/>
      <c r="C181" s="30" t="s">
        <v>3339</v>
      </c>
      <c r="D181" s="30"/>
      <c r="E181" s="30" t="s">
        <v>1046</v>
      </c>
      <c r="F181" s="34" t="str">
        <f>IFERROR(VLOOKUP(VENTAS[[#This Row],[Código del producto Vendido]],STOCK[],5,FALSE),"-")</f>
        <v>Jeans Ajustados Claro</v>
      </c>
      <c r="G181" s="34">
        <v>1</v>
      </c>
      <c r="H181" s="35">
        <v>35</v>
      </c>
      <c r="I181" s="35">
        <f>VENTAS[[#This Row],[Cantidad]]*VENTAS[[#This Row],[Precio Venta]]</f>
        <v>35</v>
      </c>
      <c r="J181" s="35">
        <f>IF(VENTAS[[#This Row],[Nombre del Gestor]]&gt;1,VENTAS[[#This Row],[Total]]*10%,0)</f>
        <v>0</v>
      </c>
      <c r="K181" s="35">
        <f>IFERROR(VLOOKUP(VENTAS[[#This Row],[Código del producto Vendido]],STOCK[],16,FALSE)*VENTAS[[#This Row],[Cantidad]]+VLOOKUP(VENTAS[[#This Row],[Código del producto Vendido]],STOCK[],19,FALSE)*VENTAS[[#This Row],[Cantidad]],VENTAS[[#This Row],[Total]])</f>
        <v>25.8181818181818</v>
      </c>
      <c r="L181" s="35">
        <f>VENTAS[[#This Row],[Total]]-VENTAS[[#This Row],[Comisión 10%]]-VENTAS[[#This Row],[Costo SIN Comision]]</f>
        <v>9.1818181818182</v>
      </c>
      <c r="M181" s="35"/>
    </row>
    <row r="182" ht="20" customHeight="1" spans="1:13">
      <c r="A182" s="29">
        <v>45067</v>
      </c>
      <c r="B182" s="30"/>
      <c r="C182" s="30" t="s">
        <v>3339</v>
      </c>
      <c r="D182" s="30"/>
      <c r="E182" s="30" t="s">
        <v>771</v>
      </c>
      <c r="F182" s="34" t="str">
        <f>IFERROR(VLOOKUP(VENTAS[[#This Row],[Código del producto Vendido]],STOCK[],5,FALSE),"-")</f>
        <v>Sandalias prácticas</v>
      </c>
      <c r="G182" s="34">
        <v>1</v>
      </c>
      <c r="H182" s="35">
        <v>30</v>
      </c>
      <c r="I182" s="35">
        <f>VENTAS[[#This Row],[Cantidad]]*VENTAS[[#This Row],[Precio Venta]]</f>
        <v>30</v>
      </c>
      <c r="J182" s="35">
        <f>IF(VENTAS[[#This Row],[Nombre del Gestor]]&gt;1,VENTAS[[#This Row],[Total]]*10%,0)</f>
        <v>0</v>
      </c>
      <c r="K182" s="35">
        <f>IFERROR(VLOOKUP(VENTAS[[#This Row],[Código del producto Vendido]],STOCK[],16,FALSE)*VENTAS[[#This Row],[Cantidad]]+VLOOKUP(VENTAS[[#This Row],[Código del producto Vendido]],STOCK[],19,FALSE)*VENTAS[[#This Row],[Cantidad]],VENTAS[[#This Row],[Total]])</f>
        <v>23.2777777777778</v>
      </c>
      <c r="L182" s="35">
        <f>VENTAS[[#This Row],[Total]]-VENTAS[[#This Row],[Comisión 10%]]-VENTAS[[#This Row],[Costo SIN Comision]]</f>
        <v>6.7222222222222</v>
      </c>
      <c r="M182" s="35"/>
    </row>
    <row r="183" ht="20" customHeight="1" spans="1:13">
      <c r="A183" s="29">
        <v>45067</v>
      </c>
      <c r="B183" s="30"/>
      <c r="C183" s="30" t="s">
        <v>3340</v>
      </c>
      <c r="D183" s="30"/>
      <c r="E183" s="30" t="s">
        <v>190</v>
      </c>
      <c r="F183" s="34" t="str">
        <f>IFERROR(VLOOKUP(VENTAS[[#This Row],[Código del producto Vendido]],STOCK[],5,FALSE),"-")</f>
        <v>Pantalones de pierna ancha de talle alto con abertura</v>
      </c>
      <c r="G183" s="34">
        <v>1</v>
      </c>
      <c r="H183" s="35">
        <v>25</v>
      </c>
      <c r="I183" s="35">
        <f>VENTAS[[#This Row],[Cantidad]]*VENTAS[[#This Row],[Precio Venta]]</f>
        <v>25</v>
      </c>
      <c r="J183" s="35">
        <f>IF(VENTAS[[#This Row],[Nombre del Gestor]]&gt;1,VENTAS[[#This Row],[Total]]*10%,0)</f>
        <v>0</v>
      </c>
      <c r="K183" s="35">
        <f>IFERROR(VLOOKUP(VENTAS[[#This Row],[Código del producto Vendido]],STOCK[],16,FALSE)*VENTAS[[#This Row],[Cantidad]]+VLOOKUP(VENTAS[[#This Row],[Código del producto Vendido]],STOCK[],19,FALSE)*VENTAS[[#This Row],[Cantidad]],VENTAS[[#This Row],[Total]])</f>
        <v>13.0711111111111</v>
      </c>
      <c r="L183" s="35">
        <f>VENTAS[[#This Row],[Total]]-VENTAS[[#This Row],[Comisión 10%]]-VENTAS[[#This Row],[Costo SIN Comision]]</f>
        <v>11.9288888888889</v>
      </c>
      <c r="M183" s="35"/>
    </row>
    <row r="184" ht="20" customHeight="1" spans="1:13">
      <c r="A184" s="29">
        <v>45067</v>
      </c>
      <c r="B184" s="30"/>
      <c r="C184" s="30" t="s">
        <v>3340</v>
      </c>
      <c r="D184" s="30"/>
      <c r="E184" s="30" t="s">
        <v>1027</v>
      </c>
      <c r="F184" s="34" t="str">
        <f>IFERROR(VLOOKUP(VENTAS[[#This Row],[Código del producto Vendido]],STOCK[],5,FALSE),"-")</f>
        <v>Top Dreamer Blanco</v>
      </c>
      <c r="G184" s="34">
        <v>1</v>
      </c>
      <c r="H184" s="35">
        <v>12</v>
      </c>
      <c r="I184" s="35">
        <f>VENTAS[[#This Row],[Cantidad]]*VENTAS[[#This Row],[Precio Venta]]</f>
        <v>12</v>
      </c>
      <c r="J184" s="35">
        <f>IF(VENTAS[[#This Row],[Nombre del Gestor]]&gt;1,VENTAS[[#This Row],[Total]]*10%,0)</f>
        <v>0</v>
      </c>
      <c r="K184" s="35">
        <f>IFERROR(VLOOKUP(VENTAS[[#This Row],[Código del producto Vendido]],STOCK[],16,FALSE)*VENTAS[[#This Row],[Cantidad]]+VLOOKUP(VENTAS[[#This Row],[Código del producto Vendido]],STOCK[],19,FALSE)*VENTAS[[#This Row],[Cantidad]],VENTAS[[#This Row],[Total]])</f>
        <v>6.75909090909091</v>
      </c>
      <c r="L184" s="35">
        <f>VENTAS[[#This Row],[Total]]-VENTAS[[#This Row],[Comisión 10%]]-VENTAS[[#This Row],[Costo SIN Comision]]</f>
        <v>5.24090909090909</v>
      </c>
      <c r="M184" s="35"/>
    </row>
    <row r="185" ht="20" customHeight="1" spans="1:13">
      <c r="A185" s="29">
        <v>45067</v>
      </c>
      <c r="B185" s="30"/>
      <c r="C185" s="30" t="s">
        <v>3340</v>
      </c>
      <c r="D185" s="30"/>
      <c r="E185" s="30" t="s">
        <v>232</v>
      </c>
      <c r="F185" s="34" t="str">
        <f>IFERROR(VLOOKUP(VENTAS[[#This Row],[Código del producto Vendido]],STOCK[],5,FALSE),"-")</f>
        <v>Top estampado de cuello con cordón</v>
      </c>
      <c r="G185" s="34">
        <v>1</v>
      </c>
      <c r="H185" s="35">
        <v>12</v>
      </c>
      <c r="I185" s="35">
        <f>VENTAS[[#This Row],[Cantidad]]*VENTAS[[#This Row],[Precio Venta]]</f>
        <v>12</v>
      </c>
      <c r="J185" s="35">
        <f>IF(VENTAS[[#This Row],[Nombre del Gestor]]&gt;1,VENTAS[[#This Row],[Total]]*10%,0)</f>
        <v>0</v>
      </c>
      <c r="K185" s="35">
        <f>IFERROR(VLOOKUP(VENTAS[[#This Row],[Código del producto Vendido]],STOCK[],16,FALSE)*VENTAS[[#This Row],[Cantidad]]+VLOOKUP(VENTAS[[#This Row],[Código del producto Vendido]],STOCK[],19,FALSE)*VENTAS[[#This Row],[Cantidad]],VENTAS[[#This Row],[Total]])</f>
        <v>8.22222222222222</v>
      </c>
      <c r="L185" s="35">
        <f>VENTAS[[#This Row],[Total]]-VENTAS[[#This Row],[Comisión 10%]]-VENTAS[[#This Row],[Costo SIN Comision]]</f>
        <v>3.77777777777778</v>
      </c>
      <c r="M185" s="35"/>
    </row>
    <row r="186" ht="20" customHeight="1" spans="1:13">
      <c r="A186" s="29">
        <v>45067</v>
      </c>
      <c r="B186" s="30"/>
      <c r="C186" s="30" t="s">
        <v>3341</v>
      </c>
      <c r="D186" s="30"/>
      <c r="E186" s="30" t="s">
        <v>942</v>
      </c>
      <c r="F186" s="34" t="str">
        <f>IFERROR(VLOOKUP(VENTAS[[#This Row],[Código del producto Vendido]],STOCK[],5,FALSE),"-")</f>
        <v>Vestido Tropical</v>
      </c>
      <c r="G186" s="34">
        <v>1</v>
      </c>
      <c r="H186" s="35">
        <v>30</v>
      </c>
      <c r="I186" s="35">
        <f>VENTAS[[#This Row],[Cantidad]]*VENTAS[[#This Row],[Precio Venta]]</f>
        <v>30</v>
      </c>
      <c r="J186" s="35">
        <f>IF(VENTAS[[#This Row],[Nombre del Gestor]]&gt;1,VENTAS[[#This Row],[Total]]*10%,0)</f>
        <v>0</v>
      </c>
      <c r="K186" s="35">
        <f>IFERROR(VLOOKUP(VENTAS[[#This Row],[Código del producto Vendido]],STOCK[],16,FALSE)*VENTAS[[#This Row],[Cantidad]]+VLOOKUP(VENTAS[[#This Row],[Código del producto Vendido]],STOCK[],19,FALSE)*VENTAS[[#This Row],[Cantidad]],VENTAS[[#This Row],[Total]])</f>
        <v>19.0186363636364</v>
      </c>
      <c r="L186" s="35">
        <f>VENTAS[[#This Row],[Total]]-VENTAS[[#This Row],[Comisión 10%]]-VENTAS[[#This Row],[Costo SIN Comision]]</f>
        <v>10.9813636363636</v>
      </c>
      <c r="M186" s="35"/>
    </row>
    <row r="187" ht="20" customHeight="1" spans="1:13">
      <c r="A187" s="29">
        <v>45067</v>
      </c>
      <c r="B187" s="30"/>
      <c r="C187" s="30" t="s">
        <v>3341</v>
      </c>
      <c r="D187" s="30"/>
      <c r="E187" s="30" t="s">
        <v>79</v>
      </c>
      <c r="F187" s="34" t="str">
        <f>IFERROR(VLOOKUP(VENTAS[[#This Row],[Código del producto Vendido]],STOCK[],5,FALSE),"-")</f>
        <v>Pareo pantalón de malla</v>
      </c>
      <c r="G187" s="34">
        <v>1</v>
      </c>
      <c r="H187" s="35">
        <v>15</v>
      </c>
      <c r="I187" s="35">
        <f>VENTAS[[#This Row],[Cantidad]]*VENTAS[[#This Row],[Precio Venta]]</f>
        <v>15</v>
      </c>
      <c r="J187" s="35">
        <f>IF(VENTAS[[#This Row],[Nombre del Gestor]]&gt;1,VENTAS[[#This Row],[Total]]*10%,0)</f>
        <v>0</v>
      </c>
      <c r="K187" s="35">
        <f>IFERROR(VLOOKUP(VENTAS[[#This Row],[Código del producto Vendido]],STOCK[],16,FALSE)*VENTAS[[#This Row],[Cantidad]]+VLOOKUP(VENTAS[[#This Row],[Código del producto Vendido]],STOCK[],19,FALSE)*VENTAS[[#This Row],[Cantidad]],VENTAS[[#This Row],[Total]])</f>
        <v>9.95555555555556</v>
      </c>
      <c r="L187" s="35">
        <f>VENTAS[[#This Row],[Total]]-VENTAS[[#This Row],[Comisión 10%]]-VENTAS[[#This Row],[Costo SIN Comision]]</f>
        <v>5.04444444444444</v>
      </c>
      <c r="M187" s="35"/>
    </row>
    <row r="188" ht="20" customHeight="1" spans="1:13">
      <c r="A188" s="29">
        <v>45068</v>
      </c>
      <c r="B188" s="30"/>
      <c r="C188" s="30" t="s">
        <v>3342</v>
      </c>
      <c r="D188" s="30"/>
      <c r="E188" s="30" t="s">
        <v>165</v>
      </c>
      <c r="F188" s="34" t="str">
        <f>IFERROR(VLOOKUP(VENTAS[[#This Row],[Código del producto Vendido]],STOCK[],5,FALSE),"-")</f>
        <v>Vestido de manga farol con cordón delantero</v>
      </c>
      <c r="G188" s="34">
        <v>1</v>
      </c>
      <c r="H188" s="35">
        <v>25</v>
      </c>
      <c r="I188" s="35">
        <f>VENTAS[[#This Row],[Cantidad]]*VENTAS[[#This Row],[Precio Venta]]</f>
        <v>25</v>
      </c>
      <c r="J188" s="35">
        <f>IF(VENTAS[[#This Row],[Nombre del Gestor]]&gt;1,VENTAS[[#This Row],[Total]]*10%,0)</f>
        <v>0</v>
      </c>
      <c r="K188" s="35">
        <f>IFERROR(VLOOKUP(VENTAS[[#This Row],[Código del producto Vendido]],STOCK[],16,FALSE)*VENTAS[[#This Row],[Cantidad]]+VLOOKUP(VENTAS[[#This Row],[Código del producto Vendido]],STOCK[],19,FALSE)*VENTAS[[#This Row],[Cantidad]],VENTAS[[#This Row],[Total]])</f>
        <v>17.3222222222222</v>
      </c>
      <c r="L188" s="35">
        <f>VENTAS[[#This Row],[Total]]-VENTAS[[#This Row],[Comisión 10%]]-VENTAS[[#This Row],[Costo SIN Comision]]</f>
        <v>7.6777777777778</v>
      </c>
      <c r="M188" s="35"/>
    </row>
    <row r="189" ht="20" customHeight="1" spans="1:13">
      <c r="A189" s="29">
        <v>45068</v>
      </c>
      <c r="B189" s="30"/>
      <c r="C189" s="30" t="s">
        <v>3342</v>
      </c>
      <c r="D189" s="30"/>
      <c r="E189" s="30" t="s">
        <v>242</v>
      </c>
      <c r="F189" s="34" t="str">
        <f>IFERROR(VLOOKUP(VENTAS[[#This Row],[Código del producto Vendido]],STOCK[],5,FALSE),"-")</f>
        <v>Vestido de cuello cuadrado de espalda abierta</v>
      </c>
      <c r="G189" s="34">
        <v>1</v>
      </c>
      <c r="H189" s="35">
        <v>20</v>
      </c>
      <c r="I189" s="35">
        <f>VENTAS[[#This Row],[Cantidad]]*VENTAS[[#This Row],[Precio Venta]]</f>
        <v>20</v>
      </c>
      <c r="J189" s="35">
        <f>IF(VENTAS[[#This Row],[Nombre del Gestor]]&gt;1,VENTAS[[#This Row],[Total]]*10%,0)</f>
        <v>0</v>
      </c>
      <c r="K189" s="35">
        <f>IFERROR(VLOOKUP(VENTAS[[#This Row],[Código del producto Vendido]],STOCK[],16,FALSE)*VENTAS[[#This Row],[Cantidad]]+VLOOKUP(VENTAS[[#This Row],[Código del producto Vendido]],STOCK[],19,FALSE)*VENTAS[[#This Row],[Cantidad]],VENTAS[[#This Row],[Total]])</f>
        <v>11.7955555555556</v>
      </c>
      <c r="L189" s="35">
        <f>VENTAS[[#This Row],[Total]]-VENTAS[[#This Row],[Comisión 10%]]-VENTAS[[#This Row],[Costo SIN Comision]]</f>
        <v>8.2044444444444</v>
      </c>
      <c r="M189" s="35"/>
    </row>
    <row r="190" ht="20" customHeight="1" spans="1:13">
      <c r="A190" s="29">
        <v>45068</v>
      </c>
      <c r="B190" s="30"/>
      <c r="C190" s="30" t="s">
        <v>3323</v>
      </c>
      <c r="D190" s="30"/>
      <c r="E190" s="30" t="s">
        <v>199</v>
      </c>
      <c r="F190" s="34" t="str">
        <f>IFERROR(VLOOKUP(VENTAS[[#This Row],[Código del producto Vendido]],STOCK[],5,FALSE),"-")</f>
        <v>Vestido ajustado de tirantes</v>
      </c>
      <c r="G190" s="34">
        <v>1</v>
      </c>
      <c r="H190" s="35">
        <v>18</v>
      </c>
      <c r="I190" s="35">
        <f>VENTAS[[#This Row],[Cantidad]]*VENTAS[[#This Row],[Precio Venta]]</f>
        <v>18</v>
      </c>
      <c r="J190" s="35">
        <f>IF(VENTAS[[#This Row],[Nombre del Gestor]]&gt;1,VENTAS[[#This Row],[Total]]*10%,0)</f>
        <v>0</v>
      </c>
      <c r="K190" s="35">
        <f>IFERROR(VLOOKUP(VENTAS[[#This Row],[Código del producto Vendido]],STOCK[],16,FALSE)*VENTAS[[#This Row],[Cantidad]]+VLOOKUP(VENTAS[[#This Row],[Código del producto Vendido]],STOCK[],19,FALSE)*VENTAS[[#This Row],[Cantidad]],VENTAS[[#This Row],[Total]])</f>
        <v>7.70666666666667</v>
      </c>
      <c r="L190" s="35">
        <f>VENTAS[[#This Row],[Total]]-VENTAS[[#This Row],[Comisión 10%]]-VENTAS[[#This Row],[Costo SIN Comision]]</f>
        <v>10.2933333333333</v>
      </c>
      <c r="M190" s="35"/>
    </row>
    <row r="191" ht="20" customHeight="1" spans="1:13">
      <c r="A191" s="29">
        <v>45059</v>
      </c>
      <c r="B191" s="30"/>
      <c r="C191" s="30" t="s">
        <v>3343</v>
      </c>
      <c r="D191" s="30"/>
      <c r="E191" s="30" t="s">
        <v>641</v>
      </c>
      <c r="F191" s="34" t="str">
        <f>IFERROR(VLOOKUP(VENTAS[[#This Row],[Código del producto Vendido]],STOCK[],5,FALSE),"-")</f>
        <v>Vestido con estampado floral</v>
      </c>
      <c r="G191" s="34">
        <v>1</v>
      </c>
      <c r="H191" s="35">
        <v>15</v>
      </c>
      <c r="I191" s="35">
        <f>VENTAS[[#This Row],[Cantidad]]*VENTAS[[#This Row],[Precio Venta]]</f>
        <v>15</v>
      </c>
      <c r="J191" s="35">
        <f>IF(VENTAS[[#This Row],[Nombre del Gestor]]&gt;1,VENTAS[[#This Row],[Total]]*10%,0)</f>
        <v>0</v>
      </c>
      <c r="K191" s="35">
        <f>IFERROR(VLOOKUP(VENTAS[[#This Row],[Código del producto Vendido]],STOCK[],16,FALSE)*VENTAS[[#This Row],[Cantidad]]+VLOOKUP(VENTAS[[#This Row],[Código del producto Vendido]],STOCK[],19,FALSE)*VENTAS[[#This Row],[Cantidad]],VENTAS[[#This Row],[Total]])</f>
        <v>10.7222222222222</v>
      </c>
      <c r="L191" s="35">
        <f>VENTAS[[#This Row],[Total]]-VENTAS[[#This Row],[Comisión 10%]]-VENTAS[[#This Row],[Costo SIN Comision]]</f>
        <v>4.27777777777778</v>
      </c>
      <c r="M191" s="35"/>
    </row>
    <row r="192" ht="20" customHeight="1" spans="1:13">
      <c r="A192" s="29">
        <v>45059</v>
      </c>
      <c r="B192" s="30"/>
      <c r="C192" s="30" t="s">
        <v>3343</v>
      </c>
      <c r="D192" s="30"/>
      <c r="E192" s="30" t="s">
        <v>634</v>
      </c>
      <c r="F192" s="34" t="str">
        <f>IFERROR(VLOOKUP(VENTAS[[#This Row],[Código del producto Vendido]],STOCK[],5,FALSE),"-")</f>
        <v>Vestido floral escote corazón</v>
      </c>
      <c r="G192" s="34">
        <v>1</v>
      </c>
      <c r="H192" s="35">
        <v>15</v>
      </c>
      <c r="I192" s="35">
        <f>VENTAS[[#This Row],[Cantidad]]*VENTAS[[#This Row],[Precio Venta]]</f>
        <v>15</v>
      </c>
      <c r="J192" s="35">
        <f>IF(VENTAS[[#This Row],[Nombre del Gestor]]&gt;1,VENTAS[[#This Row],[Total]]*10%,0)</f>
        <v>0</v>
      </c>
      <c r="K192" s="35">
        <f>IFERROR(VLOOKUP(VENTAS[[#This Row],[Código del producto Vendido]],STOCK[],16,FALSE)*VENTAS[[#This Row],[Cantidad]]+VLOOKUP(VENTAS[[#This Row],[Código del producto Vendido]],STOCK[],19,FALSE)*VENTAS[[#This Row],[Cantidad]],VENTAS[[#This Row],[Total]])</f>
        <v>10.7222222222222</v>
      </c>
      <c r="L192" s="35">
        <f>VENTAS[[#This Row],[Total]]-VENTAS[[#This Row],[Comisión 10%]]-VENTAS[[#This Row],[Costo SIN Comision]]</f>
        <v>4.27777777777778</v>
      </c>
      <c r="M192" s="35"/>
    </row>
    <row r="193" ht="20" customHeight="1" spans="1:13">
      <c r="A193" s="29"/>
      <c r="B193" s="30"/>
      <c r="C193" s="30" t="s">
        <v>3344</v>
      </c>
      <c r="D193" s="30"/>
      <c r="E193" s="30" t="s">
        <v>908</v>
      </c>
      <c r="F193" s="34" t="str">
        <f>IFERROR(VLOOKUP(VENTAS[[#This Row],[Código del producto Vendido]],STOCK[],5,FALSE),"-")</f>
        <v>Bañador Surf</v>
      </c>
      <c r="G193" s="34">
        <v>1</v>
      </c>
      <c r="H193" s="35">
        <v>25</v>
      </c>
      <c r="I193" s="35">
        <f>VENTAS[[#This Row],[Cantidad]]*VENTAS[[#This Row],[Precio Venta]]</f>
        <v>25</v>
      </c>
      <c r="J193" s="35">
        <f>IF(VENTAS[[#This Row],[Nombre del Gestor]]&gt;1,VENTAS[[#This Row],[Total]]*10%,0)</f>
        <v>0</v>
      </c>
      <c r="K193" s="35">
        <f>IFERROR(VLOOKUP(VENTAS[[#This Row],[Código del producto Vendido]],STOCK[],16,FALSE)*VENTAS[[#This Row],[Cantidad]]+VLOOKUP(VENTAS[[#This Row],[Código del producto Vendido]],STOCK[],19,FALSE)*VENTAS[[#This Row],[Cantidad]],VENTAS[[#This Row],[Total]])</f>
        <v>15.0454545454545</v>
      </c>
      <c r="L193" s="35">
        <f>VENTAS[[#This Row],[Total]]-VENTAS[[#This Row],[Comisión 10%]]-VENTAS[[#This Row],[Costo SIN Comision]]</f>
        <v>9.9545454545455</v>
      </c>
      <c r="M193" s="35"/>
    </row>
    <row r="194" ht="20" customHeight="1" spans="1:13">
      <c r="A194" s="29"/>
      <c r="B194" s="30" t="s">
        <v>3345</v>
      </c>
      <c r="C194" s="46" t="s">
        <v>3346</v>
      </c>
      <c r="D194" s="46"/>
      <c r="E194" s="30" t="s">
        <v>923</v>
      </c>
      <c r="F194" s="34" t="str">
        <f>IFERROR(VLOOKUP(VENTAS[[#This Row],[Código del producto Vendido]],STOCK[],5,FALSE),"-")</f>
        <v>Pantaloneta Roja</v>
      </c>
      <c r="G194" s="34">
        <v>1</v>
      </c>
      <c r="H194" s="35">
        <v>15</v>
      </c>
      <c r="I194" s="35">
        <f>VENTAS[[#This Row],[Cantidad]]*VENTAS[[#This Row],[Precio Venta]]</f>
        <v>15</v>
      </c>
      <c r="J194" s="35">
        <f>IF(VENTAS[[#This Row],[Nombre del Gestor]]&gt;1,VENTAS[[#This Row],[Total]]*10%,0)</f>
        <v>0</v>
      </c>
      <c r="K194" s="35">
        <f>IFERROR(VLOOKUP(VENTAS[[#This Row],[Código del producto Vendido]],STOCK[],16,FALSE)*VENTAS[[#This Row],[Cantidad]]+VLOOKUP(VENTAS[[#This Row],[Código del producto Vendido]],STOCK[],19,FALSE)*VENTAS[[#This Row],[Cantidad]],VENTAS[[#This Row],[Total]])</f>
        <v>11.6095454545454</v>
      </c>
      <c r="L194" s="35">
        <f>VENTAS[[#This Row],[Total]]-VENTAS[[#This Row],[Comisión 10%]]-VENTAS[[#This Row],[Costo SIN Comision]]</f>
        <v>3.39045454545455</v>
      </c>
      <c r="M194" s="35"/>
    </row>
    <row r="195" ht="20" customHeight="1" spans="1:13">
      <c r="A195" s="29">
        <v>45059</v>
      </c>
      <c r="B195" s="30"/>
      <c r="C195" s="30"/>
      <c r="D195" s="30"/>
      <c r="E195" s="30" t="s">
        <v>1041</v>
      </c>
      <c r="F195" s="34" t="str">
        <f>IFERROR(VLOOKUP(VENTAS[[#This Row],[Código del producto Vendido]],STOCK[],5,FALSE),"-")</f>
        <v>Jeans Elastizados Pierna Ancha</v>
      </c>
      <c r="G195" s="34">
        <v>1</v>
      </c>
      <c r="H195" s="35">
        <v>35</v>
      </c>
      <c r="I195" s="35">
        <f>VENTAS[[#This Row],[Cantidad]]*VENTAS[[#This Row],[Precio Venta]]</f>
        <v>35</v>
      </c>
      <c r="J195" s="35">
        <f>IF(VENTAS[[#This Row],[Nombre del Gestor]]&gt;1,VENTAS[[#This Row],[Total]]*10%,0)</f>
        <v>0</v>
      </c>
      <c r="K195" s="35">
        <f>IFERROR(VLOOKUP(VENTAS[[#This Row],[Código del producto Vendido]],STOCK[],16,FALSE)*VENTAS[[#This Row],[Cantidad]]+VLOOKUP(VENTAS[[#This Row],[Código del producto Vendido]],STOCK[],19,FALSE)*VENTAS[[#This Row],[Cantidad]],VENTAS[[#This Row],[Total]])</f>
        <v>27.5227272727273</v>
      </c>
      <c r="L195" s="35">
        <f>VENTAS[[#This Row],[Total]]-VENTAS[[#This Row],[Comisión 10%]]-VENTAS[[#This Row],[Costo SIN Comision]]</f>
        <v>7.4772727272727</v>
      </c>
      <c r="M195" s="35"/>
    </row>
    <row r="196" ht="20" customHeight="1" spans="1:13">
      <c r="A196" s="29">
        <v>45070</v>
      </c>
      <c r="B196" s="30"/>
      <c r="C196" s="30"/>
      <c r="D196" s="30"/>
      <c r="E196" s="30" t="s">
        <v>436</v>
      </c>
      <c r="F196" s="34" t="str">
        <f>IFERROR(VLOOKUP(VENTAS[[#This Row],[Código del producto Vendido]],STOCK[],5,FALSE),"-")</f>
        <v>Bañador bikini floral</v>
      </c>
      <c r="G196" s="34">
        <v>1</v>
      </c>
      <c r="H196" s="35">
        <v>25</v>
      </c>
      <c r="I196" s="35">
        <f>VENTAS[[#This Row],[Cantidad]]*VENTAS[[#This Row],[Precio Venta]]</f>
        <v>25</v>
      </c>
      <c r="J196" s="35">
        <f>IF(VENTAS[[#This Row],[Nombre del Gestor]]&gt;1,VENTAS[[#This Row],[Total]]*10%,0)</f>
        <v>0</v>
      </c>
      <c r="K196" s="35">
        <f>IFERROR(VLOOKUP(VENTAS[[#This Row],[Código del producto Vendido]],STOCK[],16,FALSE)*VENTAS[[#This Row],[Cantidad]]+VLOOKUP(VENTAS[[#This Row],[Código del producto Vendido]],STOCK[],19,FALSE)*VENTAS[[#This Row],[Cantidad]],VENTAS[[#This Row],[Total]])</f>
        <v>16.6044444444444</v>
      </c>
      <c r="L196" s="35">
        <f>VENTAS[[#This Row],[Total]]-VENTAS[[#This Row],[Comisión 10%]]-VENTAS[[#This Row],[Costo SIN Comision]]</f>
        <v>8.3955555555556</v>
      </c>
      <c r="M196" s="35"/>
    </row>
    <row r="197" ht="20" customHeight="1" spans="1:13">
      <c r="A197" s="29">
        <v>45070</v>
      </c>
      <c r="B197" s="30"/>
      <c r="C197" s="30"/>
      <c r="D197" s="30"/>
      <c r="E197" s="30" t="s">
        <v>429</v>
      </c>
      <c r="F197" s="34" t="str">
        <f>IFERROR(VLOOKUP(VENTAS[[#This Row],[Código del producto Vendido]],STOCK[],5,FALSE),"-")</f>
        <v>Vestido con cordón de espalda cruzada</v>
      </c>
      <c r="G197" s="34">
        <v>1</v>
      </c>
      <c r="H197" s="35">
        <v>28</v>
      </c>
      <c r="I197" s="35">
        <f>VENTAS[[#This Row],[Cantidad]]*VENTAS[[#This Row],[Precio Venta]]</f>
        <v>28</v>
      </c>
      <c r="J197" s="35">
        <f>IF(VENTAS[[#This Row],[Nombre del Gestor]]&gt;1,VENTAS[[#This Row],[Total]]*10%,0)</f>
        <v>0</v>
      </c>
      <c r="K197" s="35">
        <f>IFERROR(VLOOKUP(VENTAS[[#This Row],[Código del producto Vendido]],STOCK[],16,FALSE)*VENTAS[[#This Row],[Cantidad]]+VLOOKUP(VENTAS[[#This Row],[Código del producto Vendido]],STOCK[],19,FALSE)*VENTAS[[#This Row],[Cantidad]],VENTAS[[#This Row],[Total]])</f>
        <v>15.9077777777778</v>
      </c>
      <c r="L197" s="35">
        <f>VENTAS[[#This Row],[Total]]-VENTAS[[#This Row],[Comisión 10%]]-VENTAS[[#This Row],[Costo SIN Comision]]</f>
        <v>12.0922222222222</v>
      </c>
      <c r="M197" s="35"/>
    </row>
    <row r="198" ht="20" customHeight="1" spans="1:13">
      <c r="A198" s="29">
        <v>45071</v>
      </c>
      <c r="B198" s="30"/>
      <c r="C198" s="30" t="s">
        <v>3347</v>
      </c>
      <c r="D198" s="30"/>
      <c r="E198" s="30" t="s">
        <v>1064</v>
      </c>
      <c r="F198" s="34" t="str">
        <f>IFERROR(VLOOKUP(VENTAS[[#This Row],[Código del producto Vendido]],STOCK[],5,FALSE),"-")</f>
        <v>Pantalones ajustados con cadena</v>
      </c>
      <c r="G198" s="34">
        <v>2</v>
      </c>
      <c r="H198" s="35">
        <v>18</v>
      </c>
      <c r="I198" s="35">
        <f>VENTAS[[#This Row],[Cantidad]]*VENTAS[[#This Row],[Precio Venta]]</f>
        <v>36</v>
      </c>
      <c r="J198" s="35">
        <f>IF(VENTAS[[#This Row],[Nombre del Gestor]]&gt;1,VENTAS[[#This Row],[Total]]*10%,0)</f>
        <v>0</v>
      </c>
      <c r="K198" s="35">
        <f>IFERROR(VLOOKUP(VENTAS[[#This Row],[Código del producto Vendido]],STOCK[],16,FALSE)*VENTAS[[#This Row],[Cantidad]]+VLOOKUP(VENTAS[[#This Row],[Código del producto Vendido]],STOCK[],19,FALSE)*VENTAS[[#This Row],[Cantidad]],VENTAS[[#This Row],[Total]])</f>
        <v>27.2867647058824</v>
      </c>
      <c r="L198" s="35">
        <f>VENTAS[[#This Row],[Total]]-VENTAS[[#This Row],[Comisión 10%]]-VENTAS[[#This Row],[Costo SIN Comision]]</f>
        <v>8.71323529411764</v>
      </c>
      <c r="M198" s="35"/>
    </row>
    <row r="199" ht="20" customHeight="1" spans="1:13">
      <c r="A199" s="29">
        <v>45071</v>
      </c>
      <c r="B199" s="30"/>
      <c r="C199" s="30" t="s">
        <v>3347</v>
      </c>
      <c r="D199" s="30"/>
      <c r="E199" s="30" t="s">
        <v>1066</v>
      </c>
      <c r="F199" s="34" t="str">
        <f>IFERROR(VLOOKUP(VENTAS[[#This Row],[Código del producto Vendido]],STOCK[],5,FALSE),"-")</f>
        <v>Pantalones ajustados con cadena</v>
      </c>
      <c r="G199" s="34">
        <v>2</v>
      </c>
      <c r="H199" s="35">
        <v>18</v>
      </c>
      <c r="I199" s="35">
        <f>VENTAS[[#This Row],[Cantidad]]*VENTAS[[#This Row],[Precio Venta]]</f>
        <v>36</v>
      </c>
      <c r="J199" s="35">
        <f>IF(VENTAS[[#This Row],[Nombre del Gestor]]&gt;1,VENTAS[[#This Row],[Total]]*10%,0)</f>
        <v>0</v>
      </c>
      <c r="K199" s="35">
        <f>IFERROR(VLOOKUP(VENTAS[[#This Row],[Código del producto Vendido]],STOCK[],16,FALSE)*VENTAS[[#This Row],[Cantidad]]+VLOOKUP(VENTAS[[#This Row],[Código del producto Vendido]],STOCK[],19,FALSE)*VENTAS[[#This Row],[Cantidad]],VENTAS[[#This Row],[Total]])</f>
        <v>27.2867647058824</v>
      </c>
      <c r="L199" s="35">
        <f>VENTAS[[#This Row],[Total]]-VENTAS[[#This Row],[Comisión 10%]]-VENTAS[[#This Row],[Costo SIN Comision]]</f>
        <v>8.71323529411764</v>
      </c>
      <c r="M199" s="35"/>
    </row>
    <row r="200" ht="20" customHeight="1" spans="1:13">
      <c r="A200" s="29">
        <v>45071</v>
      </c>
      <c r="B200" s="30"/>
      <c r="C200" s="30" t="s">
        <v>3347</v>
      </c>
      <c r="D200" s="30"/>
      <c r="E200" s="30" t="s">
        <v>1067</v>
      </c>
      <c r="F200" s="34" t="str">
        <f>IFERROR(VLOOKUP(VENTAS[[#This Row],[Código del producto Vendido]],STOCK[],5,FALSE),"-")</f>
        <v>Blusa camisa colores</v>
      </c>
      <c r="G200" s="34">
        <v>2</v>
      </c>
      <c r="H200" s="35">
        <v>16</v>
      </c>
      <c r="I200" s="35">
        <f>VENTAS[[#This Row],[Cantidad]]*VENTAS[[#This Row],[Precio Venta]]</f>
        <v>32</v>
      </c>
      <c r="J200" s="35">
        <f>IF(VENTAS[[#This Row],[Nombre del Gestor]]&gt;1,VENTAS[[#This Row],[Total]]*10%,0)</f>
        <v>0</v>
      </c>
      <c r="K200" s="35">
        <f>IFERROR(VLOOKUP(VENTAS[[#This Row],[Código del producto Vendido]],STOCK[],16,FALSE)*VENTAS[[#This Row],[Cantidad]]+VLOOKUP(VENTAS[[#This Row],[Código del producto Vendido]],STOCK[],19,FALSE)*VENTAS[[#This Row],[Cantidad]],VENTAS[[#This Row],[Total]])</f>
        <v>25.0176470588236</v>
      </c>
      <c r="L200" s="35">
        <f>VENTAS[[#This Row],[Total]]-VENTAS[[#This Row],[Comisión 10%]]-VENTAS[[#This Row],[Costo SIN Comision]]</f>
        <v>6.9823529411764</v>
      </c>
      <c r="M200" s="35"/>
    </row>
    <row r="201" ht="20" customHeight="1" spans="1:13">
      <c r="A201" s="29">
        <v>45071</v>
      </c>
      <c r="B201" s="30"/>
      <c r="C201" s="30" t="s">
        <v>3347</v>
      </c>
      <c r="D201" s="30"/>
      <c r="E201" s="30" t="s">
        <v>1069</v>
      </c>
      <c r="F201" s="34" t="str">
        <f>IFERROR(VLOOKUP(VENTAS[[#This Row],[Código del producto Vendido]],STOCK[],5,FALSE),"-")</f>
        <v>Blusa camisa colores</v>
      </c>
      <c r="G201" s="34">
        <v>2</v>
      </c>
      <c r="H201" s="35">
        <v>16</v>
      </c>
      <c r="I201" s="35">
        <f>VENTAS[[#This Row],[Cantidad]]*VENTAS[[#This Row],[Precio Venta]]</f>
        <v>32</v>
      </c>
      <c r="J201" s="35">
        <f>IF(VENTAS[[#This Row],[Nombre del Gestor]]&gt;1,VENTAS[[#This Row],[Total]]*10%,0)</f>
        <v>0</v>
      </c>
      <c r="K201" s="35">
        <f>IFERROR(VLOOKUP(VENTAS[[#This Row],[Código del producto Vendido]],STOCK[],16,FALSE)*VENTAS[[#This Row],[Cantidad]]+VLOOKUP(VENTAS[[#This Row],[Código del producto Vendido]],STOCK[],19,FALSE)*VENTAS[[#This Row],[Cantidad]],VENTAS[[#This Row],[Total]])</f>
        <v>25.0176470588236</v>
      </c>
      <c r="L201" s="35">
        <f>VENTAS[[#This Row],[Total]]-VENTAS[[#This Row],[Comisión 10%]]-VENTAS[[#This Row],[Costo SIN Comision]]</f>
        <v>6.9823529411764</v>
      </c>
      <c r="M201" s="35"/>
    </row>
    <row r="202" ht="20" customHeight="1" spans="1:13">
      <c r="A202" s="29">
        <v>45071</v>
      </c>
      <c r="B202" s="30"/>
      <c r="C202" s="30" t="s">
        <v>3344</v>
      </c>
      <c r="D202" s="30"/>
      <c r="E202" s="30" t="s">
        <v>1070</v>
      </c>
      <c r="F202" s="34" t="str">
        <f>IFERROR(VLOOKUP(VENTAS[[#This Row],[Código del producto Vendido]],STOCK[],5,FALSE),"-")</f>
        <v>Trusa Leopardo</v>
      </c>
      <c r="G202" s="34">
        <v>1</v>
      </c>
      <c r="H202" s="35">
        <v>25</v>
      </c>
      <c r="I202" s="35">
        <f>VENTAS[[#This Row],[Cantidad]]*VENTAS[[#This Row],[Precio Venta]]</f>
        <v>25</v>
      </c>
      <c r="J202" s="35">
        <f>IF(VENTAS[[#This Row],[Nombre del Gestor]]&gt;1,VENTAS[[#This Row],[Total]]*10%,0)</f>
        <v>0</v>
      </c>
      <c r="K202" s="35">
        <f>IFERROR(VLOOKUP(VENTAS[[#This Row],[Código del producto Vendido]],STOCK[],16,FALSE)*VENTAS[[#This Row],[Cantidad]]+VLOOKUP(VENTAS[[#This Row],[Código del producto Vendido]],STOCK[],19,FALSE)*VENTAS[[#This Row],[Cantidad]],VENTAS[[#This Row],[Total]])</f>
        <v>20.1382352941176</v>
      </c>
      <c r="L202" s="35">
        <f>VENTAS[[#This Row],[Total]]-VENTAS[[#This Row],[Comisión 10%]]-VENTAS[[#This Row],[Costo SIN Comision]]</f>
        <v>4.8617647058824</v>
      </c>
      <c r="M202" s="35"/>
    </row>
    <row r="203" ht="20" customHeight="1" spans="1:13">
      <c r="A203" s="29">
        <v>45071</v>
      </c>
      <c r="B203" s="30"/>
      <c r="C203" s="30" t="s">
        <v>3348</v>
      </c>
      <c r="D203" s="30"/>
      <c r="E203" s="30" t="s">
        <v>1078</v>
      </c>
      <c r="F203" s="34" t="str">
        <f>IFERROR(VLOOKUP(VENTAS[[#This Row],[Código del producto Vendido]],STOCK[],5,FALSE),"-")</f>
        <v>Vestido floreado a un hombro</v>
      </c>
      <c r="G203" s="34">
        <v>1</v>
      </c>
      <c r="H203" s="35">
        <v>35</v>
      </c>
      <c r="I203" s="35">
        <f>VENTAS[[#This Row],[Cantidad]]*VENTAS[[#This Row],[Precio Venta]]</f>
        <v>35</v>
      </c>
      <c r="J203" s="35">
        <f>IF(VENTAS[[#This Row],[Nombre del Gestor]]&gt;1,VENTAS[[#This Row],[Total]]*10%,0)</f>
        <v>0</v>
      </c>
      <c r="K203" s="35">
        <f>IFERROR(VLOOKUP(VENTAS[[#This Row],[Código del producto Vendido]],STOCK[],16,FALSE)*VENTAS[[#This Row],[Cantidad]]+VLOOKUP(VENTAS[[#This Row],[Código del producto Vendido]],STOCK[],19,FALSE)*VENTAS[[#This Row],[Cantidad]],VENTAS[[#This Row],[Total]])</f>
        <v>22.3889705882353</v>
      </c>
      <c r="L203" s="35">
        <f>VENTAS[[#This Row],[Total]]-VENTAS[[#This Row],[Comisión 10%]]-VENTAS[[#This Row],[Costo SIN Comision]]</f>
        <v>12.6110294117647</v>
      </c>
      <c r="M203" s="35"/>
    </row>
    <row r="204" ht="20" customHeight="1" spans="1:13">
      <c r="A204" s="29">
        <v>45071</v>
      </c>
      <c r="B204" s="30"/>
      <c r="C204" s="30" t="s">
        <v>3349</v>
      </c>
      <c r="D204" s="30"/>
      <c r="E204" s="30" t="s">
        <v>1072</v>
      </c>
      <c r="F204" s="34" t="str">
        <f>IFERROR(VLOOKUP(VENTAS[[#This Row],[Código del producto Vendido]],STOCK[],5,FALSE),"-")</f>
        <v>Malla paredo set 2 piezas</v>
      </c>
      <c r="G204" s="34">
        <v>1</v>
      </c>
      <c r="H204" s="35">
        <v>22</v>
      </c>
      <c r="I204" s="35">
        <f>VENTAS[[#This Row],[Cantidad]]*VENTAS[[#This Row],[Precio Venta]]</f>
        <v>22</v>
      </c>
      <c r="J204" s="35">
        <f>IF(VENTAS[[#This Row],[Nombre del Gestor]]&gt;1,VENTAS[[#This Row],[Total]]*10%,0)</f>
        <v>0</v>
      </c>
      <c r="K204" s="35">
        <f>IFERROR(VLOOKUP(VENTAS[[#This Row],[Código del producto Vendido]],STOCK[],16,FALSE)*VENTAS[[#This Row],[Cantidad]]+VLOOKUP(VENTAS[[#This Row],[Código del producto Vendido]],STOCK[],19,FALSE)*VENTAS[[#This Row],[Cantidad]],VENTAS[[#This Row],[Total]])</f>
        <v>13.6823529411765</v>
      </c>
      <c r="L204" s="35">
        <f>VENTAS[[#This Row],[Total]]-VENTAS[[#This Row],[Comisión 10%]]-VENTAS[[#This Row],[Costo SIN Comision]]</f>
        <v>8.3176470588235</v>
      </c>
      <c r="M204" s="35"/>
    </row>
    <row r="205" ht="20" customHeight="1" spans="1:13">
      <c r="A205" s="29">
        <v>45071</v>
      </c>
      <c r="B205" s="30"/>
      <c r="C205" s="30" t="s">
        <v>3350</v>
      </c>
      <c r="D205" s="30"/>
      <c r="E205" s="30" t="s">
        <v>1075</v>
      </c>
      <c r="F205" s="34" t="str">
        <f>IFERROR(VLOOKUP(VENTAS[[#This Row],[Código del producto Vendido]],STOCK[],5,FALSE),"-")</f>
        <v>Traje de baño niña</v>
      </c>
      <c r="G205" s="34">
        <v>1</v>
      </c>
      <c r="H205" s="35">
        <v>25</v>
      </c>
      <c r="I205" s="35">
        <f>VENTAS[[#This Row],[Cantidad]]*VENTAS[[#This Row],[Precio Venta]]</f>
        <v>25</v>
      </c>
      <c r="J205" s="35">
        <f>IF(VENTAS[[#This Row],[Nombre del Gestor]]&gt;1,VENTAS[[#This Row],[Total]]*10%,0)</f>
        <v>0</v>
      </c>
      <c r="K205" s="35">
        <f>IFERROR(VLOOKUP(VENTAS[[#This Row],[Código del producto Vendido]],STOCK[],16,FALSE)*VENTAS[[#This Row],[Cantidad]]+VLOOKUP(VENTAS[[#This Row],[Código del producto Vendido]],STOCK[],19,FALSE)*VENTAS[[#This Row],[Cantidad]],VENTAS[[#This Row],[Total]])</f>
        <v>22.0507352941176</v>
      </c>
      <c r="L205" s="35">
        <f>VENTAS[[#This Row],[Total]]-VENTAS[[#This Row],[Comisión 10%]]-VENTAS[[#This Row],[Costo SIN Comision]]</f>
        <v>2.9492647058824</v>
      </c>
      <c r="M205" s="35"/>
    </row>
    <row r="206" ht="20" customHeight="1" spans="1:13">
      <c r="A206" s="29">
        <v>45071</v>
      </c>
      <c r="B206" s="30"/>
      <c r="C206" s="30" t="s">
        <v>3349</v>
      </c>
      <c r="D206" s="30"/>
      <c r="E206" s="30" t="s">
        <v>286</v>
      </c>
      <c r="F206" s="34" t="str">
        <f>IFERROR(VLOOKUP(VENTAS[[#This Row],[Código del producto Vendido]],STOCK[],5,FALSE),"-")</f>
        <v>Conjunto de cuello profundo con girante delantero con falda</v>
      </c>
      <c r="G206" s="34">
        <v>1</v>
      </c>
      <c r="H206" s="35">
        <v>25</v>
      </c>
      <c r="I206" s="35">
        <f>VENTAS[[#This Row],[Cantidad]]*VENTAS[[#This Row],[Precio Venta]]</f>
        <v>25</v>
      </c>
      <c r="J206" s="35">
        <f>IF(VENTAS[[#This Row],[Nombre del Gestor]]&gt;1,VENTAS[[#This Row],[Total]]*10%,0)</f>
        <v>0</v>
      </c>
      <c r="K206" s="35">
        <f>IFERROR(VLOOKUP(VENTAS[[#This Row],[Código del producto Vendido]],STOCK[],16,FALSE)*VENTAS[[#This Row],[Cantidad]]+VLOOKUP(VENTAS[[#This Row],[Código del producto Vendido]],STOCK[],19,FALSE)*VENTAS[[#This Row],[Cantidad]],VENTAS[[#This Row],[Total]])</f>
        <v>13.0733333333333</v>
      </c>
      <c r="L206" s="35">
        <f>VENTAS[[#This Row],[Total]]-VENTAS[[#This Row],[Comisión 10%]]-VENTAS[[#This Row],[Costo SIN Comision]]</f>
        <v>11.9266666666667</v>
      </c>
      <c r="M206" s="35"/>
    </row>
    <row r="207" ht="20" customHeight="1" spans="1:13">
      <c r="A207" s="29">
        <v>45071</v>
      </c>
      <c r="B207" s="30"/>
      <c r="C207" s="30" t="s">
        <v>3349</v>
      </c>
      <c r="D207" s="30"/>
      <c r="E207" s="30" t="s">
        <v>68</v>
      </c>
      <c r="F207" s="34" t="str">
        <f>IFERROR(VLOOKUP(VENTAS[[#This Row],[Código del producto Vendido]],STOCK[],5,FALSE),"-")</f>
        <v>Bikini Elegante con Herrajes</v>
      </c>
      <c r="G207" s="34">
        <v>1</v>
      </c>
      <c r="H207" s="35">
        <v>18</v>
      </c>
      <c r="I207" s="35">
        <f>VENTAS[[#This Row],[Cantidad]]*VENTAS[[#This Row],[Precio Venta]]</f>
        <v>18</v>
      </c>
      <c r="J207" s="35">
        <f>IF(VENTAS[[#This Row],[Nombre del Gestor]]&gt;1,VENTAS[[#This Row],[Total]]*10%,0)</f>
        <v>0</v>
      </c>
      <c r="K207" s="35">
        <f>IFERROR(VLOOKUP(VENTAS[[#This Row],[Código del producto Vendido]],STOCK[],16,FALSE)*VENTAS[[#This Row],[Cantidad]]+VLOOKUP(VENTAS[[#This Row],[Código del producto Vendido]],STOCK[],19,FALSE)*VENTAS[[#This Row],[Cantidad]],VENTAS[[#This Row],[Total]])</f>
        <v>12.3083333333333</v>
      </c>
      <c r="L207" s="35">
        <f>VENTAS[[#This Row],[Total]]-VENTAS[[#This Row],[Comisión 10%]]-VENTAS[[#This Row],[Costo SIN Comision]]</f>
        <v>5.69166666666667</v>
      </c>
      <c r="M207" s="35"/>
    </row>
    <row r="208" ht="20" customHeight="1" spans="1:13">
      <c r="A208" s="29">
        <v>45073</v>
      </c>
      <c r="B208" s="30"/>
      <c r="C208" s="30" t="s">
        <v>3348</v>
      </c>
      <c r="D208" s="30"/>
      <c r="E208" s="30" t="s">
        <v>170</v>
      </c>
      <c r="F208" s="34" t="str">
        <f>IFERROR(VLOOKUP(VENTAS[[#This Row],[Código del producto Vendido]],STOCK[],5,FALSE),"-")</f>
        <v>Vestido floral de cuello cuadrado</v>
      </c>
      <c r="G208" s="34">
        <v>1</v>
      </c>
      <c r="H208" s="35">
        <v>28</v>
      </c>
      <c r="I208" s="35">
        <f>VENTAS[[#This Row],[Cantidad]]*VENTAS[[#This Row],[Precio Venta]]</f>
        <v>28</v>
      </c>
      <c r="J208" s="35">
        <f>IF(VENTAS[[#This Row],[Nombre del Gestor]]&gt;1,VENTAS[[#This Row],[Total]]*10%,0)</f>
        <v>0</v>
      </c>
      <c r="K208" s="35">
        <f>IFERROR(VLOOKUP(VENTAS[[#This Row],[Código del producto Vendido]],STOCK[],16,FALSE)*VENTAS[[#This Row],[Cantidad]]+VLOOKUP(VENTAS[[#This Row],[Código del producto Vendido]],STOCK[],19,FALSE)*VENTAS[[#This Row],[Cantidad]],VENTAS[[#This Row],[Total]])</f>
        <v>17.6</v>
      </c>
      <c r="L208" s="35">
        <f>VENTAS[[#This Row],[Total]]-VENTAS[[#This Row],[Comisión 10%]]-VENTAS[[#This Row],[Costo SIN Comision]]</f>
        <v>10.4</v>
      </c>
      <c r="M208" s="35"/>
    </row>
    <row r="209" ht="20" customHeight="1" spans="1:13">
      <c r="A209" s="29">
        <v>45075</v>
      </c>
      <c r="B209" s="30"/>
      <c r="C209" s="30" t="s">
        <v>3351</v>
      </c>
      <c r="D209" s="30"/>
      <c r="E209" s="30" t="s">
        <v>993</v>
      </c>
      <c r="F209" s="34" t="str">
        <f>IFERROR(VLOOKUP(VENTAS[[#This Row],[Código del producto Vendido]],STOCK[],5,FALSE),"-")</f>
        <v>Vestido Girasol</v>
      </c>
      <c r="G209" s="34">
        <v>1</v>
      </c>
      <c r="H209" s="35">
        <v>25</v>
      </c>
      <c r="I209" s="35">
        <f>VENTAS[[#This Row],[Cantidad]]*VENTAS[[#This Row],[Precio Venta]]</f>
        <v>25</v>
      </c>
      <c r="J209" s="35">
        <f>IF(VENTAS[[#This Row],[Nombre del Gestor]]&gt;1,VENTAS[[#This Row],[Total]]*10%,0)</f>
        <v>0</v>
      </c>
      <c r="K209" s="35">
        <f>IFERROR(VLOOKUP(VENTAS[[#This Row],[Código del producto Vendido]],STOCK[],16,FALSE)*VENTAS[[#This Row],[Cantidad]]+VLOOKUP(VENTAS[[#This Row],[Código del producto Vendido]],STOCK[],19,FALSE)*VENTAS[[#This Row],[Cantidad]],VENTAS[[#This Row],[Total]])</f>
        <v>14.3045454545454</v>
      </c>
      <c r="L209" s="35">
        <f>VENTAS[[#This Row],[Total]]-VENTAS[[#This Row],[Comisión 10%]]-VENTAS[[#This Row],[Costo SIN Comision]]</f>
        <v>10.6954545454546</v>
      </c>
      <c r="M209" s="35"/>
    </row>
    <row r="210" ht="20" customHeight="1" spans="1:13">
      <c r="A210" s="29">
        <v>45075</v>
      </c>
      <c r="B210" s="30"/>
      <c r="C210" s="30" t="s">
        <v>3352</v>
      </c>
      <c r="D210" s="30"/>
      <c r="E210" s="30" t="s">
        <v>97</v>
      </c>
      <c r="F210" s="34" t="str">
        <f>IFERROR(VLOOKUP(VENTAS[[#This Row],[Código del producto Vendido]],STOCK[],5,FALSE),"-")</f>
        <v>Bañador estampado de planta</v>
      </c>
      <c r="G210" s="34">
        <v>1</v>
      </c>
      <c r="H210" s="35">
        <v>25</v>
      </c>
      <c r="I210" s="35">
        <f>VENTAS[[#This Row],[Cantidad]]*VENTAS[[#This Row],[Precio Venta]]</f>
        <v>25</v>
      </c>
      <c r="J210" s="35">
        <f>IF(VENTAS[[#This Row],[Nombre del Gestor]]&gt;1,VENTAS[[#This Row],[Total]]*10%,0)</f>
        <v>0</v>
      </c>
      <c r="K210" s="35">
        <f>IFERROR(VLOOKUP(VENTAS[[#This Row],[Código del producto Vendido]],STOCK[],16,FALSE)*VENTAS[[#This Row],[Cantidad]]+VLOOKUP(VENTAS[[#This Row],[Código del producto Vendido]],STOCK[],19,FALSE)*VENTAS[[#This Row],[Cantidad]],VENTAS[[#This Row],[Total]])</f>
        <v>15.9788888888889</v>
      </c>
      <c r="L210" s="35">
        <f>VENTAS[[#This Row],[Total]]-VENTAS[[#This Row],[Comisión 10%]]-VENTAS[[#This Row],[Costo SIN Comision]]</f>
        <v>9.0211111111111</v>
      </c>
      <c r="M210" s="35"/>
    </row>
    <row r="211" ht="20" customHeight="1" spans="1:13">
      <c r="A211" s="29">
        <v>45075</v>
      </c>
      <c r="B211" s="30"/>
      <c r="C211" s="30" t="s">
        <v>3353</v>
      </c>
      <c r="D211" s="30"/>
      <c r="E211" s="30" t="s">
        <v>230</v>
      </c>
      <c r="F211" s="34" t="str">
        <f>IFERROR(VLOOKUP(VENTAS[[#This Row],[Código del producto Vendido]],STOCK[],5,FALSE),"-")</f>
        <v>Vestido Esmeralda Fruncido</v>
      </c>
      <c r="G211" s="34">
        <v>1</v>
      </c>
      <c r="H211" s="35">
        <v>30</v>
      </c>
      <c r="I211" s="35">
        <f>VENTAS[[#This Row],[Cantidad]]*VENTAS[[#This Row],[Precio Venta]]</f>
        <v>30</v>
      </c>
      <c r="J211" s="35">
        <f>IF(VENTAS[[#This Row],[Nombre del Gestor]]&gt;1,VENTAS[[#This Row],[Total]]*10%,0)</f>
        <v>0</v>
      </c>
      <c r="K211" s="35">
        <f>IFERROR(VLOOKUP(VENTAS[[#This Row],[Código del producto Vendido]],STOCK[],16,FALSE)*VENTAS[[#This Row],[Cantidad]]+VLOOKUP(VENTAS[[#This Row],[Código del producto Vendido]],STOCK[],19,FALSE)*VENTAS[[#This Row],[Cantidad]],VENTAS[[#This Row],[Total]])</f>
        <v>18.48</v>
      </c>
      <c r="L211" s="35">
        <f>VENTAS[[#This Row],[Total]]-VENTAS[[#This Row],[Comisión 10%]]-VENTAS[[#This Row],[Costo SIN Comision]]</f>
        <v>11.52</v>
      </c>
      <c r="M211" s="35"/>
    </row>
    <row r="212" ht="20" customHeight="1" spans="1:13">
      <c r="A212" s="29">
        <v>45073</v>
      </c>
      <c r="B212" s="30"/>
      <c r="C212" s="30" t="s">
        <v>3346</v>
      </c>
      <c r="D212" s="30"/>
      <c r="E212" s="30" t="s">
        <v>274</v>
      </c>
      <c r="F212" s="34" t="str">
        <f>IFERROR(VLOOKUP(VENTAS[[#This Row],[Código del producto Vendido]],STOCK[],5,FALSE),"-")</f>
        <v>Vestido camiseta bajo con abertura</v>
      </c>
      <c r="G212" s="34">
        <v>1</v>
      </c>
      <c r="H212" s="35">
        <v>22</v>
      </c>
      <c r="I212" s="35">
        <f>VENTAS[[#This Row],[Cantidad]]*VENTAS[[#This Row],[Precio Venta]]</f>
        <v>22</v>
      </c>
      <c r="J212" s="35">
        <f>IF(VENTAS[[#This Row],[Nombre del Gestor]]&gt;1,VENTAS[[#This Row],[Total]]*10%,0)</f>
        <v>0</v>
      </c>
      <c r="K212" s="35">
        <f>IFERROR(VLOOKUP(VENTAS[[#This Row],[Código del producto Vendido]],STOCK[],16,FALSE)*VENTAS[[#This Row],[Cantidad]]+VLOOKUP(VENTAS[[#This Row],[Código del producto Vendido]],STOCK[],19,FALSE)*VENTAS[[#This Row],[Cantidad]],VENTAS[[#This Row],[Total]])</f>
        <v>13.7888888888889</v>
      </c>
      <c r="L212" s="35">
        <f>VENTAS[[#This Row],[Total]]-VENTAS[[#This Row],[Comisión 10%]]-VENTAS[[#This Row],[Costo SIN Comision]]</f>
        <v>8.2111111111111</v>
      </c>
      <c r="M212" s="35"/>
    </row>
    <row r="213" ht="20" customHeight="1" spans="1:13">
      <c r="A213" s="29">
        <v>45077</v>
      </c>
      <c r="B213" s="30"/>
      <c r="C213" s="30" t="s">
        <v>3354</v>
      </c>
      <c r="D213" s="30"/>
      <c r="E213" s="30" t="s">
        <v>942</v>
      </c>
      <c r="F213" s="34" t="str">
        <f>IFERROR(VLOOKUP(VENTAS[[#This Row],[Código del producto Vendido]],STOCK[],5,FALSE),"-")</f>
        <v>Vestido Tropical</v>
      </c>
      <c r="G213" s="34">
        <v>1</v>
      </c>
      <c r="H213" s="35">
        <v>30</v>
      </c>
      <c r="I213" s="35">
        <f>VENTAS[[#This Row],[Cantidad]]*VENTAS[[#This Row],[Precio Venta]]</f>
        <v>30</v>
      </c>
      <c r="J213" s="35">
        <f>IF(VENTAS[[#This Row],[Nombre del Gestor]]&gt;1,VENTAS[[#This Row],[Total]]*10%,0)</f>
        <v>0</v>
      </c>
      <c r="K213" s="35">
        <f>IFERROR(VLOOKUP(VENTAS[[#This Row],[Código del producto Vendido]],STOCK[],16,FALSE)*VENTAS[[#This Row],[Cantidad]]+VLOOKUP(VENTAS[[#This Row],[Código del producto Vendido]],STOCK[],19,FALSE)*VENTAS[[#This Row],[Cantidad]],VENTAS[[#This Row],[Total]])</f>
        <v>19.0186363636364</v>
      </c>
      <c r="L213" s="35">
        <f>VENTAS[[#This Row],[Total]]-VENTAS[[#This Row],[Comisión 10%]]-VENTAS[[#This Row],[Costo SIN Comision]]</f>
        <v>10.9813636363636</v>
      </c>
      <c r="M213" s="35"/>
    </row>
    <row r="214" ht="20" customHeight="1" spans="1:13">
      <c r="A214" s="29">
        <v>45077</v>
      </c>
      <c r="B214" s="30"/>
      <c r="C214" s="30" t="s">
        <v>3355</v>
      </c>
      <c r="D214" s="30"/>
      <c r="E214" s="30" t="s">
        <v>927</v>
      </c>
      <c r="F214" s="34" t="str">
        <f>IFERROR(VLOOKUP(VENTAS[[#This Row],[Código del producto Vendido]],STOCK[],5,FALSE),"-")</f>
        <v>Pantaloneta Roja</v>
      </c>
      <c r="G214" s="34">
        <v>1</v>
      </c>
      <c r="H214" s="35">
        <v>20</v>
      </c>
      <c r="I214" s="35">
        <f>VENTAS[[#This Row],[Cantidad]]*VENTAS[[#This Row],[Precio Venta]]</f>
        <v>20</v>
      </c>
      <c r="J214" s="35">
        <f>IF(VENTAS[[#This Row],[Nombre del Gestor]]&gt;1,VENTAS[[#This Row],[Total]]*10%,0)</f>
        <v>0</v>
      </c>
      <c r="K214" s="35">
        <f>IFERROR(VLOOKUP(VENTAS[[#This Row],[Código del producto Vendido]],STOCK[],16,FALSE)*VENTAS[[#This Row],[Cantidad]]+VLOOKUP(VENTAS[[#This Row],[Código del producto Vendido]],STOCK[],19,FALSE)*VENTAS[[#This Row],[Cantidad]],VENTAS[[#This Row],[Total]])</f>
        <v>11.6095454545454</v>
      </c>
      <c r="L214" s="35">
        <f>VENTAS[[#This Row],[Total]]-VENTAS[[#This Row],[Comisión 10%]]-VENTAS[[#This Row],[Costo SIN Comision]]</f>
        <v>8.39045454545455</v>
      </c>
      <c r="M214" s="35"/>
    </row>
    <row r="215" ht="20" customHeight="1" spans="1:13">
      <c r="A215" s="29">
        <v>45077</v>
      </c>
      <c r="B215" s="30"/>
      <c r="C215" s="30" t="s">
        <v>3355</v>
      </c>
      <c r="D215" s="30"/>
      <c r="E215" s="30" t="s">
        <v>182</v>
      </c>
      <c r="F215" s="34" t="str">
        <f>IFERROR(VLOOKUP(VENTAS[[#This Row],[Código del producto Vendido]],STOCK[],5,FALSE),"-")</f>
        <v>Top de manga farol con abertura en espald</v>
      </c>
      <c r="G215" s="34">
        <v>1</v>
      </c>
      <c r="H215" s="35">
        <v>14</v>
      </c>
      <c r="I215" s="35">
        <f>VENTAS[[#This Row],[Cantidad]]*VENTAS[[#This Row],[Precio Venta]]</f>
        <v>14</v>
      </c>
      <c r="J215" s="35">
        <f>IF(VENTAS[[#This Row],[Nombre del Gestor]]&gt;1,VENTAS[[#This Row],[Total]]*10%,0)</f>
        <v>0</v>
      </c>
      <c r="K215" s="35">
        <f>IFERROR(VLOOKUP(VENTAS[[#This Row],[Código del producto Vendido]],STOCK[],16,FALSE)*VENTAS[[#This Row],[Cantidad]]+VLOOKUP(VENTAS[[#This Row],[Código del producto Vendido]],STOCK[],19,FALSE)*VENTAS[[#This Row],[Cantidad]],VENTAS[[#This Row],[Total]])</f>
        <v>8.85777777777778</v>
      </c>
      <c r="L215" s="35">
        <f>VENTAS[[#This Row],[Total]]-VENTAS[[#This Row],[Comisión 10%]]-VENTAS[[#This Row],[Costo SIN Comision]]</f>
        <v>5.14222222222222</v>
      </c>
      <c r="M215" s="35"/>
    </row>
    <row r="216" ht="20" customHeight="1" spans="1:13">
      <c r="A216" s="29">
        <v>45077</v>
      </c>
      <c r="B216" s="30"/>
      <c r="C216" s="30" t="s">
        <v>3356</v>
      </c>
      <c r="D216" s="30"/>
      <c r="E216" s="30" t="s">
        <v>172</v>
      </c>
      <c r="F216" s="34" t="str">
        <f>IFERROR(VLOOKUP(VENTAS[[#This Row],[Código del producto Vendido]],STOCK[],5,FALSE),"-")</f>
        <v>Camiseta unicolor de malla</v>
      </c>
      <c r="G216" s="34">
        <v>1</v>
      </c>
      <c r="H216" s="35">
        <v>14</v>
      </c>
      <c r="I216" s="35">
        <f>VENTAS[[#This Row],[Cantidad]]*VENTAS[[#This Row],[Precio Venta]]</f>
        <v>14</v>
      </c>
      <c r="J216" s="35">
        <f>IF(VENTAS[[#This Row],[Nombre del Gestor]]&gt;1,VENTAS[[#This Row],[Total]]*10%,0)</f>
        <v>0</v>
      </c>
      <c r="K216" s="35">
        <f>IFERROR(VLOOKUP(VENTAS[[#This Row],[Código del producto Vendido]],STOCK[],16,FALSE)*VENTAS[[#This Row],[Cantidad]]+VLOOKUP(VENTAS[[#This Row],[Código del producto Vendido]],STOCK[],19,FALSE)*VENTAS[[#This Row],[Cantidad]],VENTAS[[#This Row],[Total]])</f>
        <v>6.88666666666667</v>
      </c>
      <c r="L216" s="35">
        <f>VENTAS[[#This Row],[Total]]-VENTAS[[#This Row],[Comisión 10%]]-VENTAS[[#This Row],[Costo SIN Comision]]</f>
        <v>7.11333333333333</v>
      </c>
      <c r="M216" s="35"/>
    </row>
    <row r="217" ht="20" customHeight="1" spans="1:13">
      <c r="A217" s="29">
        <v>45077</v>
      </c>
      <c r="B217" s="30"/>
      <c r="C217" s="30" t="s">
        <v>3357</v>
      </c>
      <c r="D217" s="30"/>
      <c r="E217" s="30" t="s">
        <v>236</v>
      </c>
      <c r="F217" s="34" t="str">
        <f>IFERROR(VLOOKUP(VENTAS[[#This Row],[Código del producto Vendido]],STOCK[],5,FALSE),"-")</f>
        <v>Top de cuello con cordón de lunares</v>
      </c>
      <c r="G217" s="34">
        <v>1</v>
      </c>
      <c r="H217" s="35">
        <v>12</v>
      </c>
      <c r="I217" s="35">
        <f>VENTAS[[#This Row],[Cantidad]]*VENTAS[[#This Row],[Precio Venta]]</f>
        <v>12</v>
      </c>
      <c r="J217" s="35">
        <f>IF(VENTAS[[#This Row],[Nombre del Gestor]]&gt;1,VENTAS[[#This Row],[Total]]*10%,0)</f>
        <v>0</v>
      </c>
      <c r="K217" s="35">
        <f>IFERROR(VLOOKUP(VENTAS[[#This Row],[Código del producto Vendido]],STOCK[],16,FALSE)*VENTAS[[#This Row],[Cantidad]]+VLOOKUP(VENTAS[[#This Row],[Código del producto Vendido]],STOCK[],19,FALSE)*VENTAS[[#This Row],[Cantidad]],VENTAS[[#This Row],[Total]])</f>
        <v>7.90444444444444</v>
      </c>
      <c r="L217" s="35">
        <f>VENTAS[[#This Row],[Total]]-VENTAS[[#This Row],[Comisión 10%]]-VENTAS[[#This Row],[Costo SIN Comision]]</f>
        <v>4.09555555555556</v>
      </c>
      <c r="M217" s="35"/>
    </row>
    <row r="218" ht="20" customHeight="1" spans="1:13">
      <c r="A218" s="29">
        <v>45079</v>
      </c>
      <c r="B218" s="30"/>
      <c r="C218" s="30" t="s">
        <v>3358</v>
      </c>
      <c r="D218" s="30"/>
      <c r="E218" s="30" t="s">
        <v>1102</v>
      </c>
      <c r="F218" s="34" t="str">
        <f>IFERROR(VLOOKUP(VENTAS[[#This Row],[Código del producto Vendido]],STOCK[],5,FALSE),"-")</f>
        <v>Mono Oblicuo con bolsillo</v>
      </c>
      <c r="G218" s="34">
        <v>1</v>
      </c>
      <c r="H218" s="35">
        <v>22</v>
      </c>
      <c r="I218" s="35">
        <f>VENTAS[[#This Row],[Cantidad]]*VENTAS[[#This Row],[Precio Venta]]</f>
        <v>22</v>
      </c>
      <c r="J218" s="35">
        <f>IF(VENTAS[[#This Row],[Nombre del Gestor]]&gt;1,VENTAS[[#This Row],[Total]]*10%,0)</f>
        <v>0</v>
      </c>
      <c r="K218" s="35">
        <f>IFERROR(VLOOKUP(VENTAS[[#This Row],[Código del producto Vendido]],STOCK[],16,FALSE)*VENTAS[[#This Row],[Cantidad]]+VLOOKUP(VENTAS[[#This Row],[Código del producto Vendido]],STOCK[],19,FALSE)*VENTAS[[#This Row],[Cantidad]],VENTAS[[#This Row],[Total]])</f>
        <v>14.5485294117647</v>
      </c>
      <c r="L218" s="35">
        <f>VENTAS[[#This Row],[Total]]-VENTAS[[#This Row],[Comisión 10%]]-VENTAS[[#This Row],[Costo SIN Comision]]</f>
        <v>7.45147058823529</v>
      </c>
      <c r="M218" s="35"/>
    </row>
    <row r="219" ht="20" customHeight="1" spans="1:13">
      <c r="A219" s="29">
        <v>45079</v>
      </c>
      <c r="B219" s="30"/>
      <c r="C219" s="30" t="s">
        <v>3359</v>
      </c>
      <c r="D219" s="30"/>
      <c r="E219" s="30" t="s">
        <v>502</v>
      </c>
      <c r="F219" s="34" t="str">
        <f>IFERROR(VLOOKUP(VENTAS[[#This Row],[Código del producto Vendido]],STOCK[],5,FALSE),"-")</f>
        <v>Bikini push up tropical </v>
      </c>
      <c r="G219" s="34">
        <v>1</v>
      </c>
      <c r="H219" s="35">
        <v>25</v>
      </c>
      <c r="I219" s="35">
        <f>VENTAS[[#This Row],[Cantidad]]*VENTAS[[#This Row],[Precio Venta]]</f>
        <v>25</v>
      </c>
      <c r="J219" s="35">
        <f>IF(VENTAS[[#This Row],[Nombre del Gestor]]&gt;1,VENTAS[[#This Row],[Total]]*10%,0)</f>
        <v>0</v>
      </c>
      <c r="K219" s="35">
        <f>IFERROR(VLOOKUP(VENTAS[[#This Row],[Código del producto Vendido]],STOCK[],16,FALSE)*VENTAS[[#This Row],[Cantidad]]+VLOOKUP(VENTAS[[#This Row],[Código del producto Vendido]],STOCK[],19,FALSE)*VENTAS[[#This Row],[Cantidad]],VENTAS[[#This Row],[Total]])</f>
        <v>16.5555555555556</v>
      </c>
      <c r="L219" s="35">
        <f>VENTAS[[#This Row],[Total]]-VENTAS[[#This Row],[Comisión 10%]]-VENTAS[[#This Row],[Costo SIN Comision]]</f>
        <v>8.4444444444444</v>
      </c>
      <c r="M219" s="35"/>
    </row>
    <row r="220" ht="20" customHeight="1" spans="1:13">
      <c r="A220" s="29">
        <v>45079</v>
      </c>
      <c r="B220" s="30"/>
      <c r="C220" s="30" t="s">
        <v>3355</v>
      </c>
      <c r="D220" s="30"/>
      <c r="E220" s="30" t="s">
        <v>950</v>
      </c>
      <c r="F220" s="34" t="str">
        <f>IFERROR(VLOOKUP(VENTAS[[#This Row],[Código del producto Vendido]],STOCK[],5,FALSE),"-")</f>
        <v> Pantaloneta Verde</v>
      </c>
      <c r="G220" s="34">
        <v>1</v>
      </c>
      <c r="H220" s="35">
        <v>25</v>
      </c>
      <c r="I220" s="35">
        <f>VENTAS[[#This Row],[Cantidad]]*VENTAS[[#This Row],[Precio Venta]]</f>
        <v>25</v>
      </c>
      <c r="J220" s="35">
        <f>IF(VENTAS[[#This Row],[Nombre del Gestor]]&gt;1,VENTAS[[#This Row],[Total]]*10%,0)</f>
        <v>0</v>
      </c>
      <c r="K220" s="35">
        <f>IFERROR(VLOOKUP(VENTAS[[#This Row],[Código del producto Vendido]],STOCK[],16,FALSE)*VENTAS[[#This Row],[Cantidad]]+VLOOKUP(VENTAS[[#This Row],[Código del producto Vendido]],STOCK[],19,FALSE)*VENTAS[[#This Row],[Cantidad]],VENTAS[[#This Row],[Total]])</f>
        <v>14.8713636363636</v>
      </c>
      <c r="L220" s="35">
        <f>VENTAS[[#This Row],[Total]]-VENTAS[[#This Row],[Comisión 10%]]-VENTAS[[#This Row],[Costo SIN Comision]]</f>
        <v>10.1286363636364</v>
      </c>
      <c r="M220" s="35"/>
    </row>
    <row r="221" ht="20" customHeight="1" spans="1:13">
      <c r="A221" s="29">
        <v>45079</v>
      </c>
      <c r="B221" s="30"/>
      <c r="C221" s="30" t="s">
        <v>3360</v>
      </c>
      <c r="D221" s="30"/>
      <c r="E221" s="30" t="s">
        <v>1081</v>
      </c>
      <c r="F221" s="34" t="str">
        <f>IFERROR(VLOOKUP(VENTAS[[#This Row],[Código del producto Vendido]],STOCK[],5,FALSE),"-")</f>
        <v>Vestido elegante ajustado corte sirena</v>
      </c>
      <c r="G221" s="34">
        <v>1</v>
      </c>
      <c r="H221" s="35">
        <v>30</v>
      </c>
      <c r="I221" s="35">
        <f>VENTAS[[#This Row],[Cantidad]]*VENTAS[[#This Row],[Precio Venta]]</f>
        <v>30</v>
      </c>
      <c r="J221" s="35">
        <f>IF(VENTAS[[#This Row],[Nombre del Gestor]]&gt;1,VENTAS[[#This Row],[Total]]*10%,0)</f>
        <v>0</v>
      </c>
      <c r="K221" s="35">
        <f>IFERROR(VLOOKUP(VENTAS[[#This Row],[Código del producto Vendido]],STOCK[],16,FALSE)*VENTAS[[#This Row],[Cantidad]]+VLOOKUP(VENTAS[[#This Row],[Código del producto Vendido]],STOCK[],19,FALSE)*VENTAS[[#This Row],[Cantidad]],VENTAS[[#This Row],[Total]])</f>
        <v>15.8066176470588</v>
      </c>
      <c r="L221" s="35">
        <f>VENTAS[[#This Row],[Total]]-VENTAS[[#This Row],[Comisión 10%]]-VENTAS[[#This Row],[Costo SIN Comision]]</f>
        <v>14.1933823529412</v>
      </c>
      <c r="M221" s="35"/>
    </row>
    <row r="222" ht="20" customHeight="1" spans="1:13">
      <c r="A222" s="29">
        <v>45079</v>
      </c>
      <c r="B222" s="30"/>
      <c r="C222" s="30" t="s">
        <v>3360</v>
      </c>
      <c r="D222" s="30"/>
      <c r="E222" s="30" t="s">
        <v>899</v>
      </c>
      <c r="F222" s="34" t="str">
        <f>IFERROR(VLOOKUP(VENTAS[[#This Row],[Código del producto Vendido]],STOCK[],5,FALSE),"-")</f>
        <v>Bañador con adorno de malla</v>
      </c>
      <c r="G222" s="34">
        <v>1</v>
      </c>
      <c r="H222" s="35">
        <v>25</v>
      </c>
      <c r="I222" s="35">
        <f>VENTAS[[#This Row],[Cantidad]]*VENTAS[[#This Row],[Precio Venta]]</f>
        <v>25</v>
      </c>
      <c r="J222" s="35">
        <f>IF(VENTAS[[#This Row],[Nombre del Gestor]]&gt;1,VENTAS[[#This Row],[Total]]*10%,0)</f>
        <v>0</v>
      </c>
      <c r="K222" s="35">
        <f>IFERROR(VLOOKUP(VENTAS[[#This Row],[Código del producto Vendido]],STOCK[],16,FALSE)*VENTAS[[#This Row],[Cantidad]]+VLOOKUP(VENTAS[[#This Row],[Código del producto Vendido]],STOCK[],19,FALSE)*VENTAS[[#This Row],[Cantidad]],VENTAS[[#This Row],[Total]])</f>
        <v>15.3295454545455</v>
      </c>
      <c r="L222" s="35">
        <f>VENTAS[[#This Row],[Total]]-VENTAS[[#This Row],[Comisión 10%]]-VENTAS[[#This Row],[Costo SIN Comision]]</f>
        <v>9.6704545454545</v>
      </c>
      <c r="M222" s="35"/>
    </row>
    <row r="223" ht="20" customHeight="1" spans="1:13">
      <c r="A223" s="29">
        <v>45079</v>
      </c>
      <c r="B223" s="30"/>
      <c r="C223" s="30" t="s">
        <v>3360</v>
      </c>
      <c r="D223" s="30"/>
      <c r="E223" s="30" t="s">
        <v>449</v>
      </c>
      <c r="F223" s="34" t="str">
        <f>IFERROR(VLOOKUP(VENTAS[[#This Row],[Código del producto Vendido]],STOCK[],5,FALSE),"-")</f>
        <v>Bañador estampado de planta</v>
      </c>
      <c r="G223" s="34">
        <v>1</v>
      </c>
      <c r="H223" s="35">
        <v>25</v>
      </c>
      <c r="I223" s="35">
        <f>VENTAS[[#This Row],[Cantidad]]*VENTAS[[#This Row],[Precio Venta]]</f>
        <v>25</v>
      </c>
      <c r="J223" s="35">
        <f>IF(VENTAS[[#This Row],[Nombre del Gestor]]&gt;1,VENTAS[[#This Row],[Total]]*10%,0)</f>
        <v>0</v>
      </c>
      <c r="K223" s="35">
        <f>IFERROR(VLOOKUP(VENTAS[[#This Row],[Código del producto Vendido]],STOCK[],16,FALSE)*VENTAS[[#This Row],[Cantidad]]+VLOOKUP(VENTAS[[#This Row],[Código del producto Vendido]],STOCK[],19,FALSE)*VENTAS[[#This Row],[Cantidad]],VENTAS[[#This Row],[Total]])</f>
        <v>13.4166666666667</v>
      </c>
      <c r="L223" s="35">
        <f>VENTAS[[#This Row],[Total]]-VENTAS[[#This Row],[Comisión 10%]]-VENTAS[[#This Row],[Costo SIN Comision]]</f>
        <v>11.5833333333333</v>
      </c>
      <c r="M223" s="35"/>
    </row>
    <row r="224" ht="20" customHeight="1" spans="1:13">
      <c r="A224" s="29">
        <v>45079</v>
      </c>
      <c r="B224" s="30"/>
      <c r="C224" s="30" t="s">
        <v>3361</v>
      </c>
      <c r="D224" s="30"/>
      <c r="E224" s="30" t="s">
        <v>906</v>
      </c>
      <c r="F224" s="34" t="str">
        <f>IFERROR(VLOOKUP(VENTAS[[#This Row],[Código del producto Vendido]],STOCK[],5,FALSE),"-")</f>
        <v> Top Cuello V Verde</v>
      </c>
      <c r="G224" s="34">
        <v>1</v>
      </c>
      <c r="H224" s="35">
        <v>12</v>
      </c>
      <c r="I224" s="35">
        <f>VENTAS[[#This Row],[Cantidad]]*VENTAS[[#This Row],[Precio Venta]]</f>
        <v>12</v>
      </c>
      <c r="J224" s="35">
        <f>IF(VENTAS[[#This Row],[Nombre del Gestor]]&gt;1,VENTAS[[#This Row],[Total]]*10%,0)</f>
        <v>0</v>
      </c>
      <c r="K224" s="35">
        <f>IFERROR(VLOOKUP(VENTAS[[#This Row],[Código del producto Vendido]],STOCK[],16,FALSE)*VENTAS[[#This Row],[Cantidad]]+VLOOKUP(VENTAS[[#This Row],[Código del producto Vendido]],STOCK[],19,FALSE)*VENTAS[[#This Row],[Cantidad]],VENTAS[[#This Row],[Total]])</f>
        <v>8.00545454545454</v>
      </c>
      <c r="L224" s="35">
        <f>VENTAS[[#This Row],[Total]]-VENTAS[[#This Row],[Comisión 10%]]-VENTAS[[#This Row],[Costo SIN Comision]]</f>
        <v>3.99454545454546</v>
      </c>
      <c r="M224" s="35"/>
    </row>
    <row r="225" ht="20" customHeight="1" spans="1:13">
      <c r="A225" s="29">
        <v>45079</v>
      </c>
      <c r="B225" s="30"/>
      <c r="C225" s="30" t="s">
        <v>3361</v>
      </c>
      <c r="D225" s="30"/>
      <c r="E225" s="30" t="s">
        <v>1028</v>
      </c>
      <c r="F225" s="34" t="str">
        <f>IFERROR(VLOOKUP(VENTAS[[#This Row],[Código del producto Vendido]],STOCK[],5,FALSE),"-")</f>
        <v>Top cuello V Blanco</v>
      </c>
      <c r="G225" s="34">
        <v>1</v>
      </c>
      <c r="H225" s="35">
        <v>12</v>
      </c>
      <c r="I225" s="35">
        <f>VENTAS[[#This Row],[Cantidad]]*VENTAS[[#This Row],[Precio Venta]]</f>
        <v>12</v>
      </c>
      <c r="J225" s="35">
        <f>IF(VENTAS[[#This Row],[Nombre del Gestor]]&gt;1,VENTAS[[#This Row],[Total]]*10%,0)</f>
        <v>0</v>
      </c>
      <c r="K225" s="35">
        <f>IFERROR(VLOOKUP(VENTAS[[#This Row],[Código del producto Vendido]],STOCK[],16,FALSE)*VENTAS[[#This Row],[Cantidad]]+VLOOKUP(VENTAS[[#This Row],[Código del producto Vendido]],STOCK[],19,FALSE)*VENTAS[[#This Row],[Cantidad]],VENTAS[[#This Row],[Total]])</f>
        <v>7.75568181818182</v>
      </c>
      <c r="L225" s="35">
        <f>VENTAS[[#This Row],[Total]]-VENTAS[[#This Row],[Comisión 10%]]-VENTAS[[#This Row],[Costo SIN Comision]]</f>
        <v>4.24431818181818</v>
      </c>
      <c r="M225" s="35"/>
    </row>
    <row r="226" ht="20" customHeight="1" spans="1:13">
      <c r="A226" s="29">
        <v>45079</v>
      </c>
      <c r="B226" s="30"/>
      <c r="C226" s="30" t="s">
        <v>3361</v>
      </c>
      <c r="D226" s="30"/>
      <c r="E226" s="30" t="s">
        <v>156</v>
      </c>
      <c r="F226" s="34" t="str">
        <f>IFERROR(VLOOKUP(VENTAS[[#This Row],[Código del producto Vendido]],STOCK[],5,FALSE),"-")</f>
        <v>Jeans de pierna recta desgarro</v>
      </c>
      <c r="G226" s="34">
        <v>1</v>
      </c>
      <c r="H226" s="35">
        <v>30</v>
      </c>
      <c r="I226" s="35">
        <f>VENTAS[[#This Row],[Cantidad]]*VENTAS[[#This Row],[Precio Venta]]</f>
        <v>30</v>
      </c>
      <c r="J226" s="35">
        <f>IF(VENTAS[[#This Row],[Nombre del Gestor]]&gt;1,VENTAS[[#This Row],[Total]]*10%,0)</f>
        <v>0</v>
      </c>
      <c r="K226" s="35">
        <f>IFERROR(VLOOKUP(VENTAS[[#This Row],[Código del producto Vendido]],STOCK[],16,FALSE)*VENTAS[[#This Row],[Cantidad]]+VLOOKUP(VENTAS[[#This Row],[Código del producto Vendido]],STOCK[],19,FALSE)*VENTAS[[#This Row],[Cantidad]],VENTAS[[#This Row],[Total]])</f>
        <v>18.6866666666667</v>
      </c>
      <c r="L226" s="35">
        <f>VENTAS[[#This Row],[Total]]-VENTAS[[#This Row],[Comisión 10%]]-VENTAS[[#This Row],[Costo SIN Comision]]</f>
        <v>11.3133333333333</v>
      </c>
      <c r="M226" s="35"/>
    </row>
    <row r="227" ht="20" customHeight="1" spans="1:13">
      <c r="A227" s="29">
        <v>45079</v>
      </c>
      <c r="B227" s="30"/>
      <c r="C227" s="30" t="s">
        <v>3361</v>
      </c>
      <c r="D227" s="30"/>
      <c r="E227" s="30" t="s">
        <v>889</v>
      </c>
      <c r="F227" s="34" t="str">
        <f>IFERROR(VLOOKUP(VENTAS[[#This Row],[Código del producto Vendido]],STOCK[],5,FALSE),"-")</f>
        <v>Top Cuello encaje y mangas abombadas</v>
      </c>
      <c r="G227" s="34">
        <v>1</v>
      </c>
      <c r="H227" s="35">
        <v>11</v>
      </c>
      <c r="I227" s="35">
        <f>VENTAS[[#This Row],[Cantidad]]*VENTAS[[#This Row],[Precio Venta]]</f>
        <v>11</v>
      </c>
      <c r="J227" s="35">
        <f>IF(VENTAS[[#This Row],[Nombre del Gestor]]&gt;1,VENTAS[[#This Row],[Total]]*10%,0)</f>
        <v>0</v>
      </c>
      <c r="K227" s="35">
        <f>IFERROR(VLOOKUP(VENTAS[[#This Row],[Código del producto Vendido]],STOCK[],16,FALSE)*VENTAS[[#This Row],[Cantidad]]+VLOOKUP(VENTAS[[#This Row],[Código del producto Vendido]],STOCK[],19,FALSE)*VENTAS[[#This Row],[Cantidad]],VENTAS[[#This Row],[Total]])</f>
        <v>6.35818181818182</v>
      </c>
      <c r="L227" s="35">
        <f>VENTAS[[#This Row],[Total]]-VENTAS[[#This Row],[Comisión 10%]]-VENTAS[[#This Row],[Costo SIN Comision]]</f>
        <v>4.64181818181818</v>
      </c>
      <c r="M227" s="35"/>
    </row>
    <row r="228" ht="20" customHeight="1" spans="1:13">
      <c r="A228" s="29"/>
      <c r="B228" s="30"/>
      <c r="C228" s="30"/>
      <c r="D228" s="30"/>
      <c r="E228" s="30" t="s">
        <v>934</v>
      </c>
      <c r="F228" s="34" t="str">
        <f>IFERROR(VLOOKUP(VENTAS[[#This Row],[Código del producto Vendido]],STOCK[],5,FALSE),"-")</f>
        <v>Bañador de pierna alta</v>
      </c>
      <c r="G228" s="34">
        <v>1</v>
      </c>
      <c r="H228" s="35">
        <v>25</v>
      </c>
      <c r="I228" s="35">
        <f>VENTAS[[#This Row],[Cantidad]]*VENTAS[[#This Row],[Precio Venta]]</f>
        <v>25</v>
      </c>
      <c r="J228" s="35">
        <f>IF(VENTAS[[#This Row],[Nombre del Gestor]]&gt;1,VENTAS[[#This Row],[Total]]*10%,0)</f>
        <v>0</v>
      </c>
      <c r="K228" s="35">
        <f>IFERROR(VLOOKUP(VENTAS[[#This Row],[Código del producto Vendido]],STOCK[],16,FALSE)*VENTAS[[#This Row],[Cantidad]]+VLOOKUP(VENTAS[[#This Row],[Código del producto Vendido]],STOCK[],19,FALSE)*VENTAS[[#This Row],[Cantidad]],VENTAS[[#This Row],[Total]])</f>
        <v>14.0231818181818</v>
      </c>
      <c r="L228" s="35">
        <f>VENTAS[[#This Row],[Total]]-VENTAS[[#This Row],[Comisión 10%]]-VENTAS[[#This Row],[Costo SIN Comision]]</f>
        <v>10.9768181818182</v>
      </c>
      <c r="M228" s="35"/>
    </row>
    <row r="229" ht="20" customHeight="1" spans="1:13">
      <c r="A229" s="29"/>
      <c r="B229" s="30"/>
      <c r="C229" s="30"/>
      <c r="D229" s="30"/>
      <c r="E229" s="47" t="s">
        <v>726</v>
      </c>
      <c r="F229" s="34" t="str">
        <f>IFERROR(VLOOKUP(VENTAS[[#This Row],[Código del producto Vendido]],STOCK[],5,FALSE),"-")</f>
        <v>Top acanalado sin mangas</v>
      </c>
      <c r="G229" s="34">
        <v>1</v>
      </c>
      <c r="H229" s="35">
        <v>16</v>
      </c>
      <c r="I229" s="35">
        <f>VENTAS[[#This Row],[Cantidad]]*VENTAS[[#This Row],[Precio Venta]]</f>
        <v>16</v>
      </c>
      <c r="J229" s="35">
        <f>IF(VENTAS[[#This Row],[Nombre del Gestor]]&gt;1,VENTAS[[#This Row],[Total]]*10%,0)</f>
        <v>0</v>
      </c>
      <c r="K229" s="35">
        <f>IFERROR(VLOOKUP(VENTAS[[#This Row],[Código del producto Vendido]],STOCK[],16,FALSE)*VENTAS[[#This Row],[Cantidad]]+VLOOKUP(VENTAS[[#This Row],[Código del producto Vendido]],STOCK[],19,FALSE)*VENTAS[[#This Row],[Cantidad]],VENTAS[[#This Row],[Total]])</f>
        <v>5.02222222222222</v>
      </c>
      <c r="L229" s="35">
        <f>VENTAS[[#This Row],[Total]]-VENTAS[[#This Row],[Comisión 10%]]-VENTAS[[#This Row],[Costo SIN Comision]]</f>
        <v>10.9777777777778</v>
      </c>
      <c r="M229" s="35"/>
    </row>
    <row r="230" ht="20" customHeight="1" spans="1:13">
      <c r="A230" s="29"/>
      <c r="B230" s="30"/>
      <c r="C230" s="30"/>
      <c r="D230" s="30"/>
      <c r="E230" s="30" t="s">
        <v>898</v>
      </c>
      <c r="F230" s="34" t="str">
        <f>IFERROR(VLOOKUP(VENTAS[[#This Row],[Código del producto Vendido]],STOCK[],5,FALSE),"-")</f>
        <v>Bañador con adorno de malla</v>
      </c>
      <c r="G230" s="34">
        <v>1</v>
      </c>
      <c r="H230" s="35">
        <v>25</v>
      </c>
      <c r="I230" s="35">
        <f>VENTAS[[#This Row],[Cantidad]]*VENTAS[[#This Row],[Precio Venta]]</f>
        <v>25</v>
      </c>
      <c r="J230" s="35">
        <f>IF(VENTAS[[#This Row],[Nombre del Gestor]]&gt;1,VENTAS[[#This Row],[Total]]*10%,0)</f>
        <v>0</v>
      </c>
      <c r="K230" s="35">
        <f>IFERROR(VLOOKUP(VENTAS[[#This Row],[Código del producto Vendido]],STOCK[],16,FALSE)*VENTAS[[#This Row],[Cantidad]]+VLOOKUP(VENTAS[[#This Row],[Código del producto Vendido]],STOCK[],19,FALSE)*VENTAS[[#This Row],[Cantidad]],VENTAS[[#This Row],[Total]])</f>
        <v>15.3295454545455</v>
      </c>
      <c r="L230" s="35">
        <f>VENTAS[[#This Row],[Total]]-VENTAS[[#This Row],[Comisión 10%]]-VENTAS[[#This Row],[Costo SIN Comision]]</f>
        <v>9.6704545454545</v>
      </c>
      <c r="M230" s="35"/>
    </row>
    <row r="231" ht="20" customHeight="1" spans="1:13">
      <c r="A231" s="29"/>
      <c r="B231" s="30"/>
      <c r="C231" s="30"/>
      <c r="D231" s="30"/>
      <c r="E231" s="30" t="s">
        <v>449</v>
      </c>
      <c r="F231" s="34" t="str">
        <f>IFERROR(VLOOKUP(VENTAS[[#This Row],[Código del producto Vendido]],STOCK[],5,FALSE),"-")</f>
        <v>Bañador estampado de planta</v>
      </c>
      <c r="G231" s="34">
        <v>2</v>
      </c>
      <c r="H231" s="35">
        <v>25</v>
      </c>
      <c r="I231" s="35">
        <f>VENTAS[[#This Row],[Cantidad]]*VENTAS[[#This Row],[Precio Venta]]</f>
        <v>50</v>
      </c>
      <c r="J231" s="35">
        <f>IF(VENTAS[[#This Row],[Nombre del Gestor]]&gt;1,VENTAS[[#This Row],[Total]]*10%,0)</f>
        <v>0</v>
      </c>
      <c r="K231" s="35">
        <f>IFERROR(VLOOKUP(VENTAS[[#This Row],[Código del producto Vendido]],STOCK[],16,FALSE)*VENTAS[[#This Row],[Cantidad]]+VLOOKUP(VENTAS[[#This Row],[Código del producto Vendido]],STOCK[],19,FALSE)*VENTAS[[#This Row],[Cantidad]],VENTAS[[#This Row],[Total]])</f>
        <v>26.8333333333334</v>
      </c>
      <c r="L231" s="35">
        <f>VENTAS[[#This Row],[Total]]-VENTAS[[#This Row],[Comisión 10%]]-VENTAS[[#This Row],[Costo SIN Comision]]</f>
        <v>23.1666666666666</v>
      </c>
      <c r="M231" s="35"/>
    </row>
    <row r="232" ht="20" customHeight="1" spans="1:13">
      <c r="A232" s="29"/>
      <c r="B232" s="30"/>
      <c r="C232" s="30"/>
      <c r="D232" s="30"/>
      <c r="E232" s="30" t="s">
        <v>1041</v>
      </c>
      <c r="F232" s="34" t="str">
        <f>IFERROR(VLOOKUP(VENTAS[[#This Row],[Código del producto Vendido]],STOCK[],5,FALSE),"-")</f>
        <v>Jeans Elastizados Pierna Ancha</v>
      </c>
      <c r="G232" s="34">
        <v>1</v>
      </c>
      <c r="H232" s="35">
        <v>35</v>
      </c>
      <c r="I232" s="35">
        <f>VENTAS[[#This Row],[Cantidad]]*VENTAS[[#This Row],[Precio Venta]]</f>
        <v>35</v>
      </c>
      <c r="J232" s="35">
        <f>IF(VENTAS[[#This Row],[Nombre del Gestor]]&gt;1,VENTAS[[#This Row],[Total]]*10%,0)</f>
        <v>0</v>
      </c>
      <c r="K232" s="35">
        <f>IFERROR(VLOOKUP(VENTAS[[#This Row],[Código del producto Vendido]],STOCK[],16,FALSE)*VENTAS[[#This Row],[Cantidad]]+VLOOKUP(VENTAS[[#This Row],[Código del producto Vendido]],STOCK[],19,FALSE)*VENTAS[[#This Row],[Cantidad]],VENTAS[[#This Row],[Total]])</f>
        <v>27.5227272727273</v>
      </c>
      <c r="L232" s="35">
        <f>VENTAS[[#This Row],[Total]]-VENTAS[[#This Row],[Comisión 10%]]-VENTAS[[#This Row],[Costo SIN Comision]]</f>
        <v>7.4772727272727</v>
      </c>
      <c r="M232" s="35"/>
    </row>
    <row r="233" ht="20" customHeight="1" spans="1:13">
      <c r="A233" s="29"/>
      <c r="B233" s="30"/>
      <c r="C233" s="30"/>
      <c r="D233" s="30"/>
      <c r="E233" s="30" t="s">
        <v>951</v>
      </c>
      <c r="F233" s="34" t="str">
        <f>IFERROR(VLOOKUP(VENTAS[[#This Row],[Código del producto Vendido]],STOCK[],5,FALSE),"-")</f>
        <v> Pantaloneta Verde</v>
      </c>
      <c r="G233" s="34">
        <v>1</v>
      </c>
      <c r="H233" s="35">
        <v>25</v>
      </c>
      <c r="I233" s="35">
        <f>VENTAS[[#This Row],[Cantidad]]*VENTAS[[#This Row],[Precio Venta]]</f>
        <v>25</v>
      </c>
      <c r="J233" s="35">
        <f>IF(VENTAS[[#This Row],[Nombre del Gestor]]&gt;1,VENTAS[[#This Row],[Total]]*10%,0)</f>
        <v>0</v>
      </c>
      <c r="K233" s="35">
        <f>IFERROR(VLOOKUP(VENTAS[[#This Row],[Código del producto Vendido]],STOCK[],16,FALSE)*VENTAS[[#This Row],[Cantidad]]+VLOOKUP(VENTAS[[#This Row],[Código del producto Vendido]],STOCK[],19,FALSE)*VENTAS[[#This Row],[Cantidad]],VENTAS[[#This Row],[Total]])</f>
        <v>14.8713636363636</v>
      </c>
      <c r="L233" s="35">
        <f>VENTAS[[#This Row],[Total]]-VENTAS[[#This Row],[Comisión 10%]]-VENTAS[[#This Row],[Costo SIN Comision]]</f>
        <v>10.1286363636364</v>
      </c>
      <c r="M233" s="35"/>
    </row>
    <row r="234" ht="20" customHeight="1" spans="1:13">
      <c r="A234" s="29">
        <v>45081</v>
      </c>
      <c r="B234" s="30"/>
      <c r="C234" s="30"/>
      <c r="D234" s="30"/>
      <c r="E234" s="30" t="s">
        <v>66</v>
      </c>
      <c r="F234" s="34" t="str">
        <f>IFERROR(VLOOKUP(VENTAS[[#This Row],[Código del producto Vendido]],STOCK[],5,FALSE),"-")</f>
        <v>Bikini Elegante con Herrajes</v>
      </c>
      <c r="G234" s="34">
        <v>1</v>
      </c>
      <c r="H234" s="35">
        <v>18</v>
      </c>
      <c r="I234" s="35">
        <f>VENTAS[[#This Row],[Cantidad]]*VENTAS[[#This Row],[Precio Venta]]</f>
        <v>18</v>
      </c>
      <c r="J234" s="35">
        <f>IF(VENTAS[[#This Row],[Nombre del Gestor]]&gt;1,VENTAS[[#This Row],[Total]]*10%,0)</f>
        <v>0</v>
      </c>
      <c r="K234" s="35">
        <f>IFERROR(VLOOKUP(VENTAS[[#This Row],[Código del producto Vendido]],STOCK[],16,FALSE)*VENTAS[[#This Row],[Cantidad]]+VLOOKUP(VENTAS[[#This Row],[Código del producto Vendido]],STOCK[],19,FALSE)*VENTAS[[#This Row],[Cantidad]],VENTAS[[#This Row],[Total]])</f>
        <v>12.3083333333333</v>
      </c>
      <c r="L234" s="35">
        <f>VENTAS[[#This Row],[Total]]-VENTAS[[#This Row],[Comisión 10%]]-VENTAS[[#This Row],[Costo SIN Comision]]</f>
        <v>5.69166666666667</v>
      </c>
      <c r="M234" s="35"/>
    </row>
    <row r="235" ht="20" customHeight="1" spans="1:13">
      <c r="A235" s="29">
        <v>45081</v>
      </c>
      <c r="B235" s="30"/>
      <c r="C235" s="30"/>
      <c r="D235" s="30"/>
      <c r="E235" s="30" t="s">
        <v>446</v>
      </c>
      <c r="F235" s="34" t="str">
        <f>IFERROR(VLOOKUP(VENTAS[[#This Row],[Código del producto Vendido]],STOCK[],5,FALSE),"-")</f>
        <v>Skort asimétrico floral </v>
      </c>
      <c r="G235" s="34">
        <v>1</v>
      </c>
      <c r="H235" s="35">
        <v>15</v>
      </c>
      <c r="I235" s="35">
        <f>VENTAS[[#This Row],[Cantidad]]*VENTAS[[#This Row],[Precio Venta]]</f>
        <v>15</v>
      </c>
      <c r="J235" s="35">
        <f>IF(VENTAS[[#This Row],[Nombre del Gestor]]&gt;1,VENTAS[[#This Row],[Total]]*10%,0)</f>
        <v>0</v>
      </c>
      <c r="K235" s="35">
        <f>IFERROR(VLOOKUP(VENTAS[[#This Row],[Código del producto Vendido]],STOCK[],16,FALSE)*VENTAS[[#This Row],[Cantidad]]+VLOOKUP(VENTAS[[#This Row],[Código del producto Vendido]],STOCK[],19,FALSE)*VENTAS[[#This Row],[Cantidad]],VENTAS[[#This Row],[Total]])</f>
        <v>8.92777777777778</v>
      </c>
      <c r="L235" s="35">
        <f>VENTAS[[#This Row],[Total]]-VENTAS[[#This Row],[Comisión 10%]]-VENTAS[[#This Row],[Costo SIN Comision]]</f>
        <v>6.07222222222222</v>
      </c>
      <c r="M235" s="35"/>
    </row>
    <row r="236" ht="20" customHeight="1" spans="1:13">
      <c r="A236" s="29">
        <v>45081</v>
      </c>
      <c r="B236" s="30"/>
      <c r="C236" s="30"/>
      <c r="D236" s="30"/>
      <c r="E236" s="30" t="s">
        <v>1060</v>
      </c>
      <c r="F236" s="34" t="str">
        <f>IFERROR(VLOOKUP(VENTAS[[#This Row],[Código del producto Vendido]],STOCK[],5,FALSE),"-")</f>
        <v>Top corto blanco</v>
      </c>
      <c r="G236" s="34">
        <v>1</v>
      </c>
      <c r="H236" s="35">
        <v>5</v>
      </c>
      <c r="I236" s="35">
        <f>VENTAS[[#This Row],[Cantidad]]*VENTAS[[#This Row],[Precio Venta]]</f>
        <v>5</v>
      </c>
      <c r="J236" s="35">
        <f>IF(VENTAS[[#This Row],[Nombre del Gestor]]&gt;1,VENTAS[[#This Row],[Total]]*10%,0)</f>
        <v>0</v>
      </c>
      <c r="K236" s="35">
        <f>IFERROR(VLOOKUP(VENTAS[[#This Row],[Código del producto Vendido]],STOCK[],16,FALSE)*VENTAS[[#This Row],[Cantidad]]+VLOOKUP(VENTAS[[#This Row],[Código del producto Vendido]],STOCK[],19,FALSE)*VENTAS[[#This Row],[Cantidad]],VENTAS[[#This Row],[Total]])</f>
        <v>4.40441176470588</v>
      </c>
      <c r="L236" s="35">
        <f>VENTAS[[#This Row],[Total]]-VENTAS[[#This Row],[Comisión 10%]]-VENTAS[[#This Row],[Costo SIN Comision]]</f>
        <v>0.59558823529412</v>
      </c>
      <c r="M236" s="35"/>
    </row>
    <row r="237" ht="20" customHeight="1" spans="1:13">
      <c r="A237" s="29">
        <v>45081</v>
      </c>
      <c r="B237" s="30"/>
      <c r="C237" s="30"/>
      <c r="D237" s="30"/>
      <c r="E237" s="30" t="s">
        <v>306</v>
      </c>
      <c r="F237" s="34" t="str">
        <f>IFERROR(VLOOKUP(VENTAS[[#This Row],[Código del producto Vendido]],STOCK[],5,FALSE),"-")</f>
        <v>Conjunto short, camisa y top</v>
      </c>
      <c r="G237" s="34">
        <v>1</v>
      </c>
      <c r="H237" s="35">
        <v>30</v>
      </c>
      <c r="I237" s="35">
        <f>VENTAS[[#This Row],[Cantidad]]*VENTAS[[#This Row],[Precio Venta]]</f>
        <v>30</v>
      </c>
      <c r="J237" s="35">
        <f>IF(VENTAS[[#This Row],[Nombre del Gestor]]&gt;1,VENTAS[[#This Row],[Total]]*10%,0)</f>
        <v>0</v>
      </c>
      <c r="K237" s="35">
        <f>IFERROR(VLOOKUP(VENTAS[[#This Row],[Código del producto Vendido]],STOCK[],16,FALSE)*VENTAS[[#This Row],[Cantidad]]+VLOOKUP(VENTAS[[#This Row],[Código del producto Vendido]],STOCK[],19,FALSE)*VENTAS[[#This Row],[Cantidad]],VENTAS[[#This Row],[Total]])</f>
        <v>16.8333333333333</v>
      </c>
      <c r="L237" s="35">
        <f>VENTAS[[#This Row],[Total]]-VENTAS[[#This Row],[Comisión 10%]]-VENTAS[[#This Row],[Costo SIN Comision]]</f>
        <v>13.1666666666667</v>
      </c>
      <c r="M237" s="35"/>
    </row>
    <row r="238" ht="20" customHeight="1" spans="1:13">
      <c r="A238" s="29">
        <v>45081</v>
      </c>
      <c r="B238" s="30"/>
      <c r="C238" s="30"/>
      <c r="D238" s="30"/>
      <c r="E238" s="30" t="s">
        <v>262</v>
      </c>
      <c r="F238" s="34" t="str">
        <f>IFERROR(VLOOKUP(VENTAS[[#This Row],[Código del producto Vendido]],STOCK[],5,FALSE),"-")</f>
        <v>Blusas Botón Floral Casual</v>
      </c>
      <c r="G238" s="34">
        <v>1</v>
      </c>
      <c r="H238" s="35">
        <v>14</v>
      </c>
      <c r="I238" s="35">
        <f>VENTAS[[#This Row],[Cantidad]]*VENTAS[[#This Row],[Precio Venta]]</f>
        <v>14</v>
      </c>
      <c r="J238" s="35">
        <f>IF(VENTAS[[#This Row],[Nombre del Gestor]]&gt;1,VENTAS[[#This Row],[Total]]*10%,0)</f>
        <v>0</v>
      </c>
      <c r="K238" s="35">
        <f>IFERROR(VLOOKUP(VENTAS[[#This Row],[Código del producto Vendido]],STOCK[],16,FALSE)*VENTAS[[#This Row],[Cantidad]]+VLOOKUP(VENTAS[[#This Row],[Código del producto Vendido]],STOCK[],19,FALSE)*VENTAS[[#This Row],[Cantidad]],VENTAS[[#This Row],[Total]])</f>
        <v>8.02222222222222</v>
      </c>
      <c r="L238" s="35">
        <f>VENTAS[[#This Row],[Total]]-VENTAS[[#This Row],[Comisión 10%]]-VENTAS[[#This Row],[Costo SIN Comision]]</f>
        <v>5.97777777777778</v>
      </c>
      <c r="M238" s="35"/>
    </row>
    <row r="239" ht="20" customHeight="1" spans="1:13">
      <c r="A239" s="29">
        <v>45081</v>
      </c>
      <c r="B239" s="30"/>
      <c r="C239" s="30"/>
      <c r="D239" s="30"/>
      <c r="E239" s="30" t="s">
        <v>726</v>
      </c>
      <c r="F239" s="34" t="str">
        <f>IFERROR(VLOOKUP(VENTAS[[#This Row],[Código del producto Vendido]],STOCK[],5,FALSE),"-")</f>
        <v>Top acanalado sin mangas</v>
      </c>
      <c r="G239" s="34">
        <v>1</v>
      </c>
      <c r="H239" s="35">
        <v>10</v>
      </c>
      <c r="I239" s="35">
        <f>VENTAS[[#This Row],[Cantidad]]*VENTAS[[#This Row],[Precio Venta]]</f>
        <v>10</v>
      </c>
      <c r="J239" s="35">
        <f>IF(VENTAS[[#This Row],[Nombre del Gestor]]&gt;1,VENTAS[[#This Row],[Total]]*10%,0)</f>
        <v>0</v>
      </c>
      <c r="K239" s="35">
        <f>IFERROR(VLOOKUP(VENTAS[[#This Row],[Código del producto Vendido]],STOCK[],16,FALSE)*VENTAS[[#This Row],[Cantidad]]+VLOOKUP(VENTAS[[#This Row],[Código del producto Vendido]],STOCK[],19,FALSE)*VENTAS[[#This Row],[Cantidad]],VENTAS[[#This Row],[Total]])</f>
        <v>5.02222222222222</v>
      </c>
      <c r="L239" s="35">
        <f>VENTAS[[#This Row],[Total]]-VENTAS[[#This Row],[Comisión 10%]]-VENTAS[[#This Row],[Costo SIN Comision]]</f>
        <v>4.97777777777778</v>
      </c>
      <c r="M239" s="35"/>
    </row>
    <row r="240" ht="20" customHeight="1" spans="1:13">
      <c r="A240" s="29">
        <v>45082</v>
      </c>
      <c r="B240" s="30"/>
      <c r="C240" s="30" t="s">
        <v>3362</v>
      </c>
      <c r="D240" s="30"/>
      <c r="E240" s="30" t="s">
        <v>1034</v>
      </c>
      <c r="F240" s="34" t="str">
        <f>IFERROR(VLOOKUP(VENTAS[[#This Row],[Código del producto Vendido]],STOCK[],5,FALSE),"-")</f>
        <v>Jenas Ajustados Oscuro</v>
      </c>
      <c r="G240" s="34">
        <v>1</v>
      </c>
      <c r="H240" s="35">
        <v>35</v>
      </c>
      <c r="I240" s="35">
        <f>VENTAS[[#This Row],[Cantidad]]*VENTAS[[#This Row],[Precio Venta]]</f>
        <v>35</v>
      </c>
      <c r="J240" s="35">
        <f>IF(VENTAS[[#This Row],[Nombre del Gestor]]&gt;1,VENTAS[[#This Row],[Total]]*10%,0)</f>
        <v>0</v>
      </c>
      <c r="K240" s="35">
        <f>IFERROR(VLOOKUP(VENTAS[[#This Row],[Código del producto Vendido]],STOCK[],16,FALSE)*VENTAS[[#This Row],[Cantidad]]+VLOOKUP(VENTAS[[#This Row],[Código del producto Vendido]],STOCK[],19,FALSE)*VENTAS[[#This Row],[Cantidad]],VENTAS[[#This Row],[Total]])</f>
        <v>24.6818181818182</v>
      </c>
      <c r="L240" s="35">
        <f>VENTAS[[#This Row],[Total]]-VENTAS[[#This Row],[Comisión 10%]]-VENTAS[[#This Row],[Costo SIN Comision]]</f>
        <v>10.3181818181818</v>
      </c>
      <c r="M240" s="35"/>
    </row>
    <row r="241" ht="20" customHeight="1" spans="1:13">
      <c r="A241" s="29">
        <v>45082</v>
      </c>
      <c r="B241" s="30"/>
      <c r="C241" s="30" t="s">
        <v>3362</v>
      </c>
      <c r="D241" s="30"/>
      <c r="E241" s="30" t="s">
        <v>1039</v>
      </c>
      <c r="F241" s="34" t="str">
        <f>IFERROR(VLOOKUP(VENTAS[[#This Row],[Código del producto Vendido]],STOCK[],5,FALSE),"-")</f>
        <v>Jeans Elastizados Pierna Ancha</v>
      </c>
      <c r="G241" s="34">
        <v>1</v>
      </c>
      <c r="H241" s="35">
        <v>35</v>
      </c>
      <c r="I241" s="35">
        <f>VENTAS[[#This Row],[Cantidad]]*VENTAS[[#This Row],[Precio Venta]]</f>
        <v>35</v>
      </c>
      <c r="J241" s="35">
        <f>IF(VENTAS[[#This Row],[Nombre del Gestor]]&gt;1,VENTAS[[#This Row],[Total]]*10%,0)</f>
        <v>0</v>
      </c>
      <c r="K241" s="35">
        <f>IFERROR(VLOOKUP(VENTAS[[#This Row],[Código del producto Vendido]],STOCK[],16,FALSE)*VENTAS[[#This Row],[Cantidad]]+VLOOKUP(VENTAS[[#This Row],[Código del producto Vendido]],STOCK[],19,FALSE)*VENTAS[[#This Row],[Cantidad]],VENTAS[[#This Row],[Total]])</f>
        <v>27.5227272727273</v>
      </c>
      <c r="L241" s="35">
        <f>VENTAS[[#This Row],[Total]]-VENTAS[[#This Row],[Comisión 10%]]-VENTAS[[#This Row],[Costo SIN Comision]]</f>
        <v>7.4772727272727</v>
      </c>
      <c r="M241" s="35"/>
    </row>
    <row r="242" ht="20" customHeight="1" spans="1:13">
      <c r="A242" s="29">
        <v>45082</v>
      </c>
      <c r="B242" s="30"/>
      <c r="C242" s="30" t="s">
        <v>3352</v>
      </c>
      <c r="D242" s="30"/>
      <c r="E242" s="30" t="s">
        <v>161</v>
      </c>
      <c r="F242" s="34" t="str">
        <f>IFERROR(VLOOKUP(VENTAS[[#This Row],[Código del producto Vendido]],STOCK[],5,FALSE),"-")</f>
        <v>Bañador una pieza con adorno de mariposas</v>
      </c>
      <c r="G242" s="34">
        <v>1</v>
      </c>
      <c r="H242" s="35">
        <v>20</v>
      </c>
      <c r="I242" s="35">
        <f>VENTAS[[#This Row],[Cantidad]]*VENTAS[[#This Row],[Precio Venta]]</f>
        <v>20</v>
      </c>
      <c r="J242" s="35">
        <f>IF(VENTAS[[#This Row],[Nombre del Gestor]]&gt;1,VENTAS[[#This Row],[Total]]*10%,0)</f>
        <v>0</v>
      </c>
      <c r="K242" s="35">
        <f>IFERROR(VLOOKUP(VENTAS[[#This Row],[Código del producto Vendido]],STOCK[],16,FALSE)*VENTAS[[#This Row],[Cantidad]]+VLOOKUP(VENTAS[[#This Row],[Código del producto Vendido]],STOCK[],19,FALSE)*VENTAS[[#This Row],[Cantidad]],VENTAS[[#This Row],[Total]])</f>
        <v>12.7427777777778</v>
      </c>
      <c r="L242" s="35">
        <f>VENTAS[[#This Row],[Total]]-VENTAS[[#This Row],[Comisión 10%]]-VENTAS[[#This Row],[Costo SIN Comision]]</f>
        <v>7.2572222222222</v>
      </c>
      <c r="M242" s="35"/>
    </row>
    <row r="243" ht="20" customHeight="1" spans="1:13">
      <c r="A243" s="29">
        <v>45082</v>
      </c>
      <c r="B243" s="30"/>
      <c r="C243" s="30" t="s">
        <v>3363</v>
      </c>
      <c r="D243" s="30"/>
      <c r="E243" s="30" t="s">
        <v>317</v>
      </c>
      <c r="F243" s="34" t="str">
        <f>IFERROR(VLOOKUP(VENTAS[[#This Row],[Código del producto Vendido]],STOCK[],5,FALSE),"-")</f>
        <v>Conjuntot Top corto &amp; Pantalones</v>
      </c>
      <c r="G243" s="34">
        <v>1</v>
      </c>
      <c r="H243" s="35">
        <v>30</v>
      </c>
      <c r="I243" s="35">
        <f>VENTAS[[#This Row],[Cantidad]]*VENTAS[[#This Row],[Precio Venta]]</f>
        <v>30</v>
      </c>
      <c r="J243" s="35">
        <f>IF(VENTAS[[#This Row],[Nombre del Gestor]]&gt;1,VENTAS[[#This Row],[Total]]*10%,0)</f>
        <v>0</v>
      </c>
      <c r="K243" s="35">
        <f>IFERROR(VLOOKUP(VENTAS[[#This Row],[Código del producto Vendido]],STOCK[],16,FALSE)*VENTAS[[#This Row],[Cantidad]]+VLOOKUP(VENTAS[[#This Row],[Código del producto Vendido]],STOCK[],19,FALSE)*VENTAS[[#This Row],[Cantidad]],VENTAS[[#This Row],[Total]])</f>
        <v>18.3688888888889</v>
      </c>
      <c r="L243" s="35">
        <f>VENTAS[[#This Row],[Total]]-VENTAS[[#This Row],[Comisión 10%]]-VENTAS[[#This Row],[Costo SIN Comision]]</f>
        <v>11.6311111111111</v>
      </c>
      <c r="M243" s="35"/>
    </row>
    <row r="244" ht="20" customHeight="1" spans="1:13">
      <c r="A244" s="29">
        <v>45085</v>
      </c>
      <c r="B244" s="30"/>
      <c r="C244" s="30" t="s">
        <v>3364</v>
      </c>
      <c r="D244" s="30"/>
      <c r="E244" s="30" t="s">
        <v>29</v>
      </c>
      <c r="F244" s="34" t="str">
        <f>IFERROR(VLOOKUP(VENTAS[[#This Row],[Código del producto Vendido]],STOCK[],5,FALSE),"-")</f>
        <v>Pareo falda </v>
      </c>
      <c r="G244" s="34">
        <v>1</v>
      </c>
      <c r="H244" s="35">
        <v>8</v>
      </c>
      <c r="I244" s="35">
        <f>VENTAS[[#This Row],[Cantidad]]*VENTAS[[#This Row],[Precio Venta]]</f>
        <v>8</v>
      </c>
      <c r="J244" s="35">
        <f>IF(VENTAS[[#This Row],[Nombre del Gestor]]&gt;1,VENTAS[[#This Row],[Total]]*10%,0)</f>
        <v>0</v>
      </c>
      <c r="K244" s="35">
        <f>IFERROR(VLOOKUP(VENTAS[[#This Row],[Código del producto Vendido]],STOCK[],16,FALSE)*VENTAS[[#This Row],[Cantidad]]+VLOOKUP(VENTAS[[#This Row],[Código del producto Vendido]],STOCK[],19,FALSE)*VENTAS[[#This Row],[Cantidad]],VENTAS[[#This Row],[Total]])</f>
        <v>4.33722222222222</v>
      </c>
      <c r="L244" s="35">
        <f>VENTAS[[#This Row],[Total]]-VENTAS[[#This Row],[Comisión 10%]]-VENTAS[[#This Row],[Costo SIN Comision]]</f>
        <v>3.66277777777778</v>
      </c>
      <c r="M244" s="35"/>
    </row>
    <row r="245" ht="20" customHeight="1" spans="1:13">
      <c r="A245" s="29">
        <v>45085</v>
      </c>
      <c r="B245" s="30"/>
      <c r="C245" s="30" t="s">
        <v>3364</v>
      </c>
      <c r="D245" s="30"/>
      <c r="E245" s="30" t="s">
        <v>88</v>
      </c>
      <c r="F245" s="34" t="str">
        <f>IFERROR(VLOOKUP(VENTAS[[#This Row],[Código del producto Vendido]],STOCK[],5,FALSE),"-")</f>
        <v>Bañador con Cremallera</v>
      </c>
      <c r="G245" s="34">
        <v>1</v>
      </c>
      <c r="H245" s="35">
        <v>28</v>
      </c>
      <c r="I245" s="35">
        <f>VENTAS[[#This Row],[Cantidad]]*VENTAS[[#This Row],[Precio Venta]]</f>
        <v>28</v>
      </c>
      <c r="J245" s="35">
        <f>IF(VENTAS[[#This Row],[Nombre del Gestor]]&gt;1,VENTAS[[#This Row],[Total]]*10%,0)</f>
        <v>0</v>
      </c>
      <c r="K245" s="35">
        <f>IFERROR(VLOOKUP(VENTAS[[#This Row],[Código del producto Vendido]],STOCK[],16,FALSE)*VENTAS[[#This Row],[Cantidad]]+VLOOKUP(VENTAS[[#This Row],[Código del producto Vendido]],STOCK[],19,FALSE)*VENTAS[[#This Row],[Cantidad]],VENTAS[[#This Row],[Total]])</f>
        <v>21.0805555555556</v>
      </c>
      <c r="L245" s="35">
        <f>VENTAS[[#This Row],[Total]]-VENTAS[[#This Row],[Comisión 10%]]-VENTAS[[#This Row],[Costo SIN Comision]]</f>
        <v>6.9194444444444</v>
      </c>
      <c r="M245" s="35"/>
    </row>
    <row r="246" ht="20" customHeight="1" spans="1:13">
      <c r="A246" s="29">
        <v>45085</v>
      </c>
      <c r="B246" s="30"/>
      <c r="C246" s="30" t="s">
        <v>3364</v>
      </c>
      <c r="D246" s="30"/>
      <c r="E246" s="30" t="s">
        <v>952</v>
      </c>
      <c r="F246" s="34" t="str">
        <f>IFERROR(VLOOKUP(VENTAS[[#This Row],[Código del producto Vendido]],STOCK[],5,FALSE),"-")</f>
        <v>Niñas 3 piezas Bañador bikini de rayas combinadas con abertura con kimono</v>
      </c>
      <c r="G246" s="34">
        <v>1</v>
      </c>
      <c r="H246" s="35">
        <v>25</v>
      </c>
      <c r="I246" s="35">
        <f>VENTAS[[#This Row],[Cantidad]]*VENTAS[[#This Row],[Precio Venta]]</f>
        <v>25</v>
      </c>
      <c r="J246" s="35">
        <f>IF(VENTAS[[#This Row],[Nombre del Gestor]]&gt;1,VENTAS[[#This Row],[Total]]*10%,0)</f>
        <v>0</v>
      </c>
      <c r="K246" s="35">
        <f>IFERROR(VLOOKUP(VENTAS[[#This Row],[Código del producto Vendido]],STOCK[],16,FALSE)*VENTAS[[#This Row],[Cantidad]]+VLOOKUP(VENTAS[[#This Row],[Código del producto Vendido]],STOCK[],19,FALSE)*VENTAS[[#This Row],[Cantidad]],VENTAS[[#This Row],[Total]])</f>
        <v>12.3772727272727</v>
      </c>
      <c r="L246" s="35">
        <f>VENTAS[[#This Row],[Total]]-VENTAS[[#This Row],[Comisión 10%]]-VENTAS[[#This Row],[Costo SIN Comision]]</f>
        <v>12.6227272727273</v>
      </c>
      <c r="M246" s="35"/>
    </row>
    <row r="247" ht="20" customHeight="1" spans="1:13">
      <c r="A247" s="42">
        <v>45085</v>
      </c>
      <c r="B247" s="30"/>
      <c r="C247" s="30" t="s">
        <v>3364</v>
      </c>
      <c r="D247" s="30"/>
      <c r="E247" s="30" t="s">
        <v>976</v>
      </c>
      <c r="F247" s="34" t="str">
        <f>IFERROR(VLOOKUP(VENTAS[[#This Row],[Código del producto Vendido]],STOCK[],5,FALSE),"-")</f>
        <v>Bikini niña 3 piezas</v>
      </c>
      <c r="G247" s="34">
        <v>1</v>
      </c>
      <c r="H247" s="35">
        <v>25</v>
      </c>
      <c r="I247" s="35">
        <f>VENTAS[[#This Row],[Cantidad]]*VENTAS[[#This Row],[Precio Venta]]</f>
        <v>25</v>
      </c>
      <c r="J247" s="35">
        <f>IF(VENTAS[[#This Row],[Nombre del Gestor]]&gt;1,VENTAS[[#This Row],[Total]]*10%,0)</f>
        <v>0</v>
      </c>
      <c r="K247" s="35">
        <f>IFERROR(VLOOKUP(VENTAS[[#This Row],[Código del producto Vendido]],STOCK[],16,FALSE)*VENTAS[[#This Row],[Cantidad]]+VLOOKUP(VENTAS[[#This Row],[Código del producto Vendido]],STOCK[],19,FALSE)*VENTAS[[#This Row],[Cantidad]],VENTAS[[#This Row],[Total]])</f>
        <v>14.4772727272727</v>
      </c>
      <c r="L247" s="35">
        <f>VENTAS[[#This Row],[Total]]-VENTAS[[#This Row],[Comisión 10%]]-VENTAS[[#This Row],[Costo SIN Comision]]</f>
        <v>10.5227272727273</v>
      </c>
      <c r="M247" s="35"/>
    </row>
    <row r="248" ht="20" customHeight="1" spans="1:13">
      <c r="A248" s="29">
        <v>45083</v>
      </c>
      <c r="B248" s="30"/>
      <c r="C248" s="30" t="s">
        <v>3365</v>
      </c>
      <c r="D248" s="30"/>
      <c r="E248" s="30" t="s">
        <v>271</v>
      </c>
      <c r="F248" s="34" t="str">
        <f>IFERROR(VLOOKUP(VENTAS[[#This Row],[Código del producto Vendido]],STOCK[],5,FALSE),"-")</f>
        <v>Vestido camiseta bajo con abertura</v>
      </c>
      <c r="G248" s="34">
        <v>1</v>
      </c>
      <c r="H248" s="35">
        <v>22</v>
      </c>
      <c r="I248" s="35">
        <f>VENTAS[[#This Row],[Cantidad]]*VENTAS[[#This Row],[Precio Venta]]</f>
        <v>22</v>
      </c>
      <c r="J248" s="35">
        <f>IF(VENTAS[[#This Row],[Nombre del Gestor]]&gt;1,VENTAS[[#This Row],[Total]]*10%,0)</f>
        <v>0</v>
      </c>
      <c r="K248" s="35">
        <f>IFERROR(VLOOKUP(VENTAS[[#This Row],[Código del producto Vendido]],STOCK[],16,FALSE)*VENTAS[[#This Row],[Cantidad]]+VLOOKUP(VENTAS[[#This Row],[Código del producto Vendido]],STOCK[],19,FALSE)*VENTAS[[#This Row],[Cantidad]],VENTAS[[#This Row],[Total]])</f>
        <v>13.3888888888889</v>
      </c>
      <c r="L248" s="35">
        <f>VENTAS[[#This Row],[Total]]-VENTAS[[#This Row],[Comisión 10%]]-VENTAS[[#This Row],[Costo SIN Comision]]</f>
        <v>8.6111111111111</v>
      </c>
      <c r="M248" s="35"/>
    </row>
    <row r="249" ht="20" customHeight="1" spans="1:13">
      <c r="A249" s="29">
        <v>45085</v>
      </c>
      <c r="B249" s="30"/>
      <c r="C249" s="30" t="s">
        <v>3366</v>
      </c>
      <c r="D249" s="30"/>
      <c r="E249" s="30" t="s">
        <v>753</v>
      </c>
      <c r="F249" s="34" t="str">
        <f>IFERROR(VLOOKUP(VENTAS[[#This Row],[Código del producto Vendido]],STOCK[],5,FALSE),"-")</f>
        <v>Sandalias Rojas</v>
      </c>
      <c r="G249" s="34">
        <v>1</v>
      </c>
      <c r="H249" s="35">
        <v>35</v>
      </c>
      <c r="I249" s="35">
        <f>VENTAS[[#This Row],[Cantidad]]*VENTAS[[#This Row],[Precio Venta]]</f>
        <v>35</v>
      </c>
      <c r="J249" s="35">
        <f>IF(VENTAS[[#This Row],[Nombre del Gestor]]&gt;1,VENTAS[[#This Row],[Total]]*10%,0)</f>
        <v>0</v>
      </c>
      <c r="K249" s="35">
        <f>IFERROR(VLOOKUP(VENTAS[[#This Row],[Código del producto Vendido]],STOCK[],16,FALSE)*VENTAS[[#This Row],[Cantidad]]+VLOOKUP(VENTAS[[#This Row],[Código del producto Vendido]],STOCK[],19,FALSE)*VENTAS[[#This Row],[Cantidad]],VENTAS[[#This Row],[Total]])</f>
        <v>25.7222222222222</v>
      </c>
      <c r="L249" s="35">
        <f>VENTAS[[#This Row],[Total]]-VENTAS[[#This Row],[Comisión 10%]]-VENTAS[[#This Row],[Costo SIN Comision]]</f>
        <v>9.2777777777778</v>
      </c>
      <c r="M249" s="35"/>
    </row>
    <row r="250" ht="20" customHeight="1" spans="1:13">
      <c r="A250" s="29">
        <v>45085</v>
      </c>
      <c r="B250" s="30"/>
      <c r="C250" s="30" t="s">
        <v>3366</v>
      </c>
      <c r="D250" s="30"/>
      <c r="E250" s="30" t="s">
        <v>1150</v>
      </c>
      <c r="F250" s="34" t="str">
        <f>IFERROR(VLOOKUP(VENTAS[[#This Row],[Código del producto Vendido]],STOCK[],5,FALSE),"-")</f>
        <v>Sandalias de tiras de tacón cuadrado</v>
      </c>
      <c r="G250" s="34">
        <v>1</v>
      </c>
      <c r="H250" s="35">
        <v>45</v>
      </c>
      <c r="I250" s="35">
        <f>VENTAS[[#This Row],[Cantidad]]*VENTAS[[#This Row],[Precio Venta]]</f>
        <v>45</v>
      </c>
      <c r="J250" s="35">
        <f>IF(VENTAS[[#This Row],[Nombre del Gestor]]&gt;1,VENTAS[[#This Row],[Total]]*10%,0)</f>
        <v>0</v>
      </c>
      <c r="K250" s="35">
        <f>IFERROR(VLOOKUP(VENTAS[[#This Row],[Código del producto Vendido]],STOCK[],16,FALSE)*VENTAS[[#This Row],[Cantidad]]+VLOOKUP(VENTAS[[#This Row],[Código del producto Vendido]],STOCK[],19,FALSE)*VENTAS[[#This Row],[Cantidad]],VENTAS[[#This Row],[Total]])</f>
        <v>35.3617647058824</v>
      </c>
      <c r="L250" s="35">
        <f>VENTAS[[#This Row],[Total]]-VENTAS[[#This Row],[Comisión 10%]]-VENTAS[[#This Row],[Costo SIN Comision]]</f>
        <v>9.6382352941176</v>
      </c>
      <c r="M250" s="35"/>
    </row>
    <row r="251" ht="20" customHeight="1" spans="1:13">
      <c r="A251" s="29">
        <v>45086</v>
      </c>
      <c r="B251" s="30"/>
      <c r="C251" s="30" t="s">
        <v>3367</v>
      </c>
      <c r="D251" s="30"/>
      <c r="E251" s="30" t="s">
        <v>559</v>
      </c>
      <c r="F251" s="34" t="str">
        <f>IFERROR(VLOOKUP(VENTAS[[#This Row],[Código del producto Vendido]],STOCK[],5,FALSE),"-")</f>
        <v>Shorts de cintura con cordón</v>
      </c>
      <c r="G251" s="34">
        <v>1</v>
      </c>
      <c r="H251" s="35">
        <v>19</v>
      </c>
      <c r="I251" s="35">
        <f>VENTAS[[#This Row],[Cantidad]]*VENTAS[[#This Row],[Precio Venta]]</f>
        <v>19</v>
      </c>
      <c r="J251" s="35">
        <f>IF(VENTAS[[#This Row],[Nombre del Gestor]]&gt;1,VENTAS[[#This Row],[Total]]*10%,0)</f>
        <v>0</v>
      </c>
      <c r="K251" s="35">
        <f>IFERROR(VLOOKUP(VENTAS[[#This Row],[Código del producto Vendido]],STOCK[],16,FALSE)*VENTAS[[#This Row],[Cantidad]]+VLOOKUP(VENTAS[[#This Row],[Código del producto Vendido]],STOCK[],19,FALSE)*VENTAS[[#This Row],[Cantidad]],VENTAS[[#This Row],[Total]])</f>
        <v>6.66555555555556</v>
      </c>
      <c r="L251" s="35">
        <f>VENTAS[[#This Row],[Total]]-VENTAS[[#This Row],[Comisión 10%]]-VENTAS[[#This Row],[Costo SIN Comision]]</f>
        <v>12.3344444444444</v>
      </c>
      <c r="M251" s="35"/>
    </row>
    <row r="252" ht="20" customHeight="1" spans="1:13">
      <c r="A252" s="29">
        <v>45086</v>
      </c>
      <c r="B252" s="30"/>
      <c r="C252" s="30" t="s">
        <v>3367</v>
      </c>
      <c r="D252" s="30"/>
      <c r="E252" s="30" t="s">
        <v>484</v>
      </c>
      <c r="F252" s="34" t="str">
        <f>IFERROR(VLOOKUP(VENTAS[[#This Row],[Código del producto Vendido]],STOCK[],5,FALSE),"-")</f>
        <v>Bolsa cartera con manija</v>
      </c>
      <c r="G252" s="34">
        <v>1</v>
      </c>
      <c r="H252" s="35">
        <v>15</v>
      </c>
      <c r="I252" s="35">
        <f>VENTAS[[#This Row],[Cantidad]]*VENTAS[[#This Row],[Precio Venta]]</f>
        <v>15</v>
      </c>
      <c r="J252" s="35">
        <f>IF(VENTAS[[#This Row],[Nombre del Gestor]]&gt;1,VENTAS[[#This Row],[Total]]*10%,0)</f>
        <v>0</v>
      </c>
      <c r="K252" s="35">
        <f>IFERROR(VLOOKUP(VENTAS[[#This Row],[Código del producto Vendido]],STOCK[],16,FALSE)*VENTAS[[#This Row],[Cantidad]]+VLOOKUP(VENTAS[[#This Row],[Código del producto Vendido]],STOCK[],19,FALSE)*VENTAS[[#This Row],[Cantidad]],VENTAS[[#This Row],[Total]])</f>
        <v>8.86444444444444</v>
      </c>
      <c r="L252" s="35">
        <f>VENTAS[[#This Row],[Total]]-VENTAS[[#This Row],[Comisión 10%]]-VENTAS[[#This Row],[Costo SIN Comision]]</f>
        <v>6.13555555555556</v>
      </c>
      <c r="M252" s="35"/>
    </row>
    <row r="253" ht="20" customHeight="1" spans="1:13">
      <c r="A253" s="29">
        <v>45086</v>
      </c>
      <c r="B253" s="30"/>
      <c r="C253" s="30" t="s">
        <v>3368</v>
      </c>
      <c r="D253" s="30"/>
      <c r="E253" s="30" t="s">
        <v>875</v>
      </c>
      <c r="F253" s="34" t="str">
        <f>IFERROR(VLOOKUP(VENTAS[[#This Row],[Código del producto Vendido]],STOCK[],5,FALSE),"-")</f>
        <v>Brasier de encaje_Negro Unitalla</v>
      </c>
      <c r="G253" s="34">
        <v>1</v>
      </c>
      <c r="H253" s="35">
        <v>7</v>
      </c>
      <c r="I253" s="35">
        <f>VENTAS[[#This Row],[Cantidad]]*VENTAS[[#This Row],[Precio Venta]]</f>
        <v>7</v>
      </c>
      <c r="J253" s="35">
        <f>IF(VENTAS[[#This Row],[Nombre del Gestor]]&gt;1,VENTAS[[#This Row],[Total]]*10%,0)</f>
        <v>0</v>
      </c>
      <c r="K253" s="35">
        <f>IFERROR(VLOOKUP(VENTAS[[#This Row],[Código del producto Vendido]],STOCK[],16,FALSE)*VENTAS[[#This Row],[Cantidad]]+VLOOKUP(VENTAS[[#This Row],[Código del producto Vendido]],STOCK[],19,FALSE)*VENTAS[[#This Row],[Cantidad]],VENTAS[[#This Row],[Total]])</f>
        <v>3.71111111111111</v>
      </c>
      <c r="L253" s="35">
        <f>VENTAS[[#This Row],[Total]]-VENTAS[[#This Row],[Comisión 10%]]-VENTAS[[#This Row],[Costo SIN Comision]]</f>
        <v>3.28888888888889</v>
      </c>
      <c r="M253" s="35"/>
    </row>
    <row r="254" ht="20" customHeight="1" spans="1:13">
      <c r="A254" s="29">
        <v>45086</v>
      </c>
      <c r="B254" s="30"/>
      <c r="C254" s="30" t="s">
        <v>3368</v>
      </c>
      <c r="D254" s="30"/>
      <c r="E254" s="30" t="s">
        <v>877</v>
      </c>
      <c r="F254" s="34" t="str">
        <f>IFERROR(VLOOKUP(VENTAS[[#This Row],[Código del producto Vendido]],STOCK[],5,FALSE),"-")</f>
        <v>Brasier de encaje blanco</v>
      </c>
      <c r="G254" s="34">
        <v>1</v>
      </c>
      <c r="H254" s="35">
        <v>7</v>
      </c>
      <c r="I254" s="35">
        <f>VENTAS[[#This Row],[Cantidad]]*VENTAS[[#This Row],[Precio Venta]]</f>
        <v>7</v>
      </c>
      <c r="J254" s="35">
        <f>IF(VENTAS[[#This Row],[Nombre del Gestor]]&gt;1,VENTAS[[#This Row],[Total]]*10%,0)</f>
        <v>0</v>
      </c>
      <c r="K254" s="35">
        <f>IFERROR(VLOOKUP(VENTAS[[#This Row],[Código del producto Vendido]],STOCK[],16,FALSE)*VENTAS[[#This Row],[Cantidad]]+VLOOKUP(VENTAS[[#This Row],[Código del producto Vendido]],STOCK[],19,FALSE)*VENTAS[[#This Row],[Cantidad]],VENTAS[[#This Row],[Total]])</f>
        <v>3.71111111111111</v>
      </c>
      <c r="L254" s="35">
        <f>VENTAS[[#This Row],[Total]]-VENTAS[[#This Row],[Comisión 10%]]-VENTAS[[#This Row],[Costo SIN Comision]]</f>
        <v>3.28888888888889</v>
      </c>
      <c r="M254" s="35"/>
    </row>
    <row r="255" ht="20" customHeight="1" spans="1:13">
      <c r="A255" s="29">
        <v>45086</v>
      </c>
      <c r="B255" s="30"/>
      <c r="C255" s="30" t="s">
        <v>3369</v>
      </c>
      <c r="D255" s="30"/>
      <c r="E255" s="30" t="s">
        <v>664</v>
      </c>
      <c r="F255" s="34" t="str">
        <f>IFERROR(VLOOKUP(VENTAS[[#This Row],[Código del producto Vendido]],STOCK[],5,FALSE),"-")</f>
        <v>Top Cruzado negro</v>
      </c>
      <c r="G255" s="34">
        <v>1</v>
      </c>
      <c r="H255" s="35">
        <v>9</v>
      </c>
      <c r="I255" s="35">
        <f>VENTAS[[#This Row],[Cantidad]]*VENTAS[[#This Row],[Precio Venta]]</f>
        <v>9</v>
      </c>
      <c r="J255" s="35">
        <f>IF(VENTAS[[#This Row],[Nombre del Gestor]]&gt;1,VENTAS[[#This Row],[Total]]*10%,0)</f>
        <v>0</v>
      </c>
      <c r="K255" s="35">
        <f>IFERROR(VLOOKUP(VENTAS[[#This Row],[Código del producto Vendido]],STOCK[],16,FALSE)*VENTAS[[#This Row],[Cantidad]]+VLOOKUP(VENTAS[[#This Row],[Código del producto Vendido]],STOCK[],19,FALSE)*VENTAS[[#This Row],[Cantidad]],VENTAS[[#This Row],[Total]])</f>
        <v>4.90166666666667</v>
      </c>
      <c r="L255" s="35">
        <f>VENTAS[[#This Row],[Total]]-VENTAS[[#This Row],[Comisión 10%]]-VENTAS[[#This Row],[Costo SIN Comision]]</f>
        <v>4.09833333333333</v>
      </c>
      <c r="M255" s="35"/>
    </row>
    <row r="256" ht="20" customHeight="1" spans="1:13">
      <c r="A256" s="29">
        <v>45086</v>
      </c>
      <c r="B256" s="30"/>
      <c r="C256" s="30" t="s">
        <v>3369</v>
      </c>
      <c r="D256" s="30"/>
      <c r="E256" s="30" t="s">
        <v>595</v>
      </c>
      <c r="F256" s="34" t="str">
        <f>IFERROR(VLOOKUP(VENTAS[[#This Row],[Código del producto Vendido]],STOCK[],5,FALSE),"-")</f>
        <v>Top cruzado naranja</v>
      </c>
      <c r="G256" s="34">
        <v>1</v>
      </c>
      <c r="H256" s="35">
        <v>9</v>
      </c>
      <c r="I256" s="35">
        <f>VENTAS[[#This Row],[Cantidad]]*VENTAS[[#This Row],[Precio Venta]]</f>
        <v>9</v>
      </c>
      <c r="J256" s="35">
        <f>IF(VENTAS[[#This Row],[Nombre del Gestor]]&gt;1,VENTAS[[#This Row],[Total]]*10%,0)</f>
        <v>0</v>
      </c>
      <c r="K256" s="35">
        <f>IFERROR(VLOOKUP(VENTAS[[#This Row],[Código del producto Vendido]],STOCK[],16,FALSE)*VENTAS[[#This Row],[Cantidad]]+VLOOKUP(VENTAS[[#This Row],[Código del producto Vendido]],STOCK[],19,FALSE)*VENTAS[[#This Row],[Cantidad]],VENTAS[[#This Row],[Total]])</f>
        <v>5.06833333333333</v>
      </c>
      <c r="L256" s="35">
        <f>VENTAS[[#This Row],[Total]]-VENTAS[[#This Row],[Comisión 10%]]-VENTAS[[#This Row],[Costo SIN Comision]]</f>
        <v>3.93166666666667</v>
      </c>
      <c r="M256" s="35"/>
    </row>
    <row r="257" ht="20" customHeight="1" spans="1:13">
      <c r="A257" s="29">
        <v>45086</v>
      </c>
      <c r="B257" s="30"/>
      <c r="C257" s="30" t="s">
        <v>3370</v>
      </c>
      <c r="D257" s="30"/>
      <c r="E257" s="30" t="s">
        <v>112</v>
      </c>
      <c r="F257" s="34" t="str">
        <f>IFERROR(VLOOKUP(VENTAS[[#This Row],[Código del producto Vendido]],STOCK[],5,FALSE),"-")</f>
        <v>Bikini Mangas Negro</v>
      </c>
      <c r="G257" s="34">
        <v>1</v>
      </c>
      <c r="H257" s="35">
        <v>25</v>
      </c>
      <c r="I257" s="35">
        <f>VENTAS[[#This Row],[Cantidad]]*VENTAS[[#This Row],[Precio Venta]]</f>
        <v>25</v>
      </c>
      <c r="J257" s="35">
        <f>IF(VENTAS[[#This Row],[Nombre del Gestor]]&gt;1,VENTAS[[#This Row],[Total]]*10%,0)</f>
        <v>0</v>
      </c>
      <c r="K257" s="35">
        <f>IFERROR(VLOOKUP(VENTAS[[#This Row],[Código del producto Vendido]],STOCK[],16,FALSE)*VENTAS[[#This Row],[Cantidad]]+VLOOKUP(VENTAS[[#This Row],[Código del producto Vendido]],STOCK[],19,FALSE)*VENTAS[[#This Row],[Cantidad]],VENTAS[[#This Row],[Total]])</f>
        <v>14.0405555555556</v>
      </c>
      <c r="L257" s="35">
        <f>VENTAS[[#This Row],[Total]]-VENTAS[[#This Row],[Comisión 10%]]-VENTAS[[#This Row],[Costo SIN Comision]]</f>
        <v>10.9594444444444</v>
      </c>
      <c r="M257" s="35"/>
    </row>
    <row r="258" ht="20" customHeight="1" spans="1:13">
      <c r="A258" s="29">
        <v>45086</v>
      </c>
      <c r="B258" s="30"/>
      <c r="C258" s="30" t="s">
        <v>3370</v>
      </c>
      <c r="D258" s="30"/>
      <c r="E258" s="30" t="s">
        <v>1138</v>
      </c>
      <c r="F258" s="34" t="str">
        <f>IFERROR(VLOOKUP(VENTAS[[#This Row],[Código del producto Vendido]],STOCK[],5,FALSE),"-")</f>
        <v>Babydoll</v>
      </c>
      <c r="G258" s="34">
        <v>1</v>
      </c>
      <c r="H258" s="35">
        <v>12</v>
      </c>
      <c r="I258" s="35">
        <f>VENTAS[[#This Row],[Cantidad]]*VENTAS[[#This Row],[Precio Venta]]</f>
        <v>12</v>
      </c>
      <c r="J258" s="35">
        <f>IF(VENTAS[[#This Row],[Nombre del Gestor]]&gt;1,VENTAS[[#This Row],[Total]]*10%,0)</f>
        <v>0</v>
      </c>
      <c r="K258" s="35">
        <f>IFERROR(VLOOKUP(VENTAS[[#This Row],[Código del producto Vendido]],STOCK[],16,FALSE)*VENTAS[[#This Row],[Cantidad]]+VLOOKUP(VENTAS[[#This Row],[Código del producto Vendido]],STOCK[],19,FALSE)*VENTAS[[#This Row],[Cantidad]],VENTAS[[#This Row],[Total]])</f>
        <v>9.57941176470588</v>
      </c>
      <c r="L258" s="35">
        <f>VENTAS[[#This Row],[Total]]-VENTAS[[#This Row],[Comisión 10%]]-VENTAS[[#This Row],[Costo SIN Comision]]</f>
        <v>2.42058823529412</v>
      </c>
      <c r="M258" s="35"/>
    </row>
    <row r="259" ht="20" customHeight="1" spans="1:13">
      <c r="A259" s="29"/>
      <c r="B259" s="30"/>
      <c r="C259" s="30"/>
      <c r="D259" s="30"/>
      <c r="E259" s="30"/>
      <c r="F259" s="34" t="str">
        <f>IFERROR(VLOOKUP(VENTAS[[#This Row],[Código del producto Vendido]],STOCK[],5,FALSE),"-")</f>
        <v>-</v>
      </c>
      <c r="G259" s="34"/>
      <c r="H259" s="35"/>
      <c r="I259" s="35">
        <f>VENTAS[[#This Row],[Cantidad]]*VENTAS[[#This Row],[Precio Venta]]</f>
        <v>0</v>
      </c>
      <c r="J259" s="35">
        <f>IF(VENTAS[[#This Row],[Nombre del Gestor]]&gt;1,VENTAS[[#This Row],[Total]]*10%,0)</f>
        <v>0</v>
      </c>
      <c r="K259" s="35">
        <f>IFERROR(VLOOKUP(VENTAS[[#This Row],[Código del producto Vendido]],STOCK[],16,FALSE)*VENTAS[[#This Row],[Cantidad]]+VLOOKUP(VENTAS[[#This Row],[Código del producto Vendido]],STOCK[],19,FALSE)*VENTAS[[#This Row],[Cantidad]],VENTAS[[#This Row],[Total]])</f>
        <v>0</v>
      </c>
      <c r="L259" s="35">
        <f>VENTAS[[#This Row],[Total]]-VENTAS[[#This Row],[Comisión 10%]]-VENTAS[[#This Row],[Costo SIN Comision]]</f>
        <v>0</v>
      </c>
      <c r="M259" s="35"/>
    </row>
    <row r="260" ht="20" customHeight="1" spans="1:13">
      <c r="A260" s="29">
        <v>45086</v>
      </c>
      <c r="B260" s="30"/>
      <c r="C260" s="30"/>
      <c r="D260" s="30"/>
      <c r="E260" s="30" t="s">
        <v>806</v>
      </c>
      <c r="F260" s="34" t="str">
        <f>IFERROR(VLOOKUP(VENTAS[[#This Row],[Código del producto Vendido]],STOCK[],5,FALSE),"-")</f>
        <v>Bañador a rayas con lazo</v>
      </c>
      <c r="G260" s="34">
        <v>1</v>
      </c>
      <c r="H260" s="35">
        <v>15</v>
      </c>
      <c r="I260" s="35">
        <f>VENTAS[[#This Row],[Cantidad]]*VENTAS[[#This Row],[Precio Venta]]</f>
        <v>15</v>
      </c>
      <c r="J260" s="35">
        <f>IF(VENTAS[[#This Row],[Nombre del Gestor]]&gt;1,VENTAS[[#This Row],[Total]]*10%,0)</f>
        <v>0</v>
      </c>
      <c r="K260" s="35">
        <f>IFERROR(VLOOKUP(VENTAS[[#This Row],[Código del producto Vendido]],STOCK[],16,FALSE)*VENTAS[[#This Row],[Cantidad]]+VLOOKUP(VENTAS[[#This Row],[Código del producto Vendido]],STOCK[],19,FALSE)*VENTAS[[#This Row],[Cantidad]],VENTAS[[#This Row],[Total]])</f>
        <v>9.5</v>
      </c>
      <c r="L260" s="35">
        <f>VENTAS[[#This Row],[Total]]-VENTAS[[#This Row],[Comisión 10%]]-VENTAS[[#This Row],[Costo SIN Comision]]</f>
        <v>5.5</v>
      </c>
      <c r="M260" s="35"/>
    </row>
    <row r="261" ht="20" customHeight="1" spans="1:13">
      <c r="A261" s="29">
        <v>45086</v>
      </c>
      <c r="B261" s="30"/>
      <c r="C261" s="30"/>
      <c r="D261" s="30"/>
      <c r="E261" s="30" t="s">
        <v>1034</v>
      </c>
      <c r="F261" s="34" t="str">
        <f>IFERROR(VLOOKUP(VENTAS[[#This Row],[Código del producto Vendido]],STOCK[],5,FALSE),"-")</f>
        <v>Jenas Ajustados Oscuro</v>
      </c>
      <c r="G261" s="34">
        <v>1</v>
      </c>
      <c r="H261" s="35">
        <v>35</v>
      </c>
      <c r="I261" s="35">
        <f>VENTAS[[#This Row],[Cantidad]]*VENTAS[[#This Row],[Precio Venta]]</f>
        <v>35</v>
      </c>
      <c r="J261" s="35">
        <f>IF(VENTAS[[#This Row],[Nombre del Gestor]]&gt;1,VENTAS[[#This Row],[Total]]*10%,0)</f>
        <v>0</v>
      </c>
      <c r="K261" s="35">
        <f>IFERROR(VLOOKUP(VENTAS[[#This Row],[Código del producto Vendido]],STOCK[],16,FALSE)*VENTAS[[#This Row],[Cantidad]]+VLOOKUP(VENTAS[[#This Row],[Código del producto Vendido]],STOCK[],19,FALSE)*VENTAS[[#This Row],[Cantidad]],VENTAS[[#This Row],[Total]])</f>
        <v>24.6818181818182</v>
      </c>
      <c r="L261" s="35">
        <f>VENTAS[[#This Row],[Total]]-VENTAS[[#This Row],[Comisión 10%]]-VENTAS[[#This Row],[Costo SIN Comision]]</f>
        <v>10.3181818181818</v>
      </c>
      <c r="M261" s="35"/>
    </row>
    <row r="262" ht="20" customHeight="1" spans="1:13">
      <c r="A262" s="29">
        <v>45088</v>
      </c>
      <c r="B262" s="30"/>
      <c r="C262" s="30"/>
      <c r="D262" s="30"/>
      <c r="E262" s="30" t="s">
        <v>35</v>
      </c>
      <c r="F262" s="34" t="str">
        <f>IFERROR(VLOOKUP(VENTAS[[#This Row],[Código del producto Vendido]],STOCK[],5,FALSE),"-")</f>
        <v>Bikini Floral</v>
      </c>
      <c r="G262" s="34">
        <v>1</v>
      </c>
      <c r="H262" s="35">
        <v>25</v>
      </c>
      <c r="I262" s="35">
        <f>VENTAS[[#This Row],[Cantidad]]*VENTAS[[#This Row],[Precio Venta]]</f>
        <v>25</v>
      </c>
      <c r="J262" s="35">
        <f>IF(VENTAS[[#This Row],[Nombre del Gestor]]&gt;1,VENTAS[[#This Row],[Total]]*10%,0)</f>
        <v>0</v>
      </c>
      <c r="K262" s="35">
        <f>IFERROR(VLOOKUP(VENTAS[[#This Row],[Código del producto Vendido]],STOCK[],16,FALSE)*VENTAS[[#This Row],[Cantidad]]+VLOOKUP(VENTAS[[#This Row],[Código del producto Vendido]],STOCK[],19,FALSE)*VENTAS[[#This Row],[Cantidad]],VENTAS[[#This Row],[Total]])</f>
        <v>18.3711111111111</v>
      </c>
      <c r="L262" s="35">
        <f>VENTAS[[#This Row],[Total]]-VENTAS[[#This Row],[Comisión 10%]]-VENTAS[[#This Row],[Costo SIN Comision]]</f>
        <v>6.6288888888889</v>
      </c>
      <c r="M262" s="35"/>
    </row>
    <row r="263" ht="20" customHeight="1" spans="1:13">
      <c r="A263" s="29">
        <v>45088</v>
      </c>
      <c r="B263" s="30"/>
      <c r="C263" s="30"/>
      <c r="D263" s="30"/>
      <c r="E263" s="30" t="s">
        <v>939</v>
      </c>
      <c r="F263" s="34" t="str">
        <f>IFERROR(VLOOKUP(VENTAS[[#This Row],[Código del producto Vendido]],STOCK[],5,FALSE),"-")</f>
        <v>Vestido Tropical</v>
      </c>
      <c r="G263" s="34">
        <v>1</v>
      </c>
      <c r="H263" s="35">
        <v>30</v>
      </c>
      <c r="I263" s="35">
        <f>VENTAS[[#This Row],[Cantidad]]*VENTAS[[#This Row],[Precio Venta]]</f>
        <v>30</v>
      </c>
      <c r="J263" s="35">
        <f>IF(VENTAS[[#This Row],[Nombre del Gestor]]&gt;1,VENTAS[[#This Row],[Total]]*10%,0)</f>
        <v>0</v>
      </c>
      <c r="K263" s="35">
        <f>IFERROR(VLOOKUP(VENTAS[[#This Row],[Código del producto Vendido]],STOCK[],16,FALSE)*VENTAS[[#This Row],[Cantidad]]+VLOOKUP(VENTAS[[#This Row],[Código del producto Vendido]],STOCK[],19,FALSE)*VENTAS[[#This Row],[Cantidad]],VENTAS[[#This Row],[Total]])</f>
        <v>19.0186363636364</v>
      </c>
      <c r="L263" s="35">
        <f>VENTAS[[#This Row],[Total]]-VENTAS[[#This Row],[Comisión 10%]]-VENTAS[[#This Row],[Costo SIN Comision]]</f>
        <v>10.9813636363636</v>
      </c>
      <c r="M263" s="35"/>
    </row>
    <row r="264" ht="20" customHeight="1" spans="1:13">
      <c r="A264" s="29">
        <v>45089</v>
      </c>
      <c r="B264" s="30"/>
      <c r="C264" s="30"/>
      <c r="D264" s="30"/>
      <c r="E264" s="30" t="s">
        <v>484</v>
      </c>
      <c r="F264" s="34" t="str">
        <f>IFERROR(VLOOKUP(VENTAS[[#This Row],[Código del producto Vendido]],STOCK[],5,FALSE),"-")</f>
        <v>Bolsa cartera con manija</v>
      </c>
      <c r="G264" s="34">
        <v>1</v>
      </c>
      <c r="H264" s="35">
        <v>15</v>
      </c>
      <c r="I264" s="35">
        <f>VENTAS[[#This Row],[Cantidad]]*VENTAS[[#This Row],[Precio Venta]]</f>
        <v>15</v>
      </c>
      <c r="J264" s="35">
        <f>IF(VENTAS[[#This Row],[Nombre del Gestor]]&gt;1,VENTAS[[#This Row],[Total]]*10%,0)</f>
        <v>0</v>
      </c>
      <c r="K264" s="35">
        <f>IFERROR(VLOOKUP(VENTAS[[#This Row],[Código del producto Vendido]],STOCK[],16,FALSE)*VENTAS[[#This Row],[Cantidad]]+VLOOKUP(VENTAS[[#This Row],[Código del producto Vendido]],STOCK[],19,FALSE)*VENTAS[[#This Row],[Cantidad]],VENTAS[[#This Row],[Total]])</f>
        <v>8.86444444444444</v>
      </c>
      <c r="L264" s="35">
        <f>VENTAS[[#This Row],[Total]]-VENTAS[[#This Row],[Comisión 10%]]-VENTAS[[#This Row],[Costo SIN Comision]]</f>
        <v>6.13555555555556</v>
      </c>
      <c r="M264" s="35"/>
    </row>
    <row r="265" ht="20" customHeight="1" spans="1:13">
      <c r="A265" s="29">
        <v>45089</v>
      </c>
      <c r="B265" s="30"/>
      <c r="C265" s="30"/>
      <c r="D265" s="30"/>
      <c r="E265" s="30" t="s">
        <v>1035</v>
      </c>
      <c r="F265" s="34" t="str">
        <f>IFERROR(VLOOKUP(VENTAS[[#This Row],[Código del producto Vendido]],STOCK[],5,FALSE),"-")</f>
        <v>Falda Fruncida </v>
      </c>
      <c r="G265" s="34">
        <v>1</v>
      </c>
      <c r="H265" s="35">
        <v>25</v>
      </c>
      <c r="I265" s="35">
        <f>VENTAS[[#This Row],[Cantidad]]*VENTAS[[#This Row],[Precio Venta]]</f>
        <v>25</v>
      </c>
      <c r="J265" s="35">
        <f>IF(VENTAS[[#This Row],[Nombre del Gestor]]&gt;1,VENTAS[[#This Row],[Total]]*10%,0)</f>
        <v>0</v>
      </c>
      <c r="K265" s="35">
        <f>IFERROR(VLOOKUP(VENTAS[[#This Row],[Código del producto Vendido]],STOCK[],16,FALSE)*VENTAS[[#This Row],[Cantidad]]+VLOOKUP(VENTAS[[#This Row],[Código del producto Vendido]],STOCK[],19,FALSE)*VENTAS[[#This Row],[Cantidad]],VENTAS[[#This Row],[Total]])</f>
        <v>14.625</v>
      </c>
      <c r="L265" s="35">
        <f>VENTAS[[#This Row],[Total]]-VENTAS[[#This Row],[Comisión 10%]]-VENTAS[[#This Row],[Costo SIN Comision]]</f>
        <v>10.375</v>
      </c>
      <c r="M265" s="35"/>
    </row>
    <row r="266" ht="20" customHeight="1" spans="1:13">
      <c r="A266" s="29">
        <v>45089</v>
      </c>
      <c r="B266" s="30"/>
      <c r="C266" s="30"/>
      <c r="D266" s="30"/>
      <c r="E266" s="30" t="s">
        <v>959</v>
      </c>
      <c r="F266" s="34" t="str">
        <f>IFERROR(VLOOKUP(VENTAS[[#This Row],[Código del producto Vendido]],STOCK[],5,FALSE),"-")</f>
        <v>Pantalón business básico</v>
      </c>
      <c r="G266" s="34">
        <v>1</v>
      </c>
      <c r="H266" s="35">
        <v>30</v>
      </c>
      <c r="I266" s="35">
        <f>VENTAS[[#This Row],[Cantidad]]*VENTAS[[#This Row],[Precio Venta]]</f>
        <v>30</v>
      </c>
      <c r="J266" s="35">
        <f>IF(VENTAS[[#This Row],[Nombre del Gestor]]&gt;1,VENTAS[[#This Row],[Total]]*10%,0)</f>
        <v>0</v>
      </c>
      <c r="K266" s="35">
        <f>IFERROR(VLOOKUP(VENTAS[[#This Row],[Código del producto Vendido]],STOCK[],16,FALSE)*VENTAS[[#This Row],[Cantidad]]+VLOOKUP(VENTAS[[#This Row],[Código del producto Vendido]],STOCK[],19,FALSE)*VENTAS[[#This Row],[Cantidad]],VENTAS[[#This Row],[Total]])</f>
        <v>21.3722727272727</v>
      </c>
      <c r="L266" s="35">
        <f>VENTAS[[#This Row],[Total]]-VENTAS[[#This Row],[Comisión 10%]]-VENTAS[[#This Row],[Costo SIN Comision]]</f>
        <v>8.6277272727273</v>
      </c>
      <c r="M266" s="35"/>
    </row>
    <row r="267" ht="20" customHeight="1" spans="1:13">
      <c r="A267" s="29">
        <v>45088</v>
      </c>
      <c r="B267" s="30"/>
      <c r="C267" s="30"/>
      <c r="D267" s="30"/>
      <c r="E267" s="30" t="s">
        <v>1088</v>
      </c>
      <c r="F267" s="34" t="str">
        <f>IFERROR(VLOOKUP(VENTAS[[#This Row],[Código del producto Vendido]],STOCK[],5,FALSE),"-")</f>
        <v>Malla fina Pareo</v>
      </c>
      <c r="G267" s="34">
        <v>1</v>
      </c>
      <c r="H267" s="35">
        <v>12</v>
      </c>
      <c r="I267" s="35">
        <f>VENTAS[[#This Row],[Cantidad]]*VENTAS[[#This Row],[Precio Venta]]</f>
        <v>12</v>
      </c>
      <c r="J267" s="35">
        <f>IF(VENTAS[[#This Row],[Nombre del Gestor]]&gt;1,VENTAS[[#This Row],[Total]]*10%,0)</f>
        <v>0</v>
      </c>
      <c r="K267" s="35">
        <f>IFERROR(VLOOKUP(VENTAS[[#This Row],[Código del producto Vendido]],STOCK[],16,FALSE)*VENTAS[[#This Row],[Cantidad]]+VLOOKUP(VENTAS[[#This Row],[Código del producto Vendido]],STOCK[],19,FALSE)*VENTAS[[#This Row],[Cantidad]],VENTAS[[#This Row],[Total]])</f>
        <v>6.92352941176471</v>
      </c>
      <c r="L267" s="35">
        <f>VENTAS[[#This Row],[Total]]-VENTAS[[#This Row],[Comisión 10%]]-VENTAS[[#This Row],[Costo SIN Comision]]</f>
        <v>5.07647058823529</v>
      </c>
      <c r="M267" s="35"/>
    </row>
    <row r="268" ht="20" customHeight="1" spans="1:13">
      <c r="A268" s="29">
        <v>45089</v>
      </c>
      <c r="B268" s="30"/>
      <c r="C268" s="30"/>
      <c r="D268" s="30"/>
      <c r="E268" s="30" t="s">
        <v>58</v>
      </c>
      <c r="F268" s="34" t="str">
        <f>IFERROR(VLOOKUP(VENTAS[[#This Row],[Código del producto Vendido]],STOCK[],5,FALSE),"-")</f>
        <v>Bikini Mangas Fuccia</v>
      </c>
      <c r="G268" s="34">
        <v>1</v>
      </c>
      <c r="H268" s="35">
        <v>22</v>
      </c>
      <c r="I268" s="35">
        <f>VENTAS[[#This Row],[Cantidad]]*VENTAS[[#This Row],[Precio Venta]]</f>
        <v>22</v>
      </c>
      <c r="J268" s="35">
        <f>IF(VENTAS[[#This Row],[Nombre del Gestor]]&gt;1,VENTAS[[#This Row],[Total]]*10%,0)</f>
        <v>0</v>
      </c>
      <c r="K268" s="35">
        <f>IFERROR(VLOOKUP(VENTAS[[#This Row],[Código del producto Vendido]],STOCK[],16,FALSE)*VENTAS[[#This Row],[Cantidad]]+VLOOKUP(VENTAS[[#This Row],[Código del producto Vendido]],STOCK[],19,FALSE)*VENTAS[[#This Row],[Cantidad]],VENTAS[[#This Row],[Total]])</f>
        <v>14.495</v>
      </c>
      <c r="L268" s="35">
        <f>VENTAS[[#This Row],[Total]]-VENTAS[[#This Row],[Comisión 10%]]-VENTAS[[#This Row],[Costo SIN Comision]]</f>
        <v>7.505</v>
      </c>
      <c r="M268" s="35"/>
    </row>
    <row r="269" ht="20" customHeight="1" spans="1:13">
      <c r="A269" s="29">
        <v>45089</v>
      </c>
      <c r="B269" s="30"/>
      <c r="C269" s="30"/>
      <c r="D269" s="30"/>
      <c r="E269" s="30" t="s">
        <v>417</v>
      </c>
      <c r="F269" s="34" t="str">
        <f>IFERROR(VLOOKUP(VENTAS[[#This Row],[Código del producto Vendido]],STOCK[],5,FALSE),"-")</f>
        <v>Bikini tropical con estampado de hoja</v>
      </c>
      <c r="G269" s="34">
        <v>1</v>
      </c>
      <c r="H269" s="35">
        <v>20</v>
      </c>
      <c r="I269" s="35">
        <f>VENTAS[[#This Row],[Cantidad]]*VENTAS[[#This Row],[Precio Venta]]</f>
        <v>20</v>
      </c>
      <c r="J269" s="35">
        <f>IF(VENTAS[[#This Row],[Nombre del Gestor]]&gt;1,VENTAS[[#This Row],[Total]]*10%,0)</f>
        <v>0</v>
      </c>
      <c r="K269" s="35">
        <f>IFERROR(VLOOKUP(VENTAS[[#This Row],[Código del producto Vendido]],STOCK[],16,FALSE)*VENTAS[[#This Row],[Cantidad]]+VLOOKUP(VENTAS[[#This Row],[Código del producto Vendido]],STOCK[],19,FALSE)*VENTAS[[#This Row],[Cantidad]],VENTAS[[#This Row],[Total]])</f>
        <v>13.3888888888889</v>
      </c>
      <c r="L269" s="35">
        <f>VENTAS[[#This Row],[Total]]-VENTAS[[#This Row],[Comisión 10%]]-VENTAS[[#This Row],[Costo SIN Comision]]</f>
        <v>6.6111111111111</v>
      </c>
      <c r="M269" s="35"/>
    </row>
    <row r="270" ht="20" customHeight="1" spans="1:13">
      <c r="A270" s="29">
        <v>45089</v>
      </c>
      <c r="B270" s="30"/>
      <c r="C270" s="30"/>
      <c r="D270" s="30"/>
      <c r="E270" s="30" t="s">
        <v>1136</v>
      </c>
      <c r="F270" s="34" t="str">
        <f>IFERROR(VLOOKUP(VENTAS[[#This Row],[Código del producto Vendido]],STOCK[],5,FALSE),"-")</f>
        <v>Vestido rojo con aberturas H&amp;M</v>
      </c>
      <c r="G270" s="34">
        <v>1</v>
      </c>
      <c r="H270" s="35">
        <v>25</v>
      </c>
      <c r="I270" s="35">
        <f>VENTAS[[#This Row],[Cantidad]]*VENTAS[[#This Row],[Precio Venta]]</f>
        <v>25</v>
      </c>
      <c r="J270" s="35">
        <f>IF(VENTAS[[#This Row],[Nombre del Gestor]]&gt;1,VENTAS[[#This Row],[Total]]*10%,0)</f>
        <v>0</v>
      </c>
      <c r="K270" s="35">
        <f>IFERROR(VLOOKUP(VENTAS[[#This Row],[Código del producto Vendido]],STOCK[],16,FALSE)*VENTAS[[#This Row],[Cantidad]]+VLOOKUP(VENTAS[[#This Row],[Código del producto Vendido]],STOCK[],19,FALSE)*VENTAS[[#This Row],[Cantidad]],VENTAS[[#This Row],[Total]])</f>
        <v>18.1176470588235</v>
      </c>
      <c r="L270" s="35">
        <f>VENTAS[[#This Row],[Total]]-VENTAS[[#This Row],[Comisión 10%]]-VENTAS[[#This Row],[Costo SIN Comision]]</f>
        <v>6.8823529411765</v>
      </c>
      <c r="M270" s="35"/>
    </row>
    <row r="271" ht="20" customHeight="1" spans="1:13">
      <c r="A271" s="29">
        <v>45090</v>
      </c>
      <c r="B271" s="30"/>
      <c r="C271" s="30"/>
      <c r="D271" s="30"/>
      <c r="E271" s="30" t="s">
        <v>1119</v>
      </c>
      <c r="F271" s="34" t="str">
        <f>IFERROR(VLOOKUP(VENTAS[[#This Row],[Código del producto Vendido]],STOCK[],5,FALSE),"-")</f>
        <v>Set de lencería de encaje</v>
      </c>
      <c r="G271" s="34">
        <v>1</v>
      </c>
      <c r="H271" s="35">
        <v>15</v>
      </c>
      <c r="I271" s="35">
        <f>VENTAS[[#This Row],[Cantidad]]*VENTAS[[#This Row],[Precio Venta]]</f>
        <v>15</v>
      </c>
      <c r="J271" s="35">
        <f>IF(VENTAS[[#This Row],[Nombre del Gestor]]&gt;1,VENTAS[[#This Row],[Total]]*10%,0)</f>
        <v>0</v>
      </c>
      <c r="K271" s="35">
        <f>IFERROR(VLOOKUP(VENTAS[[#This Row],[Código del producto Vendido]],STOCK[],16,FALSE)*VENTAS[[#This Row],[Cantidad]]+VLOOKUP(VENTAS[[#This Row],[Código del producto Vendido]],STOCK[],19,FALSE)*VENTAS[[#This Row],[Cantidad]],VENTAS[[#This Row],[Total]])</f>
        <v>7.10882352941176</v>
      </c>
      <c r="L271" s="35">
        <f>VENTAS[[#This Row],[Total]]-VENTAS[[#This Row],[Comisión 10%]]-VENTAS[[#This Row],[Costo SIN Comision]]</f>
        <v>7.89117647058824</v>
      </c>
      <c r="M271" s="35"/>
    </row>
    <row r="272" ht="20" customHeight="1" spans="1:13">
      <c r="A272" s="29">
        <v>45090</v>
      </c>
      <c r="B272" s="30"/>
      <c r="C272" s="30"/>
      <c r="D272" s="30"/>
      <c r="E272" s="30" t="s">
        <v>948</v>
      </c>
      <c r="F272" s="34" t="str">
        <f>IFERROR(VLOOKUP(VENTAS[[#This Row],[Código del producto Vendido]],STOCK[],5,FALSE),"-")</f>
        <v> Pantaloneta Verde</v>
      </c>
      <c r="G272" s="34">
        <v>1</v>
      </c>
      <c r="H272" s="35">
        <v>25</v>
      </c>
      <c r="I272" s="35">
        <f>VENTAS[[#This Row],[Cantidad]]*VENTAS[[#This Row],[Precio Venta]]</f>
        <v>25</v>
      </c>
      <c r="J272" s="35">
        <f>IF(VENTAS[[#This Row],[Nombre del Gestor]]&gt;1,VENTAS[[#This Row],[Total]]*10%,0)</f>
        <v>0</v>
      </c>
      <c r="K272" s="35">
        <f>IFERROR(VLOOKUP(VENTAS[[#This Row],[Código del producto Vendido]],STOCK[],16,FALSE)*VENTAS[[#This Row],[Cantidad]]+VLOOKUP(VENTAS[[#This Row],[Código del producto Vendido]],STOCK[],19,FALSE)*VENTAS[[#This Row],[Cantidad]],VENTAS[[#This Row],[Total]])</f>
        <v>14.8713636363636</v>
      </c>
      <c r="L272" s="35">
        <f>VENTAS[[#This Row],[Total]]-VENTAS[[#This Row],[Comisión 10%]]-VENTAS[[#This Row],[Costo SIN Comision]]</f>
        <v>10.1286363636364</v>
      </c>
      <c r="M272" s="35"/>
    </row>
    <row r="273" ht="20" customHeight="1" spans="1:13">
      <c r="A273" s="29">
        <v>45090</v>
      </c>
      <c r="B273" s="30"/>
      <c r="C273" s="30"/>
      <c r="D273" s="30"/>
      <c r="E273" s="30" t="s">
        <v>888</v>
      </c>
      <c r="F273" s="34" t="str">
        <f>IFERROR(VLOOKUP(VENTAS[[#This Row],[Código del producto Vendido]],STOCK[],5,FALSE),"-")</f>
        <v>Bragas sin costuras</v>
      </c>
      <c r="G273" s="34">
        <v>3</v>
      </c>
      <c r="H273" s="35">
        <v>3.5</v>
      </c>
      <c r="I273" s="35">
        <f>VENTAS[[#This Row],[Cantidad]]*VENTAS[[#This Row],[Precio Venta]]</f>
        <v>10.5</v>
      </c>
      <c r="J273" s="35">
        <f>IF(VENTAS[[#This Row],[Nombre del Gestor]]&gt;1,VENTAS[[#This Row],[Total]]*10%,0)</f>
        <v>0</v>
      </c>
      <c r="K273" s="35">
        <f>IFERROR(VLOOKUP(VENTAS[[#This Row],[Código del producto Vendido]],STOCK[],16,FALSE)*VENTAS[[#This Row],[Cantidad]]+VLOOKUP(VENTAS[[#This Row],[Código del producto Vendido]],STOCK[],19,FALSE)*VENTAS[[#This Row],[Cantidad]],VENTAS[[#This Row],[Total]])</f>
        <v>5.98333333333332</v>
      </c>
      <c r="L273" s="35">
        <f>VENTAS[[#This Row],[Total]]-VENTAS[[#This Row],[Comisión 10%]]-VENTAS[[#This Row],[Costo SIN Comision]]</f>
        <v>4.51666666666668</v>
      </c>
      <c r="M273" s="35"/>
    </row>
    <row r="274" ht="20" customHeight="1" spans="1:13">
      <c r="A274" s="29">
        <v>45090</v>
      </c>
      <c r="B274" s="30"/>
      <c r="C274" s="30"/>
      <c r="D274" s="30"/>
      <c r="E274" s="30" t="s">
        <v>875</v>
      </c>
      <c r="F274" s="34" t="str">
        <f>IFERROR(VLOOKUP(VENTAS[[#This Row],[Código del producto Vendido]],STOCK[],5,FALSE),"-")</f>
        <v>Brasier de encaje_Negro Unitalla</v>
      </c>
      <c r="G274" s="34">
        <v>1</v>
      </c>
      <c r="H274" s="35">
        <v>7</v>
      </c>
      <c r="I274" s="35">
        <f>VENTAS[[#This Row],[Cantidad]]*VENTAS[[#This Row],[Precio Venta]]</f>
        <v>7</v>
      </c>
      <c r="J274" s="35">
        <f>IF(VENTAS[[#This Row],[Nombre del Gestor]]&gt;1,VENTAS[[#This Row],[Total]]*10%,0)</f>
        <v>0</v>
      </c>
      <c r="K274" s="35">
        <f>IFERROR(VLOOKUP(VENTAS[[#This Row],[Código del producto Vendido]],STOCK[],16,FALSE)*VENTAS[[#This Row],[Cantidad]]+VLOOKUP(VENTAS[[#This Row],[Código del producto Vendido]],STOCK[],19,FALSE)*VENTAS[[#This Row],[Cantidad]],VENTAS[[#This Row],[Total]])</f>
        <v>3.71111111111111</v>
      </c>
      <c r="L274" s="35">
        <f>VENTAS[[#This Row],[Total]]-VENTAS[[#This Row],[Comisión 10%]]-VENTAS[[#This Row],[Costo SIN Comision]]</f>
        <v>3.28888888888889</v>
      </c>
      <c r="M274" s="35"/>
    </row>
    <row r="275" ht="20" customHeight="1" spans="1:13">
      <c r="A275" s="29">
        <v>45090</v>
      </c>
      <c r="B275" s="30"/>
      <c r="C275" s="30"/>
      <c r="D275" s="30"/>
      <c r="E275" s="30" t="s">
        <v>1024</v>
      </c>
      <c r="F275" s="34" t="str">
        <f>IFERROR(VLOOKUP(VENTAS[[#This Row],[Código del producto Vendido]],STOCK[],5,FALSE),"-")</f>
        <v>Top Dreamer Blanco</v>
      </c>
      <c r="G275" s="34">
        <v>1</v>
      </c>
      <c r="H275" s="35">
        <v>12</v>
      </c>
      <c r="I275" s="35">
        <f>VENTAS[[#This Row],[Cantidad]]*VENTAS[[#This Row],[Precio Venta]]</f>
        <v>12</v>
      </c>
      <c r="J275" s="35">
        <f>IF(VENTAS[[#This Row],[Nombre del Gestor]]&gt;1,VENTAS[[#This Row],[Total]]*10%,0)</f>
        <v>0</v>
      </c>
      <c r="K275" s="35">
        <f>IFERROR(VLOOKUP(VENTAS[[#This Row],[Código del producto Vendido]],STOCK[],16,FALSE)*VENTAS[[#This Row],[Cantidad]]+VLOOKUP(VENTAS[[#This Row],[Código del producto Vendido]],STOCK[],19,FALSE)*VENTAS[[#This Row],[Cantidad]],VENTAS[[#This Row],[Total]])</f>
        <v>6.75909090909091</v>
      </c>
      <c r="L275" s="35">
        <f>VENTAS[[#This Row],[Total]]-VENTAS[[#This Row],[Comisión 10%]]-VENTAS[[#This Row],[Costo SIN Comision]]</f>
        <v>5.24090909090909</v>
      </c>
      <c r="M275" s="35"/>
    </row>
    <row r="276" ht="20" customHeight="1" spans="1:13">
      <c r="A276" s="29">
        <v>45090</v>
      </c>
      <c r="B276" s="30"/>
      <c r="C276" s="30"/>
      <c r="D276" s="30"/>
      <c r="E276" s="30" t="s">
        <v>729</v>
      </c>
      <c r="F276" s="34" t="str">
        <f>IFERROR(VLOOKUP(VENTAS[[#This Row],[Código del producto Vendido]],STOCK[],5,FALSE),"-")</f>
        <v>Vestido de un hombro</v>
      </c>
      <c r="G276" s="34">
        <v>1</v>
      </c>
      <c r="H276" s="35">
        <v>19</v>
      </c>
      <c r="I276" s="35">
        <f>VENTAS[[#This Row],[Cantidad]]*VENTAS[[#This Row],[Precio Venta]]</f>
        <v>19</v>
      </c>
      <c r="J276" s="35">
        <f>IF(VENTAS[[#This Row],[Nombre del Gestor]]&gt;1,VENTAS[[#This Row],[Total]]*10%,0)</f>
        <v>0</v>
      </c>
      <c r="K276" s="35">
        <f>IFERROR(VLOOKUP(VENTAS[[#This Row],[Código del producto Vendido]],STOCK[],16,FALSE)*VENTAS[[#This Row],[Cantidad]]+VLOOKUP(VENTAS[[#This Row],[Código del producto Vendido]],STOCK[],19,FALSE)*VENTAS[[#This Row],[Cantidad]],VENTAS[[#This Row],[Total]])</f>
        <v>11.9444444444444</v>
      </c>
      <c r="L276" s="35">
        <f>VENTAS[[#This Row],[Total]]-VENTAS[[#This Row],[Comisión 10%]]-VENTAS[[#This Row],[Costo SIN Comision]]</f>
        <v>7.05555555555556</v>
      </c>
      <c r="M276" s="35"/>
    </row>
    <row r="277" ht="20" customHeight="1" spans="1:13">
      <c r="A277" s="48">
        <v>45090</v>
      </c>
      <c r="B277" s="49" t="s">
        <v>3371</v>
      </c>
      <c r="C277" s="49"/>
      <c r="D277" s="49"/>
      <c r="E277" s="49" t="s">
        <v>517</v>
      </c>
      <c r="F277" s="50" t="str">
        <f>IFERROR(VLOOKUP(VENTAS[[#This Row],[Código del producto Vendido]],STOCK[],5,FALSE),"-")</f>
        <v>Calcetines unicolor</v>
      </c>
      <c r="G277" s="50">
        <v>2</v>
      </c>
      <c r="H277" s="51">
        <v>1.5</v>
      </c>
      <c r="I277" s="51">
        <f>VENTAS[[#This Row],[Cantidad]]*VENTAS[[#This Row],[Precio Venta]]</f>
        <v>3</v>
      </c>
      <c r="J277" s="51">
        <f>IF(VENTAS[[#This Row],[Nombre del Gestor]]&gt;1,VENTAS[[#This Row],[Total]]*10%,0)</f>
        <v>0</v>
      </c>
      <c r="K277" s="35">
        <f>IFERROR(VLOOKUP(VENTAS[[#This Row],[Código del producto Vendido]],STOCK[],16,FALSE)*VENTAS[[#This Row],[Cantidad]]+VLOOKUP(VENTAS[[#This Row],[Código del producto Vendido]],STOCK[],19,FALSE)*VENTAS[[#This Row],[Cantidad]],VENTAS[[#This Row],[Total]])</f>
        <v>1.68888888888889</v>
      </c>
      <c r="L277" s="35">
        <f>VENTAS[[#This Row],[Total]]-VENTAS[[#This Row],[Comisión 10%]]-VENTAS[[#This Row],[Costo SIN Comision]]</f>
        <v>1.31111111111111</v>
      </c>
      <c r="M277" s="35"/>
    </row>
    <row r="278" ht="20" customHeight="1" spans="1:13">
      <c r="A278" s="29" t="s">
        <v>3346</v>
      </c>
      <c r="B278" s="30"/>
      <c r="C278" s="30"/>
      <c r="D278" s="30"/>
      <c r="E278" s="30" t="s">
        <v>889</v>
      </c>
      <c r="F278" s="34" t="str">
        <f>IFERROR(VLOOKUP(VENTAS[[#This Row],[Código del producto Vendido]],STOCK[],5,FALSE),"-")</f>
        <v>Top Cuello encaje y mangas abombadas</v>
      </c>
      <c r="G278" s="34">
        <v>1</v>
      </c>
      <c r="H278" s="35">
        <v>7</v>
      </c>
      <c r="I278" s="35">
        <f>VENTAS[[#This Row],[Cantidad]]*VENTAS[[#This Row],[Precio Venta]]</f>
        <v>7</v>
      </c>
      <c r="J278" s="35">
        <f>IF(VENTAS[[#This Row],[Nombre del Gestor]]&gt;1,VENTAS[[#This Row],[Total]]*10%,0)</f>
        <v>0</v>
      </c>
      <c r="K278" s="35">
        <f>IFERROR(VLOOKUP(VENTAS[[#This Row],[Código del producto Vendido]],STOCK[],16,FALSE)*VENTAS[[#This Row],[Cantidad]]+VLOOKUP(VENTAS[[#This Row],[Código del producto Vendido]],STOCK[],19,FALSE)*VENTAS[[#This Row],[Cantidad]],VENTAS[[#This Row],[Total]])</f>
        <v>6.35818181818182</v>
      </c>
      <c r="L278" s="35">
        <f>VENTAS[[#This Row],[Total]]-VENTAS[[#This Row],[Comisión 10%]]-VENTAS[[#This Row],[Costo SIN Comision]]</f>
        <v>0.64181818181818</v>
      </c>
      <c r="M278" s="35"/>
    </row>
    <row r="279" ht="20" customHeight="1" spans="1:13">
      <c r="A279" s="29" t="s">
        <v>3346</v>
      </c>
      <c r="B279" s="30"/>
      <c r="C279" s="30"/>
      <c r="D279" s="30"/>
      <c r="E279" s="30" t="s">
        <v>875</v>
      </c>
      <c r="F279" s="34" t="str">
        <f>IFERROR(VLOOKUP(VENTAS[[#This Row],[Código del producto Vendido]],STOCK[],5,FALSE),"-")</f>
        <v>Brasier de encaje_Negro Unitalla</v>
      </c>
      <c r="G279" s="34">
        <v>1</v>
      </c>
      <c r="H279" s="35">
        <v>4</v>
      </c>
      <c r="I279" s="35">
        <f>VENTAS[[#This Row],[Cantidad]]*VENTAS[[#This Row],[Precio Venta]]</f>
        <v>4</v>
      </c>
      <c r="J279" s="35">
        <f>IF(VENTAS[[#This Row],[Nombre del Gestor]]&gt;1,VENTAS[[#This Row],[Total]]*10%,0)</f>
        <v>0</v>
      </c>
      <c r="K279" s="35">
        <f>IFERROR(VLOOKUP(VENTAS[[#This Row],[Código del producto Vendido]],STOCK[],16,FALSE)*VENTAS[[#This Row],[Cantidad]]+VLOOKUP(VENTAS[[#This Row],[Código del producto Vendido]],STOCK[],19,FALSE)*VENTAS[[#This Row],[Cantidad]],VENTAS[[#This Row],[Total]])</f>
        <v>3.71111111111111</v>
      </c>
      <c r="L279" s="35">
        <f>VENTAS[[#This Row],[Total]]-VENTAS[[#This Row],[Comisión 10%]]-VENTAS[[#This Row],[Costo SIN Comision]]</f>
        <v>0.28888888888889</v>
      </c>
      <c r="M279" s="35"/>
    </row>
    <row r="280" ht="20" customHeight="1" spans="1:13">
      <c r="A280" s="29">
        <v>45093</v>
      </c>
      <c r="B280" s="30"/>
      <c r="C280" s="30"/>
      <c r="D280" s="30"/>
      <c r="E280" s="30" t="s">
        <v>177</v>
      </c>
      <c r="F280" s="34" t="str">
        <f>IFERROR(VLOOKUP(VENTAS[[#This Row],[Código del producto Vendido]],STOCK[],5,FALSE),"-")</f>
        <v>Vestido cruzado con abertura con nudo delantero</v>
      </c>
      <c r="G280" s="34">
        <v>1</v>
      </c>
      <c r="H280" s="35">
        <v>25</v>
      </c>
      <c r="I280" s="35">
        <f>VENTAS[[#This Row],[Cantidad]]*VENTAS[[#This Row],[Precio Venta]]</f>
        <v>25</v>
      </c>
      <c r="J280" s="35">
        <f>IF(VENTAS[[#This Row],[Nombre del Gestor]]&gt;1,VENTAS[[#This Row],[Total]]*10%,0)</f>
        <v>0</v>
      </c>
      <c r="K280" s="35">
        <f>IFERROR(VLOOKUP(VENTAS[[#This Row],[Código del producto Vendido]],STOCK[],16,FALSE)*VENTAS[[#This Row],[Cantidad]]+VLOOKUP(VENTAS[[#This Row],[Código del producto Vendido]],STOCK[],19,FALSE)*VENTAS[[#This Row],[Cantidad]],VENTAS[[#This Row],[Total]])</f>
        <v>16.7688888888889</v>
      </c>
      <c r="L280" s="35">
        <f>VENTAS[[#This Row],[Total]]-VENTAS[[#This Row],[Comisión 10%]]-VENTAS[[#This Row],[Costo SIN Comision]]</f>
        <v>8.2311111111111</v>
      </c>
      <c r="M280" s="35"/>
    </row>
    <row r="281" ht="20" customHeight="1" spans="1:13">
      <c r="A281" s="29">
        <v>45093</v>
      </c>
      <c r="B281" s="30"/>
      <c r="C281" s="30"/>
      <c r="D281" s="30"/>
      <c r="E281" s="30" t="s">
        <v>1042</v>
      </c>
      <c r="F281" s="34" t="str">
        <f>IFERROR(VLOOKUP(VENTAS[[#This Row],[Código del producto Vendido]],STOCK[],5,FALSE),"-")</f>
        <v>Jeans Elastizados Pierna Ancha</v>
      </c>
      <c r="G281" s="34">
        <v>1</v>
      </c>
      <c r="H281" s="35">
        <v>35</v>
      </c>
      <c r="I281" s="35">
        <f>VENTAS[[#This Row],[Cantidad]]*VENTAS[[#This Row],[Precio Venta]]</f>
        <v>35</v>
      </c>
      <c r="J281" s="35">
        <f>IF(VENTAS[[#This Row],[Nombre del Gestor]]&gt;1,VENTAS[[#This Row],[Total]]*10%,0)</f>
        <v>0</v>
      </c>
      <c r="K281" s="35">
        <f>IFERROR(VLOOKUP(VENTAS[[#This Row],[Código del producto Vendido]],STOCK[],16,FALSE)*VENTAS[[#This Row],[Cantidad]]+VLOOKUP(VENTAS[[#This Row],[Código del producto Vendido]],STOCK[],19,FALSE)*VENTAS[[#This Row],[Cantidad]],VENTAS[[#This Row],[Total]])</f>
        <v>27.5227272727273</v>
      </c>
      <c r="L281" s="35">
        <f>VENTAS[[#This Row],[Total]]-VENTAS[[#This Row],[Comisión 10%]]-VENTAS[[#This Row],[Costo SIN Comision]]</f>
        <v>7.4772727272727</v>
      </c>
      <c r="M281" s="35"/>
    </row>
    <row r="282" ht="20" customHeight="1" spans="1:13">
      <c r="A282" s="29">
        <v>45093</v>
      </c>
      <c r="B282" s="30"/>
      <c r="C282" s="30"/>
      <c r="D282" s="30"/>
      <c r="E282" s="30" t="s">
        <v>266</v>
      </c>
      <c r="F282" s="34" t="str">
        <f>IFERROR(VLOOKUP(VENTAS[[#This Row],[Código del producto Vendido]],STOCK[],5,FALSE),"-")</f>
        <v>Vestido Malla en contraste Lunares Elegante</v>
      </c>
      <c r="G282" s="34">
        <v>1</v>
      </c>
      <c r="H282" s="35">
        <v>25</v>
      </c>
      <c r="I282" s="35">
        <f>VENTAS[[#This Row],[Cantidad]]*VENTAS[[#This Row],[Precio Venta]]</f>
        <v>25</v>
      </c>
      <c r="J282" s="35">
        <f>IF(VENTAS[[#This Row],[Nombre del Gestor]]&gt;1,VENTAS[[#This Row],[Total]]*10%,0)</f>
        <v>0</v>
      </c>
      <c r="K282" s="35">
        <f>IFERROR(VLOOKUP(VENTAS[[#This Row],[Código del producto Vendido]],STOCK[],16,FALSE)*VENTAS[[#This Row],[Cantidad]]+VLOOKUP(VENTAS[[#This Row],[Código del producto Vendido]],STOCK[],19,FALSE)*VENTAS[[#This Row],[Cantidad]],VENTAS[[#This Row],[Total]])</f>
        <v>13.1111111111111</v>
      </c>
      <c r="L282" s="35">
        <f>VENTAS[[#This Row],[Total]]-VENTAS[[#This Row],[Comisión 10%]]-VENTAS[[#This Row],[Costo SIN Comision]]</f>
        <v>11.8888888888889</v>
      </c>
      <c r="M282" s="35"/>
    </row>
    <row r="283" ht="20" customHeight="1" spans="1:13">
      <c r="A283" s="29">
        <v>45093</v>
      </c>
      <c r="B283" s="30"/>
      <c r="C283" s="30"/>
      <c r="D283" s="30"/>
      <c r="E283" s="30" t="s">
        <v>240</v>
      </c>
      <c r="F283" s="34" t="str">
        <f>IFERROR(VLOOKUP(VENTAS[[#This Row],[Código del producto Vendido]],STOCK[],5,FALSE),"-")</f>
        <v>Vestido de cuello cuadrado de espalda abierta</v>
      </c>
      <c r="G283" s="34">
        <v>1</v>
      </c>
      <c r="H283" s="35">
        <v>20</v>
      </c>
      <c r="I283" s="35">
        <f>VENTAS[[#This Row],[Cantidad]]*VENTAS[[#This Row],[Precio Venta]]</f>
        <v>20</v>
      </c>
      <c r="J283" s="35">
        <f>IF(VENTAS[[#This Row],[Nombre del Gestor]]&gt;1,VENTAS[[#This Row],[Total]]*10%,0)</f>
        <v>0</v>
      </c>
      <c r="K283" s="35">
        <f>IFERROR(VLOOKUP(VENTAS[[#This Row],[Código del producto Vendido]],STOCK[],16,FALSE)*VENTAS[[#This Row],[Cantidad]]+VLOOKUP(VENTAS[[#This Row],[Código del producto Vendido]],STOCK[],19,FALSE)*VENTAS[[#This Row],[Cantidad]],VENTAS[[#This Row],[Total]])</f>
        <v>11.8755555555556</v>
      </c>
      <c r="L283" s="35">
        <f>VENTAS[[#This Row],[Total]]-VENTAS[[#This Row],[Comisión 10%]]-VENTAS[[#This Row],[Costo SIN Comision]]</f>
        <v>8.1244444444444</v>
      </c>
      <c r="M283" s="35"/>
    </row>
    <row r="284" ht="20" customHeight="1" spans="1:13">
      <c r="A284" s="29">
        <v>45093</v>
      </c>
      <c r="B284" s="30"/>
      <c r="C284" s="30"/>
      <c r="D284" s="30"/>
      <c r="E284" s="30" t="s">
        <v>222</v>
      </c>
      <c r="F284" s="34" t="str">
        <f>IFERROR(VLOOKUP(VENTAS[[#This Row],[Código del producto Vendido]],STOCK[],5,FALSE),"-")</f>
        <v>Vestido ajustado de tirantes con abertura</v>
      </c>
      <c r="G284" s="34">
        <v>1</v>
      </c>
      <c r="H284" s="35">
        <v>18</v>
      </c>
      <c r="I284" s="35">
        <f>VENTAS[[#This Row],[Cantidad]]*VENTAS[[#This Row],[Precio Venta]]</f>
        <v>18</v>
      </c>
      <c r="J284" s="35">
        <f>IF(VENTAS[[#This Row],[Nombre del Gestor]]&gt;1,VENTAS[[#This Row],[Total]]*10%,0)</f>
        <v>0</v>
      </c>
      <c r="K284" s="35">
        <f>IFERROR(VLOOKUP(VENTAS[[#This Row],[Código del producto Vendido]],STOCK[],16,FALSE)*VENTAS[[#This Row],[Cantidad]]+VLOOKUP(VENTAS[[#This Row],[Código del producto Vendido]],STOCK[],19,FALSE)*VENTAS[[#This Row],[Cantidad]],VENTAS[[#This Row],[Total]])</f>
        <v>9.18</v>
      </c>
      <c r="L284" s="35">
        <f>VENTAS[[#This Row],[Total]]-VENTAS[[#This Row],[Comisión 10%]]-VENTAS[[#This Row],[Costo SIN Comision]]</f>
        <v>8.82</v>
      </c>
      <c r="M284" s="35"/>
    </row>
    <row r="285" ht="20" customHeight="1" spans="1:13">
      <c r="A285" s="29">
        <v>45093</v>
      </c>
      <c r="B285" s="30"/>
      <c r="C285" s="30"/>
      <c r="D285" s="30"/>
      <c r="E285" s="30" t="s">
        <v>168</v>
      </c>
      <c r="F285" s="34" t="str">
        <f>IFERROR(VLOOKUP(VENTAS[[#This Row],[Código del producto Vendido]],STOCK[],5,FALSE),"-")</f>
        <v>Vestido con estampado floral con abertura alta</v>
      </c>
      <c r="G285" s="34">
        <v>1</v>
      </c>
      <c r="H285" s="35">
        <v>30</v>
      </c>
      <c r="I285" s="35">
        <f>VENTAS[[#This Row],[Cantidad]]*VENTAS[[#This Row],[Precio Venta]]</f>
        <v>30</v>
      </c>
      <c r="J285" s="35">
        <f>IF(VENTAS[[#This Row],[Nombre del Gestor]]&gt;1,VENTAS[[#This Row],[Total]]*10%,0)</f>
        <v>0</v>
      </c>
      <c r="K285" s="35">
        <f>IFERROR(VLOOKUP(VENTAS[[#This Row],[Código del producto Vendido]],STOCK[],16,FALSE)*VENTAS[[#This Row],[Cantidad]]+VLOOKUP(VENTAS[[#This Row],[Código del producto Vendido]],STOCK[],19,FALSE)*VENTAS[[#This Row],[Cantidad]],VENTAS[[#This Row],[Total]])</f>
        <v>20.8555555555556</v>
      </c>
      <c r="L285" s="35">
        <f>VENTAS[[#This Row],[Total]]-VENTAS[[#This Row],[Comisión 10%]]-VENTAS[[#This Row],[Costo SIN Comision]]</f>
        <v>9.1444444444444</v>
      </c>
      <c r="M285" s="35"/>
    </row>
    <row r="286" ht="20" customHeight="1" spans="1:13">
      <c r="A286" s="29">
        <v>45093</v>
      </c>
      <c r="B286" s="30"/>
      <c r="C286" s="30"/>
      <c r="D286" s="30"/>
      <c r="E286" s="30" t="s">
        <v>252</v>
      </c>
      <c r="F286" s="34" t="str">
        <f>IFERROR(VLOOKUP(VENTAS[[#This Row],[Código del producto Vendido]],STOCK[],5,FALSE),"-")</f>
        <v>Vestido con abertura con botón floral de margarita</v>
      </c>
      <c r="G286" s="34">
        <v>1</v>
      </c>
      <c r="H286" s="35">
        <v>25</v>
      </c>
      <c r="I286" s="35">
        <f>VENTAS[[#This Row],[Cantidad]]*VENTAS[[#This Row],[Precio Venta]]</f>
        <v>25</v>
      </c>
      <c r="J286" s="35">
        <f>IF(VENTAS[[#This Row],[Nombre del Gestor]]&gt;1,VENTAS[[#This Row],[Total]]*10%,0)</f>
        <v>0</v>
      </c>
      <c r="K286" s="35">
        <f>IFERROR(VLOOKUP(VENTAS[[#This Row],[Código del producto Vendido]],STOCK[],16,FALSE)*VENTAS[[#This Row],[Cantidad]]+VLOOKUP(VENTAS[[#This Row],[Código del producto Vendido]],STOCK[],19,FALSE)*VENTAS[[#This Row],[Cantidad]],VENTAS[[#This Row],[Total]])</f>
        <v>16.8</v>
      </c>
      <c r="L286" s="35">
        <f>VENTAS[[#This Row],[Total]]-VENTAS[[#This Row],[Comisión 10%]]-VENTAS[[#This Row],[Costo SIN Comision]]</f>
        <v>8.2</v>
      </c>
      <c r="M286" s="35"/>
    </row>
    <row r="287" ht="20" customHeight="1" spans="1:13">
      <c r="A287" s="29">
        <v>45093</v>
      </c>
      <c r="B287" s="30"/>
      <c r="C287" s="30"/>
      <c r="D287" s="30"/>
      <c r="E287" s="30" t="s">
        <v>646</v>
      </c>
      <c r="F287" s="34" t="str">
        <f>IFERROR(VLOOKUP(VENTAS[[#This Row],[Código del producto Vendido]],STOCK[],5,FALSE),"-")</f>
        <v>Vestido con estampado jungla</v>
      </c>
      <c r="G287" s="34">
        <v>1</v>
      </c>
      <c r="H287" s="35">
        <v>17</v>
      </c>
      <c r="I287" s="35">
        <f>VENTAS[[#This Row],[Cantidad]]*VENTAS[[#This Row],[Precio Venta]]</f>
        <v>17</v>
      </c>
      <c r="J287" s="35">
        <f>IF(VENTAS[[#This Row],[Nombre del Gestor]]&gt;1,VENTAS[[#This Row],[Total]]*10%,0)</f>
        <v>0</v>
      </c>
      <c r="K287" s="35">
        <f>IFERROR(VLOOKUP(VENTAS[[#This Row],[Código del producto Vendido]],STOCK[],16,FALSE)*VENTAS[[#This Row],[Cantidad]]+VLOOKUP(VENTAS[[#This Row],[Código del producto Vendido]],STOCK[],19,FALSE)*VENTAS[[#This Row],[Cantidad]],VENTAS[[#This Row],[Total]])</f>
        <v>10.7222222222222</v>
      </c>
      <c r="L287" s="35">
        <f>VENTAS[[#This Row],[Total]]-VENTAS[[#This Row],[Comisión 10%]]-VENTAS[[#This Row],[Costo SIN Comision]]</f>
        <v>6.27777777777778</v>
      </c>
      <c r="M287" s="35"/>
    </row>
    <row r="288" ht="20" customHeight="1" spans="1:13">
      <c r="A288" s="29">
        <v>45093</v>
      </c>
      <c r="B288" s="30"/>
      <c r="C288" s="30"/>
      <c r="D288" s="30"/>
      <c r="E288" s="30" t="s">
        <v>857</v>
      </c>
      <c r="F288" s="34" t="str">
        <f>IFERROR(VLOOKUP(VENTAS[[#This Row],[Código del producto Vendido]],STOCK[],5,FALSE),"-")</f>
        <v>Vestido Ajustado brillo</v>
      </c>
      <c r="G288" s="34">
        <v>1</v>
      </c>
      <c r="H288" s="35">
        <v>17</v>
      </c>
      <c r="I288" s="35">
        <f>VENTAS[[#This Row],[Cantidad]]*VENTAS[[#This Row],[Precio Venta]]</f>
        <v>17</v>
      </c>
      <c r="J288" s="35">
        <f>IF(VENTAS[[#This Row],[Nombre del Gestor]]&gt;1,VENTAS[[#This Row],[Total]]*10%,0)</f>
        <v>0</v>
      </c>
      <c r="K288" s="35">
        <f>IFERROR(VLOOKUP(VENTAS[[#This Row],[Código del producto Vendido]],STOCK[],16,FALSE)*VENTAS[[#This Row],[Cantidad]]+VLOOKUP(VENTAS[[#This Row],[Código del producto Vendido]],STOCK[],19,FALSE)*VENTAS[[#This Row],[Cantidad]],VENTAS[[#This Row],[Total]])</f>
        <v>9.11111111111111</v>
      </c>
      <c r="L288" s="35">
        <f>VENTAS[[#This Row],[Total]]-VENTAS[[#This Row],[Comisión 10%]]-VENTAS[[#This Row],[Costo SIN Comision]]</f>
        <v>7.88888888888889</v>
      </c>
      <c r="M288" s="35"/>
    </row>
    <row r="289" ht="20" customHeight="1" spans="1:13">
      <c r="A289" s="29">
        <v>45093</v>
      </c>
      <c r="B289" s="30"/>
      <c r="C289" s="30"/>
      <c r="D289" s="30"/>
      <c r="E289" s="30" t="s">
        <v>1046</v>
      </c>
      <c r="F289" s="34" t="str">
        <f>IFERROR(VLOOKUP(VENTAS[[#This Row],[Código del producto Vendido]],STOCK[],5,FALSE),"-")</f>
        <v>Jeans Ajustados Claro</v>
      </c>
      <c r="G289" s="34">
        <v>1</v>
      </c>
      <c r="H289" s="35">
        <v>35</v>
      </c>
      <c r="I289" s="35">
        <f>VENTAS[[#This Row],[Cantidad]]*VENTAS[[#This Row],[Precio Venta]]</f>
        <v>35</v>
      </c>
      <c r="J289" s="35">
        <f>IF(VENTAS[[#This Row],[Nombre del Gestor]]&gt;1,VENTAS[[#This Row],[Total]]*10%,0)</f>
        <v>0</v>
      </c>
      <c r="K289" s="35">
        <f>IFERROR(VLOOKUP(VENTAS[[#This Row],[Código del producto Vendido]],STOCK[],16,FALSE)*VENTAS[[#This Row],[Cantidad]]+VLOOKUP(VENTAS[[#This Row],[Código del producto Vendido]],STOCK[],19,FALSE)*VENTAS[[#This Row],[Cantidad]],VENTAS[[#This Row],[Total]])</f>
        <v>25.8181818181818</v>
      </c>
      <c r="L289" s="35">
        <f>VENTAS[[#This Row],[Total]]-VENTAS[[#This Row],[Comisión 10%]]-VENTAS[[#This Row],[Costo SIN Comision]]</f>
        <v>9.1818181818182</v>
      </c>
      <c r="M289" s="35"/>
    </row>
    <row r="290" ht="20" customHeight="1" spans="1:13">
      <c r="A290" s="29">
        <v>45093</v>
      </c>
      <c r="B290" s="30"/>
      <c r="C290" s="30"/>
      <c r="D290" s="30"/>
      <c r="E290" s="30" t="s">
        <v>1034</v>
      </c>
      <c r="F290" s="34" t="str">
        <f>IFERROR(VLOOKUP(VENTAS[[#This Row],[Código del producto Vendido]],STOCK[],5,FALSE),"-")</f>
        <v>Jenas Ajustados Oscuro</v>
      </c>
      <c r="G290" s="34">
        <v>1</v>
      </c>
      <c r="H290" s="35">
        <v>35</v>
      </c>
      <c r="I290" s="35">
        <f>VENTAS[[#This Row],[Cantidad]]*VENTAS[[#This Row],[Precio Venta]]</f>
        <v>35</v>
      </c>
      <c r="J290" s="35">
        <f>IF(VENTAS[[#This Row],[Nombre del Gestor]]&gt;1,VENTAS[[#This Row],[Total]]*10%,0)</f>
        <v>0</v>
      </c>
      <c r="K290" s="35">
        <f>IFERROR(VLOOKUP(VENTAS[[#This Row],[Código del producto Vendido]],STOCK[],16,FALSE)*VENTAS[[#This Row],[Cantidad]]+VLOOKUP(VENTAS[[#This Row],[Código del producto Vendido]],STOCK[],19,FALSE)*VENTAS[[#This Row],[Cantidad]],VENTAS[[#This Row],[Total]])</f>
        <v>24.6818181818182</v>
      </c>
      <c r="L290" s="35">
        <f>VENTAS[[#This Row],[Total]]-VENTAS[[#This Row],[Comisión 10%]]-VENTAS[[#This Row],[Costo SIN Comision]]</f>
        <v>10.3181818181818</v>
      </c>
      <c r="M290" s="35"/>
    </row>
    <row r="291" ht="20" customHeight="1" spans="1:13">
      <c r="A291" s="29">
        <v>45094</v>
      </c>
      <c r="B291" s="30"/>
      <c r="C291" s="30"/>
      <c r="D291" s="30"/>
      <c r="E291" s="30" t="s">
        <v>1093</v>
      </c>
      <c r="F291" s="34" t="str">
        <f>IFERROR(VLOOKUP(VENTAS[[#This Row],[Código del producto Vendido]],STOCK[],5,FALSE),"-")</f>
        <v>Jean con roto sencillo</v>
      </c>
      <c r="G291" s="34">
        <v>1</v>
      </c>
      <c r="H291" s="35">
        <v>40</v>
      </c>
      <c r="I291" s="35">
        <f>VENTAS[[#This Row],[Cantidad]]*VENTAS[[#This Row],[Precio Venta]]</f>
        <v>40</v>
      </c>
      <c r="J291" s="35">
        <f>IF(VENTAS[[#This Row],[Nombre del Gestor]]&gt;1,VENTAS[[#This Row],[Total]]*10%,0)</f>
        <v>0</v>
      </c>
      <c r="K291" s="35">
        <f>IFERROR(VLOOKUP(VENTAS[[#This Row],[Código del producto Vendido]],STOCK[],16,FALSE)*VENTAS[[#This Row],[Cantidad]]+VLOOKUP(VENTAS[[#This Row],[Código del producto Vendido]],STOCK[],19,FALSE)*VENTAS[[#This Row],[Cantidad]],VENTAS[[#This Row],[Total]])</f>
        <v>32.2647058823529</v>
      </c>
      <c r="L291" s="35">
        <f>VENTAS[[#This Row],[Total]]-VENTAS[[#This Row],[Comisión 10%]]-VENTAS[[#This Row],[Costo SIN Comision]]</f>
        <v>7.7352941176471</v>
      </c>
      <c r="M291" s="35"/>
    </row>
    <row r="292" ht="20" customHeight="1" spans="1:13">
      <c r="A292" s="29">
        <v>45094</v>
      </c>
      <c r="B292" s="30"/>
      <c r="C292" s="30"/>
      <c r="D292" s="30"/>
      <c r="E292" s="30" t="s">
        <v>1032</v>
      </c>
      <c r="F292" s="34" t="str">
        <f>IFERROR(VLOOKUP(VENTAS[[#This Row],[Código del producto Vendido]],STOCK[],5,FALSE),"-")</f>
        <v>Jenas Ajustados Oscuro</v>
      </c>
      <c r="G292" s="34">
        <v>1</v>
      </c>
      <c r="H292" s="35">
        <v>35</v>
      </c>
      <c r="I292" s="35">
        <f>VENTAS[[#This Row],[Cantidad]]*VENTAS[[#This Row],[Precio Venta]]</f>
        <v>35</v>
      </c>
      <c r="J292" s="35">
        <f>IF(VENTAS[[#This Row],[Nombre del Gestor]]&gt;1,VENTAS[[#This Row],[Total]]*10%,0)</f>
        <v>0</v>
      </c>
      <c r="K292" s="35">
        <f>IFERROR(VLOOKUP(VENTAS[[#This Row],[Código del producto Vendido]],STOCK[],16,FALSE)*VENTAS[[#This Row],[Cantidad]]+VLOOKUP(VENTAS[[#This Row],[Código del producto Vendido]],STOCK[],19,FALSE)*VENTAS[[#This Row],[Cantidad]],VENTAS[[#This Row],[Total]])</f>
        <v>24.6818181818182</v>
      </c>
      <c r="L292" s="35">
        <f>VENTAS[[#This Row],[Total]]-VENTAS[[#This Row],[Comisión 10%]]-VENTAS[[#This Row],[Costo SIN Comision]]</f>
        <v>10.3181818181818</v>
      </c>
      <c r="M292" s="35"/>
    </row>
    <row r="293" ht="20" customHeight="1" spans="1:13">
      <c r="A293" s="29">
        <v>45094</v>
      </c>
      <c r="B293" s="30"/>
      <c r="C293" s="30"/>
      <c r="D293" s="30"/>
      <c r="E293" s="30" t="s">
        <v>1039</v>
      </c>
      <c r="F293" s="34" t="str">
        <f>IFERROR(VLOOKUP(VENTAS[[#This Row],[Código del producto Vendido]],STOCK[],5,FALSE),"-")</f>
        <v>Jeans Elastizados Pierna Ancha</v>
      </c>
      <c r="G293" s="34">
        <v>1</v>
      </c>
      <c r="H293" s="35">
        <v>35</v>
      </c>
      <c r="I293" s="35">
        <f>VENTAS[[#This Row],[Cantidad]]*VENTAS[[#This Row],[Precio Venta]]</f>
        <v>35</v>
      </c>
      <c r="J293" s="35">
        <f>IF(VENTAS[[#This Row],[Nombre del Gestor]]&gt;1,VENTAS[[#This Row],[Total]]*10%,0)</f>
        <v>0</v>
      </c>
      <c r="K293" s="35">
        <f>IFERROR(VLOOKUP(VENTAS[[#This Row],[Código del producto Vendido]],STOCK[],16,FALSE)*VENTAS[[#This Row],[Cantidad]]+VLOOKUP(VENTAS[[#This Row],[Código del producto Vendido]],STOCK[],19,FALSE)*VENTAS[[#This Row],[Cantidad]],VENTAS[[#This Row],[Total]])</f>
        <v>27.5227272727273</v>
      </c>
      <c r="L293" s="35">
        <f>VENTAS[[#This Row],[Total]]-VENTAS[[#This Row],[Comisión 10%]]-VENTAS[[#This Row],[Costo SIN Comision]]</f>
        <v>7.4772727272727</v>
      </c>
      <c r="M293" s="35"/>
    </row>
    <row r="294" ht="20" customHeight="1" spans="1:13">
      <c r="A294" s="29">
        <v>45094</v>
      </c>
      <c r="B294" s="30"/>
      <c r="C294" s="30"/>
      <c r="D294" s="30"/>
      <c r="E294" s="30" t="s">
        <v>156</v>
      </c>
      <c r="F294" s="34" t="str">
        <f>IFERROR(VLOOKUP(VENTAS[[#This Row],[Código del producto Vendido]],STOCK[],5,FALSE),"-")</f>
        <v>Jeans de pierna recta desgarro</v>
      </c>
      <c r="G294" s="34">
        <v>1</v>
      </c>
      <c r="H294" s="35">
        <v>30</v>
      </c>
      <c r="I294" s="35">
        <f>VENTAS[[#This Row],[Cantidad]]*VENTAS[[#This Row],[Precio Venta]]</f>
        <v>30</v>
      </c>
      <c r="J294" s="35">
        <f>IF(VENTAS[[#This Row],[Nombre del Gestor]]&gt;1,VENTAS[[#This Row],[Total]]*10%,0)</f>
        <v>0</v>
      </c>
      <c r="K294" s="35">
        <f>IFERROR(VLOOKUP(VENTAS[[#This Row],[Código del producto Vendido]],STOCK[],16,FALSE)*VENTAS[[#This Row],[Cantidad]]+VLOOKUP(VENTAS[[#This Row],[Código del producto Vendido]],STOCK[],19,FALSE)*VENTAS[[#This Row],[Cantidad]],VENTAS[[#This Row],[Total]])</f>
        <v>18.6866666666667</v>
      </c>
      <c r="L294" s="35">
        <f>VENTAS[[#This Row],[Total]]-VENTAS[[#This Row],[Comisión 10%]]-VENTAS[[#This Row],[Costo SIN Comision]]</f>
        <v>11.3133333333333</v>
      </c>
      <c r="M294" s="35"/>
    </row>
    <row r="295" ht="20" customHeight="1" spans="1:13">
      <c r="A295" s="29">
        <v>45094</v>
      </c>
      <c r="B295" s="30"/>
      <c r="C295" s="30"/>
      <c r="D295" s="30"/>
      <c r="E295" s="30" t="s">
        <v>179</v>
      </c>
      <c r="F295" s="34" t="str">
        <f>IFERROR(VLOOKUP(VENTAS[[#This Row],[Código del producto Vendido]],STOCK[],5,FALSE),"-")</f>
        <v>Top de manga farol con abertura en espalda</v>
      </c>
      <c r="G295" s="34">
        <v>1</v>
      </c>
      <c r="H295" s="35">
        <v>14</v>
      </c>
      <c r="I295" s="35">
        <f>VENTAS[[#This Row],[Cantidad]]*VENTAS[[#This Row],[Precio Venta]]</f>
        <v>14</v>
      </c>
      <c r="J295" s="35">
        <f>IF(VENTAS[[#This Row],[Nombre del Gestor]]&gt;1,VENTAS[[#This Row],[Total]]*10%,0)</f>
        <v>0</v>
      </c>
      <c r="K295" s="35">
        <f>IFERROR(VLOOKUP(VENTAS[[#This Row],[Código del producto Vendido]],STOCK[],16,FALSE)*VENTAS[[#This Row],[Cantidad]]+VLOOKUP(VENTAS[[#This Row],[Código del producto Vendido]],STOCK[],19,FALSE)*VENTAS[[#This Row],[Cantidad]],VENTAS[[#This Row],[Total]])</f>
        <v>8.85777777777778</v>
      </c>
      <c r="L295" s="35">
        <f>VENTAS[[#This Row],[Total]]-VENTAS[[#This Row],[Comisión 10%]]-VENTAS[[#This Row],[Costo SIN Comision]]</f>
        <v>5.14222222222222</v>
      </c>
      <c r="M295" s="35"/>
    </row>
    <row r="296" ht="20" customHeight="1" spans="1:13">
      <c r="A296" s="29">
        <v>45095</v>
      </c>
      <c r="B296" s="30"/>
      <c r="C296" s="30" t="s">
        <v>3372</v>
      </c>
      <c r="D296" s="30"/>
      <c r="E296" s="30" t="s">
        <v>193</v>
      </c>
      <c r="F296" s="34" t="str">
        <f>IFERROR(VLOOKUP(VENTAS[[#This Row],[Código del producto Vendido]],STOCK[],5,FALSE),"-")</f>
        <v>Pantalones de pierna ancha de talle alto con abertura</v>
      </c>
      <c r="G296" s="34">
        <v>1</v>
      </c>
      <c r="H296" s="35">
        <v>0</v>
      </c>
      <c r="I296" s="35">
        <f>VENTAS[[#This Row],[Cantidad]]*VENTAS[[#This Row],[Precio Venta]]</f>
        <v>0</v>
      </c>
      <c r="J296" s="35">
        <f>IF(VENTAS[[#This Row],[Nombre del Gestor]]&gt;1,VENTAS[[#This Row],[Total]]*10%,0)</f>
        <v>0</v>
      </c>
      <c r="K296" s="35">
        <f>IFERROR(VLOOKUP(VENTAS[[#This Row],[Código del producto Vendido]],STOCK[],16,FALSE)*VENTAS[[#This Row],[Cantidad]]+VLOOKUP(VENTAS[[#This Row],[Código del producto Vendido]],STOCK[],19,FALSE)*VENTAS[[#This Row],[Cantidad]],VENTAS[[#This Row],[Total]])</f>
        <v>13.1511111111111</v>
      </c>
      <c r="L296" s="35">
        <f>VENTAS[[#This Row],[Total]]-VENTAS[[#This Row],[Comisión 10%]]-VENTAS[[#This Row],[Costo SIN Comision]]</f>
        <v>-13.1511111111111</v>
      </c>
      <c r="M296" s="35"/>
    </row>
    <row r="297" ht="20" customHeight="1" spans="1:13">
      <c r="A297" s="29">
        <v>45096</v>
      </c>
      <c r="B297" s="30"/>
      <c r="C297" s="30"/>
      <c r="D297" s="30"/>
      <c r="E297" s="30" t="s">
        <v>1152</v>
      </c>
      <c r="F297" s="34" t="str">
        <f>IFERROR(VLOOKUP(VENTAS[[#This Row],[Código del producto Vendido]],STOCK[],5,FALSE),"-")</f>
        <v>Top negro tipo cami</v>
      </c>
      <c r="G297" s="34">
        <v>1</v>
      </c>
      <c r="H297" s="35">
        <v>12</v>
      </c>
      <c r="I297" s="35">
        <f>VENTAS[[#This Row],[Cantidad]]*VENTAS[[#This Row],[Precio Venta]]</f>
        <v>12</v>
      </c>
      <c r="J297" s="35">
        <f>IF(VENTAS[[#This Row],[Nombre del Gestor]]&gt;1,VENTAS[[#This Row],[Total]]*10%,0)</f>
        <v>0</v>
      </c>
      <c r="K297" s="35">
        <f>IFERROR(VLOOKUP(VENTAS[[#This Row],[Código del producto Vendido]],STOCK[],16,FALSE)*VENTAS[[#This Row],[Cantidad]]+VLOOKUP(VENTAS[[#This Row],[Código del producto Vendido]],STOCK[],19,FALSE)*VENTAS[[#This Row],[Cantidad]],VENTAS[[#This Row],[Total]])</f>
        <v>7</v>
      </c>
      <c r="L297" s="35">
        <f>VENTAS[[#This Row],[Total]]-VENTAS[[#This Row],[Comisión 10%]]-VENTAS[[#This Row],[Costo SIN Comision]]</f>
        <v>5</v>
      </c>
      <c r="M297" s="35"/>
    </row>
    <row r="298" ht="20" customHeight="1" spans="1:13">
      <c r="A298" s="29">
        <v>45096</v>
      </c>
      <c r="B298" s="30"/>
      <c r="C298" s="30"/>
      <c r="D298" s="30"/>
      <c r="E298" s="30" t="s">
        <v>1126</v>
      </c>
      <c r="F298" s="34" t="str">
        <f>IFERROR(VLOOKUP(VENTAS[[#This Row],[Código del producto Vendido]],STOCK[],5,FALSE),"-")</f>
        <v>Blusa elegante de cuello blanco</v>
      </c>
      <c r="G298" s="34">
        <v>1</v>
      </c>
      <c r="H298" s="35">
        <v>15</v>
      </c>
      <c r="I298" s="35">
        <f>VENTAS[[#This Row],[Cantidad]]*VENTAS[[#This Row],[Precio Venta]]</f>
        <v>15</v>
      </c>
      <c r="J298" s="35">
        <f>IF(VENTAS[[#This Row],[Nombre del Gestor]]&gt;1,VENTAS[[#This Row],[Total]]*10%,0)</f>
        <v>0</v>
      </c>
      <c r="K298" s="35">
        <f>IFERROR(VLOOKUP(VENTAS[[#This Row],[Código del producto Vendido]],STOCK[],16,FALSE)*VENTAS[[#This Row],[Cantidad]]+VLOOKUP(VENTAS[[#This Row],[Código del producto Vendido]],STOCK[],19,FALSE)*VENTAS[[#This Row],[Cantidad]],VENTAS[[#This Row],[Total]])</f>
        <v>11.9764705882353</v>
      </c>
      <c r="L298" s="35">
        <f>VENTAS[[#This Row],[Total]]-VENTAS[[#This Row],[Comisión 10%]]-VENTAS[[#This Row],[Costo SIN Comision]]</f>
        <v>3.02352941176471</v>
      </c>
      <c r="M298" s="35"/>
    </row>
    <row r="299" ht="20" customHeight="1" spans="1:13">
      <c r="A299" s="29">
        <v>45097</v>
      </c>
      <c r="B299" s="30"/>
      <c r="C299" s="30"/>
      <c r="D299" s="30"/>
      <c r="E299" s="30" t="s">
        <v>58</v>
      </c>
      <c r="F299" s="34" t="str">
        <f>IFERROR(VLOOKUP(VENTAS[[#This Row],[Código del producto Vendido]],STOCK[],5,FALSE),"-")</f>
        <v>Bikini Mangas Fuccia</v>
      </c>
      <c r="G299" s="34">
        <v>1</v>
      </c>
      <c r="H299" s="35">
        <v>22</v>
      </c>
      <c r="I299" s="35">
        <f>VENTAS[[#This Row],[Cantidad]]*VENTAS[[#This Row],[Precio Venta]]</f>
        <v>22</v>
      </c>
      <c r="J299" s="35">
        <f>IF(VENTAS[[#This Row],[Nombre del Gestor]]&gt;1,VENTAS[[#This Row],[Total]]*10%,0)</f>
        <v>0</v>
      </c>
      <c r="K299" s="35">
        <f>IFERROR(VLOOKUP(VENTAS[[#This Row],[Código del producto Vendido]],STOCK[],16,FALSE)*VENTAS[[#This Row],[Cantidad]]+VLOOKUP(VENTAS[[#This Row],[Código del producto Vendido]],STOCK[],19,FALSE)*VENTAS[[#This Row],[Cantidad]],VENTAS[[#This Row],[Total]])</f>
        <v>14.495</v>
      </c>
      <c r="L299" s="35">
        <f>VENTAS[[#This Row],[Total]]-VENTAS[[#This Row],[Comisión 10%]]-VENTAS[[#This Row],[Costo SIN Comision]]</f>
        <v>7.505</v>
      </c>
      <c r="M299" s="35"/>
    </row>
    <row r="300" ht="20" customHeight="1" spans="1:13">
      <c r="A300" s="29">
        <v>45097</v>
      </c>
      <c r="B300" s="30"/>
      <c r="C300" s="30"/>
      <c r="D300" s="30"/>
      <c r="E300" s="30" t="s">
        <v>1041</v>
      </c>
      <c r="F300" s="34" t="str">
        <f>IFERROR(VLOOKUP(VENTAS[[#This Row],[Código del producto Vendido]],STOCK[],5,FALSE),"-")</f>
        <v>Jeans Elastizados Pierna Ancha</v>
      </c>
      <c r="G300" s="34">
        <v>1</v>
      </c>
      <c r="H300" s="35">
        <v>35</v>
      </c>
      <c r="I300" s="35">
        <f>VENTAS[[#This Row],[Cantidad]]*VENTAS[[#This Row],[Precio Venta]]</f>
        <v>35</v>
      </c>
      <c r="J300" s="35">
        <f>IF(VENTAS[[#This Row],[Nombre del Gestor]]&gt;1,VENTAS[[#This Row],[Total]]*10%,0)</f>
        <v>0</v>
      </c>
      <c r="K300" s="35">
        <f>IFERROR(VLOOKUP(VENTAS[[#This Row],[Código del producto Vendido]],STOCK[],16,FALSE)*VENTAS[[#This Row],[Cantidad]]+VLOOKUP(VENTAS[[#This Row],[Código del producto Vendido]],STOCK[],19,FALSE)*VENTAS[[#This Row],[Cantidad]],VENTAS[[#This Row],[Total]])</f>
        <v>27.5227272727273</v>
      </c>
      <c r="L300" s="35">
        <f>VENTAS[[#This Row],[Total]]-VENTAS[[#This Row],[Comisión 10%]]-VENTAS[[#This Row],[Costo SIN Comision]]</f>
        <v>7.4772727272727</v>
      </c>
      <c r="M300" s="35"/>
    </row>
    <row r="301" ht="20" customHeight="1" spans="1:13">
      <c r="A301" s="29">
        <v>45097</v>
      </c>
      <c r="B301" s="30"/>
      <c r="C301" s="30"/>
      <c r="D301" s="30"/>
      <c r="E301" s="30" t="s">
        <v>1005</v>
      </c>
      <c r="F301" s="34" t="str">
        <f>IFERROR(VLOOKUP(VENTAS[[#This Row],[Código del producto Vendido]],STOCK[],5,FALSE),"-")</f>
        <v>Bañador una pieza con estampado de planta cremallera</v>
      </c>
      <c r="G301" s="34">
        <v>1</v>
      </c>
      <c r="H301" s="35">
        <v>25</v>
      </c>
      <c r="I301" s="35">
        <f>VENTAS[[#This Row],[Cantidad]]*VENTAS[[#This Row],[Precio Venta]]</f>
        <v>25</v>
      </c>
      <c r="J301" s="35">
        <f>IF(VENTAS[[#This Row],[Nombre del Gestor]]&gt;1,VENTAS[[#This Row],[Total]]*10%,0)</f>
        <v>0</v>
      </c>
      <c r="K301" s="35">
        <f>IFERROR(VLOOKUP(VENTAS[[#This Row],[Código del producto Vendido]],STOCK[],16,FALSE)*VENTAS[[#This Row],[Cantidad]]+VLOOKUP(VENTAS[[#This Row],[Código del producto Vendido]],STOCK[],19,FALSE)*VENTAS[[#This Row],[Cantidad]],VENTAS[[#This Row],[Total]])</f>
        <v>14.6454545454545</v>
      </c>
      <c r="L301" s="35">
        <f>VENTAS[[#This Row],[Total]]-VENTAS[[#This Row],[Comisión 10%]]-VENTAS[[#This Row],[Costo SIN Comision]]</f>
        <v>10.3545454545455</v>
      </c>
      <c r="M301" s="35"/>
    </row>
    <row r="302" ht="20" customHeight="1" spans="1:13">
      <c r="A302" s="29">
        <v>45097</v>
      </c>
      <c r="B302" s="30"/>
      <c r="C302" s="30"/>
      <c r="D302" s="30"/>
      <c r="E302" s="30" t="s">
        <v>839</v>
      </c>
      <c r="F302" s="34" t="str">
        <f>IFERROR(VLOOKUP(VENTAS[[#This Row],[Código del producto Vendido]],STOCK[],5,FALSE),"-")</f>
        <v>Pareo corazón</v>
      </c>
      <c r="G302" s="34">
        <v>1</v>
      </c>
      <c r="H302" s="35">
        <v>10</v>
      </c>
      <c r="I302" s="35">
        <f>VENTAS[[#This Row],[Cantidad]]*VENTAS[[#This Row],[Precio Venta]]</f>
        <v>10</v>
      </c>
      <c r="J302" s="35">
        <f>IF(VENTAS[[#This Row],[Nombre del Gestor]]&gt;1,VENTAS[[#This Row],[Total]]*10%,0)</f>
        <v>0</v>
      </c>
      <c r="K302" s="35">
        <f>IFERROR(VLOOKUP(VENTAS[[#This Row],[Código del producto Vendido]],STOCK[],16,FALSE)*VENTAS[[#This Row],[Cantidad]]+VLOOKUP(VENTAS[[#This Row],[Código del producto Vendido]],STOCK[],19,FALSE)*VENTAS[[#This Row],[Cantidad]],VENTAS[[#This Row],[Total]])</f>
        <v>3.67777777777778</v>
      </c>
      <c r="L302" s="35">
        <f>VENTAS[[#This Row],[Total]]-VENTAS[[#This Row],[Comisión 10%]]-VENTAS[[#This Row],[Costo SIN Comision]]</f>
        <v>6.32222222222222</v>
      </c>
      <c r="M302" s="35"/>
    </row>
    <row r="303" s="22" customFormat="1" ht="20" customHeight="1" spans="1:13">
      <c r="A303" s="40">
        <v>45097</v>
      </c>
      <c r="B303" s="41"/>
      <c r="C303" s="41"/>
      <c r="D303" s="41"/>
      <c r="E303" s="41" t="s">
        <v>758</v>
      </c>
      <c r="F303" s="43" t="str">
        <f>IFERROR(VLOOKUP(VENTAS[[#This Row],[Código del producto Vendido]],STOCK[],5,FALSE),"-")</f>
        <v>Sandalias Trenzadas</v>
      </c>
      <c r="G303" s="43">
        <v>1</v>
      </c>
      <c r="H303" s="44">
        <v>35</v>
      </c>
      <c r="I303" s="44">
        <f>VENTAS[[#This Row],[Cantidad]]*VENTAS[[#This Row],[Precio Venta]]</f>
        <v>35</v>
      </c>
      <c r="J303" s="44">
        <f>IF(VENTAS[[#This Row],[Nombre del Gestor]]&gt;1,VENTAS[[#This Row],[Total]]*10%,0)</f>
        <v>0</v>
      </c>
      <c r="K303" s="35">
        <f>IFERROR(VLOOKUP(VENTAS[[#This Row],[Código del producto Vendido]],STOCK[],16,FALSE)*VENTAS[[#This Row],[Cantidad]]+VLOOKUP(VENTAS[[#This Row],[Código del producto Vendido]],STOCK[],19,FALSE)*VENTAS[[#This Row],[Cantidad]],VENTAS[[#This Row],[Total]])</f>
        <v>27</v>
      </c>
      <c r="L303" s="35">
        <f>VENTAS[[#This Row],[Total]]-VENTAS[[#This Row],[Comisión 10%]]-VENTAS[[#This Row],[Costo SIN Comision]]</f>
        <v>8</v>
      </c>
      <c r="M303" s="44"/>
    </row>
    <row r="304" ht="20" customHeight="1" spans="1:13">
      <c r="A304" s="40">
        <v>45100</v>
      </c>
      <c r="B304" s="41" t="s">
        <v>3373</v>
      </c>
      <c r="C304" s="41" t="s">
        <v>3374</v>
      </c>
      <c r="D304" s="41"/>
      <c r="E304" s="41" t="s">
        <v>156</v>
      </c>
      <c r="F304" s="43" t="str">
        <f>IFERROR(VLOOKUP(VENTAS[[#This Row],[Código del producto Vendido]],STOCK[],5,FALSE),"-")</f>
        <v>Jeans de pierna recta desgarro</v>
      </c>
      <c r="G304" s="43">
        <v>1</v>
      </c>
      <c r="H304" s="44">
        <v>30</v>
      </c>
      <c r="I304" s="44">
        <f>VENTAS[[#This Row],[Cantidad]]*VENTAS[[#This Row],[Precio Venta]]</f>
        <v>30</v>
      </c>
      <c r="J304" s="44">
        <f>IF(VENTAS[[#This Row],[Nombre del Gestor]]&gt;1,VENTAS[[#This Row],[Total]]*10%,0)</f>
        <v>0</v>
      </c>
      <c r="K304" s="35">
        <f>IFERROR(VLOOKUP(VENTAS[[#This Row],[Código del producto Vendido]],STOCK[],16,FALSE)*VENTAS[[#This Row],[Cantidad]]+VLOOKUP(VENTAS[[#This Row],[Código del producto Vendido]],STOCK[],19,FALSE)*VENTAS[[#This Row],[Cantidad]],VENTAS[[#This Row],[Total]])</f>
        <v>18.6866666666667</v>
      </c>
      <c r="L304" s="35">
        <f>VENTAS[[#This Row],[Total]]-VENTAS[[#This Row],[Comisión 10%]]-VENTAS[[#This Row],[Costo SIN Comision]]</f>
        <v>11.3133333333333</v>
      </c>
      <c r="M304" s="35"/>
    </row>
    <row r="305" ht="20" customHeight="1" spans="1:13">
      <c r="A305" s="29">
        <v>45106</v>
      </c>
      <c r="B305" s="30"/>
      <c r="C305" s="30"/>
      <c r="D305" s="30"/>
      <c r="E305" s="30" t="s">
        <v>1043</v>
      </c>
      <c r="F305" s="34" t="str">
        <f>IFERROR(VLOOKUP(VENTAS[[#This Row],[Código del producto Vendido]],STOCK[],5,FALSE),"-")</f>
        <v>Jeans Ajustados Claro</v>
      </c>
      <c r="G305" s="34">
        <v>1</v>
      </c>
      <c r="H305" s="35">
        <v>35</v>
      </c>
      <c r="I305" s="35">
        <f>VENTAS[[#This Row],[Cantidad]]*VENTAS[[#This Row],[Precio Venta]]</f>
        <v>35</v>
      </c>
      <c r="J305" s="35">
        <f>IF(VENTAS[[#This Row],[Nombre del Gestor]]&gt;1,VENTAS[[#This Row],[Total]]*10%,0)</f>
        <v>0</v>
      </c>
      <c r="K305" s="35">
        <f>IFERROR(VLOOKUP(VENTAS[[#This Row],[Código del producto Vendido]],STOCK[],16,FALSE)*VENTAS[[#This Row],[Cantidad]]+VLOOKUP(VENTAS[[#This Row],[Código del producto Vendido]],STOCK[],19,FALSE)*VENTAS[[#This Row],[Cantidad]],VENTAS[[#This Row],[Total]])</f>
        <v>25.8181818181818</v>
      </c>
      <c r="L305" s="35">
        <f>VENTAS[[#This Row],[Total]]-VENTAS[[#This Row],[Comisión 10%]]-VENTAS[[#This Row],[Costo SIN Comision]]</f>
        <v>9.1818181818182</v>
      </c>
      <c r="M305" s="35"/>
    </row>
    <row r="306" ht="20" customHeight="1" spans="1:13">
      <c r="A306" s="29">
        <v>45106</v>
      </c>
      <c r="B306" s="30"/>
      <c r="C306" s="30"/>
      <c r="D306" s="30"/>
      <c r="E306" s="30" t="s">
        <v>706</v>
      </c>
      <c r="F306" s="34" t="str">
        <f>IFERROR(VLOOKUP(VENTAS[[#This Row],[Código del producto Vendido]],STOCK[],5,FALSE),"-")</f>
        <v>Top bandeau</v>
      </c>
      <c r="G306" s="34">
        <v>1</v>
      </c>
      <c r="H306" s="35">
        <v>15</v>
      </c>
      <c r="I306" s="35">
        <f>VENTAS[[#This Row],[Cantidad]]*VENTAS[[#This Row],[Precio Venta]]</f>
        <v>15</v>
      </c>
      <c r="J306" s="35">
        <f>IF(VENTAS[[#This Row],[Nombre del Gestor]]&gt;1,VENTAS[[#This Row],[Total]]*10%,0)</f>
        <v>0</v>
      </c>
      <c r="K306" s="35">
        <f>IFERROR(VLOOKUP(VENTAS[[#This Row],[Código del producto Vendido]],STOCK[],16,FALSE)*VENTAS[[#This Row],[Cantidad]]+VLOOKUP(VENTAS[[#This Row],[Código del producto Vendido]],STOCK[],19,FALSE)*VENTAS[[#This Row],[Cantidad]],VENTAS[[#This Row],[Total]])</f>
        <v>11.4</v>
      </c>
      <c r="L306" s="35">
        <f>VENTAS[[#This Row],[Total]]-VENTAS[[#This Row],[Comisión 10%]]-VENTAS[[#This Row],[Costo SIN Comision]]</f>
        <v>3.6</v>
      </c>
      <c r="M306" s="35"/>
    </row>
    <row r="307" ht="20" customHeight="1" spans="1:13">
      <c r="A307" s="29">
        <v>45107</v>
      </c>
      <c r="B307" s="30"/>
      <c r="C307" s="30"/>
      <c r="D307" s="30"/>
      <c r="E307" s="30" t="s">
        <v>1080</v>
      </c>
      <c r="F307" s="34" t="str">
        <f>IFERROR(VLOOKUP(VENTAS[[#This Row],[Código del producto Vendido]],STOCK[],5,FALSE),"-")</f>
        <v>Vestido floreado a un hombro</v>
      </c>
      <c r="G307" s="34">
        <v>1</v>
      </c>
      <c r="H307" s="35">
        <v>35</v>
      </c>
      <c r="I307" s="35">
        <f>VENTAS[[#This Row],[Cantidad]]*VENTAS[[#This Row],[Precio Venta]]</f>
        <v>35</v>
      </c>
      <c r="J307" s="35">
        <f>IF(VENTAS[[#This Row],[Nombre del Gestor]]&gt;1,VENTAS[[#This Row],[Total]]*10%,0)</f>
        <v>0</v>
      </c>
      <c r="K307" s="35">
        <f>IFERROR(VLOOKUP(VENTAS[[#This Row],[Código del producto Vendido]],STOCK[],16,FALSE)*VENTAS[[#This Row],[Cantidad]]+VLOOKUP(VENTAS[[#This Row],[Código del producto Vendido]],STOCK[],19,FALSE)*VENTAS[[#This Row],[Cantidad]],VENTAS[[#This Row],[Total]])</f>
        <v>22.3014705882353</v>
      </c>
      <c r="L307" s="35">
        <f>VENTAS[[#This Row],[Total]]-VENTAS[[#This Row],[Comisión 10%]]-VENTAS[[#This Row],[Costo SIN Comision]]</f>
        <v>12.6985294117647</v>
      </c>
      <c r="M307" s="35"/>
    </row>
    <row r="308" ht="20" customHeight="1" spans="1:13">
      <c r="A308" s="29">
        <v>45107</v>
      </c>
      <c r="B308" s="30"/>
      <c r="C308" s="30"/>
      <c r="D308" s="30"/>
      <c r="E308" s="30" t="s">
        <v>983</v>
      </c>
      <c r="F308" s="34" t="str">
        <f>IFERROR(VLOOKUP(VENTAS[[#This Row],[Código del producto Vendido]],STOCK[],5,FALSE),"-")</f>
        <v>Vestido con abertura</v>
      </c>
      <c r="G308" s="34">
        <v>1</v>
      </c>
      <c r="H308" s="35">
        <v>22</v>
      </c>
      <c r="I308" s="35">
        <f>VENTAS[[#This Row],[Cantidad]]*VENTAS[[#This Row],[Precio Venta]]</f>
        <v>22</v>
      </c>
      <c r="J308" s="35">
        <f>IF(VENTAS[[#This Row],[Nombre del Gestor]]&gt;1,VENTAS[[#This Row],[Total]]*10%,0)</f>
        <v>0</v>
      </c>
      <c r="K308" s="35">
        <f>IFERROR(VLOOKUP(VENTAS[[#This Row],[Código del producto Vendido]],STOCK[],16,FALSE)*VENTAS[[#This Row],[Cantidad]]+VLOOKUP(VENTAS[[#This Row],[Código del producto Vendido]],STOCK[],19,FALSE)*VENTAS[[#This Row],[Cantidad]],VENTAS[[#This Row],[Total]])</f>
        <v>15.5277272727273</v>
      </c>
      <c r="L308" s="35">
        <f>VENTAS[[#This Row],[Total]]-VENTAS[[#This Row],[Comisión 10%]]-VENTAS[[#This Row],[Costo SIN Comision]]</f>
        <v>6.4722727272727</v>
      </c>
      <c r="M308" s="35"/>
    </row>
    <row r="309" ht="20" customHeight="1" spans="1:13">
      <c r="A309" s="29">
        <v>45103</v>
      </c>
      <c r="B309" s="30"/>
      <c r="C309" s="30"/>
      <c r="D309" s="30"/>
      <c r="E309" s="30" t="s">
        <v>950</v>
      </c>
      <c r="F309" s="34" t="str">
        <f>IFERROR(VLOOKUP(VENTAS[[#This Row],[Código del producto Vendido]],STOCK[],5,FALSE),"-")</f>
        <v> Pantaloneta Verde</v>
      </c>
      <c r="G309" s="34">
        <v>1</v>
      </c>
      <c r="H309" s="35">
        <v>25</v>
      </c>
      <c r="I309" s="35">
        <f>VENTAS[[#This Row],[Cantidad]]*VENTAS[[#This Row],[Precio Venta]]</f>
        <v>25</v>
      </c>
      <c r="J309" s="35">
        <f>IF(VENTAS[[#This Row],[Nombre del Gestor]]&gt;1,VENTAS[[#This Row],[Total]]*10%,0)</f>
        <v>0</v>
      </c>
      <c r="K309" s="35">
        <f>IFERROR(VLOOKUP(VENTAS[[#This Row],[Código del producto Vendido]],STOCK[],16,FALSE)*VENTAS[[#This Row],[Cantidad]]+VLOOKUP(VENTAS[[#This Row],[Código del producto Vendido]],STOCK[],19,FALSE)*VENTAS[[#This Row],[Cantidad]],VENTAS[[#This Row],[Total]])</f>
        <v>14.8713636363636</v>
      </c>
      <c r="L309" s="35">
        <f>VENTAS[[#This Row],[Total]]-VENTAS[[#This Row],[Comisión 10%]]-VENTAS[[#This Row],[Costo SIN Comision]]</f>
        <v>10.1286363636364</v>
      </c>
      <c r="M309" s="35"/>
    </row>
    <row r="310" ht="20" customHeight="1" spans="1:13">
      <c r="A310" s="29">
        <v>45100</v>
      </c>
      <c r="B310" s="30"/>
      <c r="C310" s="30"/>
      <c r="D310" s="30"/>
      <c r="E310" s="30" t="s">
        <v>898</v>
      </c>
      <c r="F310" s="34" t="str">
        <f>IFERROR(VLOOKUP(VENTAS[[#This Row],[Código del producto Vendido]],STOCK[],5,FALSE),"-")</f>
        <v>Bañador con adorno de malla</v>
      </c>
      <c r="G310" s="34">
        <v>1</v>
      </c>
      <c r="H310" s="35">
        <v>25</v>
      </c>
      <c r="I310" s="35">
        <f>VENTAS[[#This Row],[Cantidad]]*VENTAS[[#This Row],[Precio Venta]]</f>
        <v>25</v>
      </c>
      <c r="J310" s="35">
        <f>IF(VENTAS[[#This Row],[Nombre del Gestor]]&gt;1,VENTAS[[#This Row],[Total]]*10%,0)</f>
        <v>0</v>
      </c>
      <c r="K310" s="35">
        <f>IFERROR(VLOOKUP(VENTAS[[#This Row],[Código del producto Vendido]],STOCK[],16,FALSE)*VENTAS[[#This Row],[Cantidad]]+VLOOKUP(VENTAS[[#This Row],[Código del producto Vendido]],STOCK[],19,FALSE)*VENTAS[[#This Row],[Cantidad]],VENTAS[[#This Row],[Total]])</f>
        <v>15.3295454545455</v>
      </c>
      <c r="L310" s="35">
        <f>VENTAS[[#This Row],[Total]]-VENTAS[[#This Row],[Comisión 10%]]-VENTAS[[#This Row],[Costo SIN Comision]]</f>
        <v>9.6704545454545</v>
      </c>
      <c r="M310" s="35"/>
    </row>
    <row r="311" ht="20" customHeight="1" spans="1:13">
      <c r="A311" s="29">
        <v>45103</v>
      </c>
      <c r="B311" s="30"/>
      <c r="C311" s="30"/>
      <c r="D311" s="30"/>
      <c r="E311" s="30" t="s">
        <v>904</v>
      </c>
      <c r="F311" s="34" t="str">
        <f>IFERROR(VLOOKUP(VENTAS[[#This Row],[Código del producto Vendido]],STOCK[],5,FALSE),"-")</f>
        <v>Bikini Floral</v>
      </c>
      <c r="G311" s="34">
        <v>1</v>
      </c>
      <c r="H311" s="35">
        <v>28</v>
      </c>
      <c r="I311" s="35">
        <f>VENTAS[[#This Row],[Cantidad]]*VENTAS[[#This Row],[Precio Venta]]</f>
        <v>28</v>
      </c>
      <c r="J311" s="35">
        <f>IF(VENTAS[[#This Row],[Nombre del Gestor]]&gt;1,VENTAS[[#This Row],[Total]]*10%,0)</f>
        <v>0</v>
      </c>
      <c r="K311" s="35">
        <f>IFERROR(VLOOKUP(VENTAS[[#This Row],[Código del producto Vendido]],STOCK[],16,FALSE)*VENTAS[[#This Row],[Cantidad]]+VLOOKUP(VENTAS[[#This Row],[Código del producto Vendido]],STOCK[],19,FALSE)*VENTAS[[#This Row],[Cantidad]],VENTAS[[#This Row],[Total]])</f>
        <v>17.5127272727273</v>
      </c>
      <c r="L311" s="35">
        <f>VENTAS[[#This Row],[Total]]-VENTAS[[#This Row],[Comisión 10%]]-VENTAS[[#This Row],[Costo SIN Comision]]</f>
        <v>10.4872727272727</v>
      </c>
      <c r="M311" s="35"/>
    </row>
    <row r="312" ht="20" customHeight="1" spans="1:13">
      <c r="A312" s="29">
        <v>45100</v>
      </c>
      <c r="B312" s="30"/>
      <c r="C312" s="30"/>
      <c r="D312" s="30"/>
      <c r="E312" s="30" t="s">
        <v>1090</v>
      </c>
      <c r="F312" s="34" t="str">
        <f>IFERROR(VLOOKUP(VENTAS[[#This Row],[Código del producto Vendido]],STOCK[],5,FALSE),"-")</f>
        <v>Bikini Short con cordón de ajuste</v>
      </c>
      <c r="G312" s="34">
        <v>1</v>
      </c>
      <c r="H312" s="35">
        <v>28</v>
      </c>
      <c r="I312" s="35">
        <f>VENTAS[[#This Row],[Cantidad]]*VENTAS[[#This Row],[Precio Venta]]</f>
        <v>28</v>
      </c>
      <c r="J312" s="35">
        <f>IF(VENTAS[[#This Row],[Nombre del Gestor]]&gt;1,VENTAS[[#This Row],[Total]]*10%,0)</f>
        <v>0</v>
      </c>
      <c r="K312" s="35">
        <f>IFERROR(VLOOKUP(VENTAS[[#This Row],[Código del producto Vendido]],STOCK[],16,FALSE)*VENTAS[[#This Row],[Cantidad]]+VLOOKUP(VENTAS[[#This Row],[Código del producto Vendido]],STOCK[],19,FALSE)*VENTAS[[#This Row],[Cantidad]],VENTAS[[#This Row],[Total]])</f>
        <v>20.4794117647059</v>
      </c>
      <c r="L312" s="35">
        <f>VENTAS[[#This Row],[Total]]-VENTAS[[#This Row],[Comisión 10%]]-VENTAS[[#This Row],[Costo SIN Comision]]</f>
        <v>7.5205882352941</v>
      </c>
      <c r="M312" s="35"/>
    </row>
    <row r="313" ht="20" customHeight="1" spans="1:13">
      <c r="A313" s="29">
        <v>45103</v>
      </c>
      <c r="B313" s="30"/>
      <c r="C313" s="30"/>
      <c r="D313" s="30"/>
      <c r="E313" s="30" t="s">
        <v>1092</v>
      </c>
      <c r="F313" s="34" t="str">
        <f>IFERROR(VLOOKUP(VENTAS[[#This Row],[Código del producto Vendido]],STOCK[],5,FALSE),"-")</f>
        <v>Bikini Short con cordón de ajuste</v>
      </c>
      <c r="G313" s="34">
        <v>1</v>
      </c>
      <c r="H313" s="35">
        <v>28</v>
      </c>
      <c r="I313" s="35">
        <f>VENTAS[[#This Row],[Cantidad]]*VENTAS[[#This Row],[Precio Venta]]</f>
        <v>28</v>
      </c>
      <c r="J313" s="35">
        <f>IF(VENTAS[[#This Row],[Nombre del Gestor]]&gt;1,VENTAS[[#This Row],[Total]]*10%,0)</f>
        <v>0</v>
      </c>
      <c r="K313" s="35">
        <f>IFERROR(VLOOKUP(VENTAS[[#This Row],[Código del producto Vendido]],STOCK[],16,FALSE)*VENTAS[[#This Row],[Cantidad]]+VLOOKUP(VENTAS[[#This Row],[Código del producto Vendido]],STOCK[],19,FALSE)*VENTAS[[#This Row],[Cantidad]],VENTAS[[#This Row],[Total]])</f>
        <v>20.4794117647059</v>
      </c>
      <c r="L313" s="35">
        <f>VENTAS[[#This Row],[Total]]-VENTAS[[#This Row],[Comisión 10%]]-VENTAS[[#This Row],[Costo SIN Comision]]</f>
        <v>7.5205882352941</v>
      </c>
      <c r="M313" s="35"/>
    </row>
    <row r="314" ht="20" customHeight="1" spans="1:13">
      <c r="A314" s="29">
        <v>45100</v>
      </c>
      <c r="B314" s="30"/>
      <c r="C314" s="30"/>
      <c r="D314" s="30"/>
      <c r="E314" s="30" t="s">
        <v>1095</v>
      </c>
      <c r="F314" s="34" t="str">
        <f>IFERROR(VLOOKUP(VENTAS[[#This Row],[Código del producto Vendido]],STOCK[],5,FALSE),"-")</f>
        <v>Bañador en contraste azul</v>
      </c>
      <c r="G314" s="34">
        <v>1</v>
      </c>
      <c r="H314" s="35">
        <v>28</v>
      </c>
      <c r="I314" s="35">
        <f>VENTAS[[#This Row],[Cantidad]]*VENTAS[[#This Row],[Precio Venta]]</f>
        <v>28</v>
      </c>
      <c r="J314" s="35">
        <f>IF(VENTAS[[#This Row],[Nombre del Gestor]]&gt;1,VENTAS[[#This Row],[Total]]*10%,0)</f>
        <v>0</v>
      </c>
      <c r="K314" s="35">
        <f>IFERROR(VLOOKUP(VENTAS[[#This Row],[Código del producto Vendido]],STOCK[],16,FALSE)*VENTAS[[#This Row],[Cantidad]]+VLOOKUP(VENTAS[[#This Row],[Código del producto Vendido]],STOCK[],19,FALSE)*VENTAS[[#This Row],[Cantidad]],VENTAS[[#This Row],[Total]])</f>
        <v>19.3389705882353</v>
      </c>
      <c r="L314" s="35">
        <f>VENTAS[[#This Row],[Total]]-VENTAS[[#This Row],[Comisión 10%]]-VENTAS[[#This Row],[Costo SIN Comision]]</f>
        <v>8.6610294117647</v>
      </c>
      <c r="M314" s="35"/>
    </row>
    <row r="315" ht="20" customHeight="1" spans="1:13">
      <c r="A315" s="29">
        <v>45100</v>
      </c>
      <c r="B315" s="30"/>
      <c r="C315" s="30"/>
      <c r="D315" s="30"/>
      <c r="E315" s="30" t="s">
        <v>1130</v>
      </c>
      <c r="F315" s="34" t="str">
        <f>IFERROR(VLOOKUP(VENTAS[[#This Row],[Código del producto Vendido]],STOCK[],5,FALSE),"-")</f>
        <v>Maxi Vestido espalda corrida</v>
      </c>
      <c r="G315" s="34">
        <v>1</v>
      </c>
      <c r="H315" s="35">
        <v>30</v>
      </c>
      <c r="I315" s="35">
        <f>VENTAS[[#This Row],[Cantidad]]*VENTAS[[#This Row],[Precio Venta]]</f>
        <v>30</v>
      </c>
      <c r="J315" s="35">
        <f>IF(VENTAS[[#This Row],[Nombre del Gestor]]&gt;1,VENTAS[[#This Row],[Total]]*10%,0)</f>
        <v>0</v>
      </c>
      <c r="K315" s="35">
        <f>IFERROR(VLOOKUP(VENTAS[[#This Row],[Código del producto Vendido]],STOCK[],16,FALSE)*VENTAS[[#This Row],[Cantidad]]+VLOOKUP(VENTAS[[#This Row],[Código del producto Vendido]],STOCK[],19,FALSE)*VENTAS[[#This Row],[Cantidad]],VENTAS[[#This Row],[Total]])</f>
        <v>23.6544117647059</v>
      </c>
      <c r="L315" s="35">
        <f>VENTAS[[#This Row],[Total]]-VENTAS[[#This Row],[Comisión 10%]]-VENTAS[[#This Row],[Costo SIN Comision]]</f>
        <v>6.3455882352941</v>
      </c>
      <c r="M315" s="35"/>
    </row>
    <row r="316" ht="20" customHeight="1" spans="1:13">
      <c r="A316" s="29">
        <v>45100</v>
      </c>
      <c r="B316" s="30"/>
      <c r="C316" s="30"/>
      <c r="D316" s="30"/>
      <c r="E316" s="30" t="s">
        <v>905</v>
      </c>
      <c r="F316" s="34" t="str">
        <f>IFERROR(VLOOKUP(VENTAS[[#This Row],[Código del producto Vendido]],STOCK[],5,FALSE),"-")</f>
        <v>Bikini Floral</v>
      </c>
      <c r="G316" s="34">
        <v>1</v>
      </c>
      <c r="H316" s="35">
        <v>28</v>
      </c>
      <c r="I316" s="35">
        <f>VENTAS[[#This Row],[Cantidad]]*VENTAS[[#This Row],[Precio Venta]]</f>
        <v>28</v>
      </c>
      <c r="J316" s="35">
        <f>IF(VENTAS[[#This Row],[Nombre del Gestor]]&gt;1,VENTAS[[#This Row],[Total]]*10%,0)</f>
        <v>0</v>
      </c>
      <c r="K316" s="35">
        <f>IFERROR(VLOOKUP(VENTAS[[#This Row],[Código del producto Vendido]],STOCK[],16,FALSE)*VENTAS[[#This Row],[Cantidad]]+VLOOKUP(VENTAS[[#This Row],[Código del producto Vendido]],STOCK[],19,FALSE)*VENTAS[[#This Row],[Cantidad]],VENTAS[[#This Row],[Total]])</f>
        <v>17.5127272727273</v>
      </c>
      <c r="L316" s="35">
        <f>VENTAS[[#This Row],[Total]]-VENTAS[[#This Row],[Comisión 10%]]-VENTAS[[#This Row],[Costo SIN Comision]]</f>
        <v>10.4872727272727</v>
      </c>
      <c r="M316" s="35"/>
    </row>
    <row r="317" ht="20" customHeight="1" spans="1:13">
      <c r="A317" s="29">
        <v>45133</v>
      </c>
      <c r="B317" s="30"/>
      <c r="C317" s="30"/>
      <c r="D317" s="30"/>
      <c r="E317" s="30" t="s">
        <v>278</v>
      </c>
      <c r="F317" s="34" t="str">
        <f>IFERROR(VLOOKUP(VENTAS[[#This Row],[Código del producto Vendido]],STOCK[],5,FALSE),"-")</f>
        <v>Top de cuello V media manga</v>
      </c>
      <c r="G317" s="34">
        <v>1</v>
      </c>
      <c r="H317" s="35">
        <v>14</v>
      </c>
      <c r="I317" s="35">
        <f>VENTAS[[#This Row],[Cantidad]]*VENTAS[[#This Row],[Precio Venta]]</f>
        <v>14</v>
      </c>
      <c r="J317" s="35">
        <f>IF(VENTAS[[#This Row],[Nombre del Gestor]]&gt;1,VENTAS[[#This Row],[Total]]*10%,0)</f>
        <v>0</v>
      </c>
      <c r="K317" s="35">
        <f>IFERROR(VLOOKUP(VENTAS[[#This Row],[Código del producto Vendido]],STOCK[],16,FALSE)*VENTAS[[#This Row],[Cantidad]]+VLOOKUP(VENTAS[[#This Row],[Código del producto Vendido]],STOCK[],19,FALSE)*VENTAS[[#This Row],[Cantidad]],VENTAS[[#This Row],[Total]])</f>
        <v>6.99555555555556</v>
      </c>
      <c r="L317" s="35">
        <f>VENTAS[[#This Row],[Total]]-VENTAS[[#This Row],[Comisión 10%]]-VENTAS[[#This Row],[Costo SIN Comision]]</f>
        <v>7.00444444444444</v>
      </c>
      <c r="M317" s="35"/>
    </row>
    <row r="318" ht="20" customHeight="1" spans="1:13">
      <c r="A318" s="42">
        <v>45133</v>
      </c>
      <c r="B318" s="30"/>
      <c r="C318" s="30"/>
      <c r="D318" s="30"/>
      <c r="E318" s="30" t="s">
        <v>234</v>
      </c>
      <c r="F318" s="34" t="str">
        <f>IFERROR(VLOOKUP(VENTAS[[#This Row],[Código del producto Vendido]],STOCK[],5,FALSE),"-")</f>
        <v>Top de cuello con cordón de lunares</v>
      </c>
      <c r="G318" s="34">
        <v>1</v>
      </c>
      <c r="H318" s="35">
        <v>12</v>
      </c>
      <c r="I318" s="35">
        <f>VENTAS[[#This Row],[Cantidad]]*VENTAS[[#This Row],[Precio Venta]]</f>
        <v>12</v>
      </c>
      <c r="J318" s="35">
        <f>IF(VENTAS[[#This Row],[Nombre del Gestor]]&gt;1,VENTAS[[#This Row],[Total]]*10%,0)</f>
        <v>0</v>
      </c>
      <c r="K318" s="35">
        <f>IFERROR(VLOOKUP(VENTAS[[#This Row],[Código del producto Vendido]],STOCK[],16,FALSE)*VENTAS[[#This Row],[Cantidad]]+VLOOKUP(VENTAS[[#This Row],[Código del producto Vendido]],STOCK[],19,FALSE)*VENTAS[[#This Row],[Cantidad]],VENTAS[[#This Row],[Total]])</f>
        <v>7.90444444444444</v>
      </c>
      <c r="L318" s="35">
        <f>VENTAS[[#This Row],[Total]]-VENTAS[[#This Row],[Comisión 10%]]-VENTAS[[#This Row],[Costo SIN Comision]]</f>
        <v>4.09555555555556</v>
      </c>
      <c r="M318" s="35"/>
    </row>
    <row r="319" ht="20" customHeight="1" spans="1:13">
      <c r="A319" s="29">
        <v>45108</v>
      </c>
      <c r="B319" s="30"/>
      <c r="C319" s="30"/>
      <c r="D319" s="30"/>
      <c r="E319" s="30" t="s">
        <v>192</v>
      </c>
      <c r="F319" s="34" t="str">
        <f>IFERROR(VLOOKUP(VENTAS[[#This Row],[Código del producto Vendido]],STOCK[],5,FALSE),"-")</f>
        <v>Pantalones de pierna ancha de talle alto con abertura</v>
      </c>
      <c r="G319" s="34">
        <v>1</v>
      </c>
      <c r="H319" s="35">
        <v>22</v>
      </c>
      <c r="I319" s="35">
        <f>VENTAS[[#This Row],[Cantidad]]*VENTAS[[#This Row],[Precio Venta]]</f>
        <v>22</v>
      </c>
      <c r="J319" s="35">
        <f>IF(VENTAS[[#This Row],[Nombre del Gestor]]&gt;1,VENTAS[[#This Row],[Total]]*10%,0)</f>
        <v>0</v>
      </c>
      <c r="K319" s="35">
        <f>IFERROR(VLOOKUP(VENTAS[[#This Row],[Código del producto Vendido]],STOCK[],16,FALSE)*VENTAS[[#This Row],[Cantidad]]+VLOOKUP(VENTAS[[#This Row],[Código del producto Vendido]],STOCK[],19,FALSE)*VENTAS[[#This Row],[Cantidad]],VENTAS[[#This Row],[Total]])</f>
        <v>13.1511111111111</v>
      </c>
      <c r="L319" s="35">
        <f>VENTAS[[#This Row],[Total]]-VENTAS[[#This Row],[Comisión 10%]]-VENTAS[[#This Row],[Costo SIN Comision]]</f>
        <v>8.8488888888889</v>
      </c>
      <c r="M319" s="35"/>
    </row>
    <row r="320" ht="20" customHeight="1" spans="1:13">
      <c r="A320" s="29">
        <v>45107</v>
      </c>
      <c r="B320" s="30"/>
      <c r="C320" s="30"/>
      <c r="D320" s="30"/>
      <c r="E320" s="30" t="s">
        <v>29</v>
      </c>
      <c r="F320" s="34" t="str">
        <f>IFERROR(VLOOKUP(VENTAS[[#This Row],[Código del producto Vendido]],STOCK[],5,FALSE),"-")</f>
        <v>Pareo falda </v>
      </c>
      <c r="G320" s="34">
        <v>1</v>
      </c>
      <c r="H320" s="35">
        <v>8</v>
      </c>
      <c r="I320" s="35">
        <f>VENTAS[[#This Row],[Cantidad]]*VENTAS[[#This Row],[Precio Venta]]</f>
        <v>8</v>
      </c>
      <c r="J320" s="35">
        <f>IF(VENTAS[[#This Row],[Nombre del Gestor]]&gt;1,VENTAS[[#This Row],[Total]]*10%,0)</f>
        <v>0</v>
      </c>
      <c r="K320" s="35">
        <f>IFERROR(VLOOKUP(VENTAS[[#This Row],[Código del producto Vendido]],STOCK[],16,FALSE)*VENTAS[[#This Row],[Cantidad]]+VLOOKUP(VENTAS[[#This Row],[Código del producto Vendido]],STOCK[],19,FALSE)*VENTAS[[#This Row],[Cantidad]],VENTAS[[#This Row],[Total]])</f>
        <v>4.33722222222222</v>
      </c>
      <c r="L320" s="35">
        <f>VENTAS[[#This Row],[Total]]-VENTAS[[#This Row],[Comisión 10%]]-VENTAS[[#This Row],[Costo SIN Comision]]</f>
        <v>3.66277777777778</v>
      </c>
      <c r="M320" s="35"/>
    </row>
    <row r="321" ht="20" customHeight="1" spans="1:13">
      <c r="A321" s="29">
        <v>45108</v>
      </c>
      <c r="B321" s="30"/>
      <c r="C321" s="30"/>
      <c r="D321" s="30"/>
      <c r="E321" s="30" t="s">
        <v>889</v>
      </c>
      <c r="F321" s="34" t="str">
        <f>IFERROR(VLOOKUP(VENTAS[[#This Row],[Código del producto Vendido]],STOCK[],5,FALSE),"-")</f>
        <v>Top Cuello encaje y mangas abombadas</v>
      </c>
      <c r="G321" s="34">
        <v>1</v>
      </c>
      <c r="H321" s="35">
        <v>12</v>
      </c>
      <c r="I321" s="35">
        <f>VENTAS[[#This Row],[Cantidad]]*VENTAS[[#This Row],[Precio Venta]]</f>
        <v>12</v>
      </c>
      <c r="J321" s="35">
        <f>IF(VENTAS[[#This Row],[Nombre del Gestor]]&gt;1,VENTAS[[#This Row],[Total]]*10%,0)</f>
        <v>0</v>
      </c>
      <c r="K321" s="35">
        <f>IFERROR(VLOOKUP(VENTAS[[#This Row],[Código del producto Vendido]],STOCK[],16,FALSE)*VENTAS[[#This Row],[Cantidad]]+VLOOKUP(VENTAS[[#This Row],[Código del producto Vendido]],STOCK[],19,FALSE)*VENTAS[[#This Row],[Cantidad]],VENTAS[[#This Row],[Total]])</f>
        <v>6.35818181818182</v>
      </c>
      <c r="L321" s="35">
        <f>VENTAS[[#This Row],[Total]]-VENTAS[[#This Row],[Comisión 10%]]-VENTAS[[#This Row],[Costo SIN Comision]]</f>
        <v>5.64181818181818</v>
      </c>
      <c r="M321" s="35"/>
    </row>
    <row r="322" ht="20" customHeight="1" spans="1:13">
      <c r="A322" s="29">
        <v>45107</v>
      </c>
      <c r="B322" s="30"/>
      <c r="C322" s="30"/>
      <c r="D322" s="30"/>
      <c r="E322" s="30" t="s">
        <v>911</v>
      </c>
      <c r="F322" s="34" t="str">
        <f>IFERROR(VLOOKUP(VENTAS[[#This Row],[Código del producto Vendido]],STOCK[],5,FALSE),"-")</f>
        <v>Bañador de pierna alta</v>
      </c>
      <c r="G322" s="34">
        <v>1</v>
      </c>
      <c r="H322" s="35">
        <v>28</v>
      </c>
      <c r="I322" s="35">
        <f>VENTAS[[#This Row],[Cantidad]]*VENTAS[[#This Row],[Precio Venta]]</f>
        <v>28</v>
      </c>
      <c r="J322" s="35">
        <f>IF(VENTAS[[#This Row],[Nombre del Gestor]]&gt;1,VENTAS[[#This Row],[Total]]*10%,0)</f>
        <v>0</v>
      </c>
      <c r="K322" s="35">
        <f>IFERROR(VLOOKUP(VENTAS[[#This Row],[Código del producto Vendido]],STOCK[],16,FALSE)*VENTAS[[#This Row],[Cantidad]]+VLOOKUP(VENTAS[[#This Row],[Código del producto Vendido]],STOCK[],19,FALSE)*VENTAS[[#This Row],[Cantidad]],VENTAS[[#This Row],[Total]])</f>
        <v>15.8931818181818</v>
      </c>
      <c r="L322" s="35">
        <f>VENTAS[[#This Row],[Total]]-VENTAS[[#This Row],[Comisión 10%]]-VENTAS[[#This Row],[Costo SIN Comision]]</f>
        <v>12.1068181818182</v>
      </c>
      <c r="M322" s="35"/>
    </row>
    <row r="323" ht="20" customHeight="1" spans="1:13">
      <c r="A323" s="29">
        <v>45133</v>
      </c>
      <c r="B323" s="30"/>
      <c r="C323" s="30"/>
      <c r="D323" s="30"/>
      <c r="E323" s="30" t="s">
        <v>260</v>
      </c>
      <c r="F323" s="34" t="str">
        <f>IFERROR(VLOOKUP(VENTAS[[#This Row],[Código del producto Vendido]],STOCK[],5,FALSE),"-")</f>
        <v>Blusas Botón Floral Casual</v>
      </c>
      <c r="G323" s="34">
        <v>1</v>
      </c>
      <c r="H323" s="35">
        <v>14</v>
      </c>
      <c r="I323" s="35">
        <f>VENTAS[[#This Row],[Cantidad]]*VENTAS[[#This Row],[Precio Venta]]</f>
        <v>14</v>
      </c>
      <c r="J323" s="35">
        <f>IF(VENTAS[[#This Row],[Nombre del Gestor]]&gt;1,VENTAS[[#This Row],[Total]]*10%,0)</f>
        <v>0</v>
      </c>
      <c r="K323" s="35">
        <f>IFERROR(VLOOKUP(VENTAS[[#This Row],[Código del producto Vendido]],STOCK[],16,FALSE)*VENTAS[[#This Row],[Cantidad]]+VLOOKUP(VENTAS[[#This Row],[Código del producto Vendido]],STOCK[],19,FALSE)*VENTAS[[#This Row],[Cantidad]],VENTAS[[#This Row],[Total]])</f>
        <v>8.10222222222222</v>
      </c>
      <c r="L323" s="35">
        <f>VENTAS[[#This Row],[Total]]-VENTAS[[#This Row],[Comisión 10%]]-VENTAS[[#This Row],[Costo SIN Comision]]</f>
        <v>5.89777777777778</v>
      </c>
      <c r="M323" s="35"/>
    </row>
    <row r="324" ht="20" customHeight="1" spans="1:13">
      <c r="A324" s="29">
        <v>45103</v>
      </c>
      <c r="B324" s="30"/>
      <c r="C324" s="30"/>
      <c r="D324" s="30"/>
      <c r="E324" s="30" t="s">
        <v>1028</v>
      </c>
      <c r="F324" s="34" t="str">
        <f>IFERROR(VLOOKUP(VENTAS[[#This Row],[Código del producto Vendido]],STOCK[],5,FALSE),"-")</f>
        <v>Top cuello V Blanco</v>
      </c>
      <c r="G324" s="34">
        <v>1</v>
      </c>
      <c r="H324" s="35">
        <v>12</v>
      </c>
      <c r="I324" s="35">
        <f>VENTAS[[#This Row],[Cantidad]]*VENTAS[[#This Row],[Precio Venta]]</f>
        <v>12</v>
      </c>
      <c r="J324" s="35">
        <f>IF(VENTAS[[#This Row],[Nombre del Gestor]]&gt;1,VENTAS[[#This Row],[Total]]*10%,0)</f>
        <v>0</v>
      </c>
      <c r="K324" s="35">
        <f>IFERROR(VLOOKUP(VENTAS[[#This Row],[Código del producto Vendido]],STOCK[],16,FALSE)*VENTAS[[#This Row],[Cantidad]]+VLOOKUP(VENTAS[[#This Row],[Código del producto Vendido]],STOCK[],19,FALSE)*VENTAS[[#This Row],[Cantidad]],VENTAS[[#This Row],[Total]])</f>
        <v>7.75568181818182</v>
      </c>
      <c r="L324" s="35">
        <f>VENTAS[[#This Row],[Total]]-VENTAS[[#This Row],[Comisión 10%]]-VENTAS[[#This Row],[Costo SIN Comision]]</f>
        <v>4.24431818181818</v>
      </c>
      <c r="M324" s="35"/>
    </row>
    <row r="325" ht="20" customHeight="1" spans="1:13">
      <c r="A325" s="29">
        <v>45108</v>
      </c>
      <c r="B325" s="30"/>
      <c r="C325" s="30"/>
      <c r="D325" s="30"/>
      <c r="E325" s="30" t="s">
        <v>948</v>
      </c>
      <c r="F325" s="34" t="str">
        <f>IFERROR(VLOOKUP(VENTAS[[#This Row],[Código del producto Vendido]],STOCK[],5,FALSE),"-")</f>
        <v> Pantaloneta Verde</v>
      </c>
      <c r="G325" s="34">
        <v>1</v>
      </c>
      <c r="H325" s="35">
        <v>25</v>
      </c>
      <c r="I325" s="35">
        <f>VENTAS[[#This Row],[Cantidad]]*VENTAS[[#This Row],[Precio Venta]]</f>
        <v>25</v>
      </c>
      <c r="J325" s="35">
        <f>IF(VENTAS[[#This Row],[Nombre del Gestor]]&gt;1,VENTAS[[#This Row],[Total]]*10%,0)</f>
        <v>0</v>
      </c>
      <c r="K325" s="35">
        <f>IFERROR(VLOOKUP(VENTAS[[#This Row],[Código del producto Vendido]],STOCK[],16,FALSE)*VENTAS[[#This Row],[Cantidad]]+VLOOKUP(VENTAS[[#This Row],[Código del producto Vendido]],STOCK[],19,FALSE)*VENTAS[[#This Row],[Cantidad]],VENTAS[[#This Row],[Total]])</f>
        <v>14.8713636363636</v>
      </c>
      <c r="L325" s="35">
        <f>VENTAS[[#This Row],[Total]]-VENTAS[[#This Row],[Comisión 10%]]-VENTAS[[#This Row],[Costo SIN Comision]]</f>
        <v>10.1286363636364</v>
      </c>
      <c r="M325" s="35"/>
    </row>
    <row r="326" ht="20" customHeight="1" spans="1:13">
      <c r="A326" s="29">
        <v>45110</v>
      </c>
      <c r="B326" s="30"/>
      <c r="C326" s="30"/>
      <c r="D326" s="30"/>
      <c r="E326" s="30" t="s">
        <v>1092</v>
      </c>
      <c r="F326" s="34" t="str">
        <f>IFERROR(VLOOKUP(VENTAS[[#This Row],[Código del producto Vendido]],STOCK[],5,FALSE),"-")</f>
        <v>Bikini Short con cordón de ajuste</v>
      </c>
      <c r="G326" s="34">
        <v>1</v>
      </c>
      <c r="H326" s="35">
        <v>28</v>
      </c>
      <c r="I326" s="35">
        <f>VENTAS[[#This Row],[Cantidad]]*VENTAS[[#This Row],[Precio Venta]]</f>
        <v>28</v>
      </c>
      <c r="J326" s="35">
        <f>IF(VENTAS[[#This Row],[Nombre del Gestor]]&gt;1,VENTAS[[#This Row],[Total]]*10%,0)</f>
        <v>0</v>
      </c>
      <c r="K326" s="35">
        <f>IFERROR(VLOOKUP(VENTAS[[#This Row],[Código del producto Vendido]],STOCK[],16,FALSE)*VENTAS[[#This Row],[Cantidad]]+VLOOKUP(VENTAS[[#This Row],[Código del producto Vendido]],STOCK[],19,FALSE)*VENTAS[[#This Row],[Cantidad]],VENTAS[[#This Row],[Total]])</f>
        <v>20.4794117647059</v>
      </c>
      <c r="L326" s="35">
        <f>VENTAS[[#This Row],[Total]]-VENTAS[[#This Row],[Comisión 10%]]-VENTAS[[#This Row],[Costo SIN Comision]]</f>
        <v>7.5205882352941</v>
      </c>
      <c r="M326" s="35"/>
    </row>
    <row r="327" ht="20" customHeight="1" spans="1:13">
      <c r="A327" s="29">
        <v>45113</v>
      </c>
      <c r="B327" s="30"/>
      <c r="C327" s="30"/>
      <c r="D327" s="30"/>
      <c r="E327" s="30" t="s">
        <v>1049</v>
      </c>
      <c r="F327" s="34" t="str">
        <f>IFERROR(VLOOKUP(VENTAS[[#This Row],[Código del producto Vendido]],STOCK[],5,FALSE),"-")</f>
        <v>Pantaloneta Camel</v>
      </c>
      <c r="G327" s="34">
        <v>1</v>
      </c>
      <c r="H327" s="35">
        <v>30</v>
      </c>
      <c r="I327" s="35">
        <f>VENTAS[[#This Row],[Cantidad]]*VENTAS[[#This Row],[Precio Venta]]</f>
        <v>30</v>
      </c>
      <c r="J327" s="35">
        <f>IF(VENTAS[[#This Row],[Nombre del Gestor]]&gt;1,VENTAS[[#This Row],[Total]]*10%,0)</f>
        <v>0</v>
      </c>
      <c r="K327" s="35">
        <f>IFERROR(VLOOKUP(VENTAS[[#This Row],[Código del producto Vendido]],STOCK[],16,FALSE)*VENTAS[[#This Row],[Cantidad]]+VLOOKUP(VENTAS[[#This Row],[Código del producto Vendido]],STOCK[],19,FALSE)*VENTAS[[#This Row],[Cantidad]],VENTAS[[#This Row],[Total]])</f>
        <v>18.6477272727273</v>
      </c>
      <c r="L327" s="35">
        <f>VENTAS[[#This Row],[Total]]-VENTAS[[#This Row],[Comisión 10%]]-VENTAS[[#This Row],[Costo SIN Comision]]</f>
        <v>11.3522727272727</v>
      </c>
      <c r="M327" s="35"/>
    </row>
    <row r="328" ht="20" customHeight="1" spans="1:13">
      <c r="A328" s="29">
        <v>45113</v>
      </c>
      <c r="B328" s="30"/>
      <c r="C328" s="30"/>
      <c r="D328" s="30"/>
      <c r="E328" s="30" t="s">
        <v>905</v>
      </c>
      <c r="F328" s="34" t="str">
        <f>IFERROR(VLOOKUP(VENTAS[[#This Row],[Código del producto Vendido]],STOCK[],5,FALSE),"-")</f>
        <v>Bikini Floral</v>
      </c>
      <c r="G328" s="34">
        <v>1</v>
      </c>
      <c r="H328" s="35">
        <v>28</v>
      </c>
      <c r="I328" s="35">
        <f>VENTAS[[#This Row],[Cantidad]]*VENTAS[[#This Row],[Precio Venta]]</f>
        <v>28</v>
      </c>
      <c r="J328" s="35">
        <f>IF(VENTAS[[#This Row],[Nombre del Gestor]]&gt;1,VENTAS[[#This Row],[Total]]*10%,0)</f>
        <v>0</v>
      </c>
      <c r="K328" s="35">
        <f>IFERROR(VLOOKUP(VENTAS[[#This Row],[Código del producto Vendido]],STOCK[],16,FALSE)*VENTAS[[#This Row],[Cantidad]]+VLOOKUP(VENTAS[[#This Row],[Código del producto Vendido]],STOCK[],19,FALSE)*VENTAS[[#This Row],[Cantidad]],VENTAS[[#This Row],[Total]])</f>
        <v>17.5127272727273</v>
      </c>
      <c r="L328" s="35">
        <f>VENTAS[[#This Row],[Total]]-VENTAS[[#This Row],[Comisión 10%]]-VENTAS[[#This Row],[Costo SIN Comision]]</f>
        <v>10.4872727272727</v>
      </c>
      <c r="M328" s="35"/>
    </row>
    <row r="329" ht="20" customHeight="1" spans="1:13">
      <c r="A329" s="29">
        <v>45114</v>
      </c>
      <c r="B329" s="30"/>
      <c r="C329" s="30"/>
      <c r="D329" s="30"/>
      <c r="E329" s="30" t="s">
        <v>1097</v>
      </c>
      <c r="F329" s="34" t="str">
        <f>IFERROR(VLOOKUP(VENTAS[[#This Row],[Código del producto Vendido]],STOCK[],5,FALSE),"-")</f>
        <v>Bañador en contraste azul</v>
      </c>
      <c r="G329" s="34">
        <v>1</v>
      </c>
      <c r="H329" s="35">
        <v>28</v>
      </c>
      <c r="I329" s="35">
        <f>VENTAS[[#This Row],[Cantidad]]*VENTAS[[#This Row],[Precio Venta]]</f>
        <v>28</v>
      </c>
      <c r="J329" s="35">
        <f>IF(VENTAS[[#This Row],[Nombre del Gestor]]&gt;1,VENTAS[[#This Row],[Total]]*10%,0)</f>
        <v>0</v>
      </c>
      <c r="K329" s="35">
        <f>IFERROR(VLOOKUP(VENTAS[[#This Row],[Código del producto Vendido]],STOCK[],16,FALSE)*VENTAS[[#This Row],[Cantidad]]+VLOOKUP(VENTAS[[#This Row],[Código del producto Vendido]],STOCK[],19,FALSE)*VENTAS[[#This Row],[Cantidad]],VENTAS[[#This Row],[Total]])</f>
        <v>19.3389705882353</v>
      </c>
      <c r="L329" s="35">
        <f>VENTAS[[#This Row],[Total]]-VENTAS[[#This Row],[Comisión 10%]]-VENTAS[[#This Row],[Costo SIN Comision]]</f>
        <v>8.6610294117647</v>
      </c>
      <c r="M329" s="35"/>
    </row>
    <row r="330" ht="20" customHeight="1" spans="1:13">
      <c r="A330" s="29">
        <v>45111</v>
      </c>
      <c r="B330" s="30"/>
      <c r="C330" s="30"/>
      <c r="D330" s="30"/>
      <c r="E330" s="30" t="s">
        <v>243</v>
      </c>
      <c r="F330" s="34" t="str">
        <f>IFERROR(VLOOKUP(VENTAS[[#This Row],[Código del producto Vendido]],STOCK[],5,FALSE),"-")</f>
        <v>Blusa de manga mariposa escote V</v>
      </c>
      <c r="G330" s="34">
        <v>1</v>
      </c>
      <c r="H330" s="35">
        <v>14</v>
      </c>
      <c r="I330" s="35">
        <f>VENTAS[[#This Row],[Cantidad]]*VENTAS[[#This Row],[Precio Venta]]</f>
        <v>14</v>
      </c>
      <c r="J330" s="35">
        <f>IF(VENTAS[[#This Row],[Nombre del Gestor]]&gt;1,VENTAS[[#This Row],[Total]]*10%,0)</f>
        <v>0</v>
      </c>
      <c r="K330" s="35">
        <f>IFERROR(VLOOKUP(VENTAS[[#This Row],[Código del producto Vendido]],STOCK[],16,FALSE)*VENTAS[[#This Row],[Cantidad]]+VLOOKUP(VENTAS[[#This Row],[Código del producto Vendido]],STOCK[],19,FALSE)*VENTAS[[#This Row],[Cantidad]],VENTAS[[#This Row],[Total]])</f>
        <v>9.10444444444444</v>
      </c>
      <c r="L330" s="35">
        <f>VENTAS[[#This Row],[Total]]-VENTAS[[#This Row],[Comisión 10%]]-VENTAS[[#This Row],[Costo SIN Comision]]</f>
        <v>4.89555555555556</v>
      </c>
      <c r="M330" s="35"/>
    </row>
    <row r="331" ht="20" customHeight="1" spans="1:13">
      <c r="A331" s="29">
        <v>45116</v>
      </c>
      <c r="B331" s="30"/>
      <c r="C331" s="30"/>
      <c r="D331" s="30"/>
      <c r="E331" s="30" t="s">
        <v>61</v>
      </c>
      <c r="F331" s="34" t="str">
        <f>IFERROR(VLOOKUP(VENTAS[[#This Row],[Código del producto Vendido]],STOCK[],5,FALSE),"-")</f>
        <v>Bikini Mangas Fuccia</v>
      </c>
      <c r="G331" s="34">
        <v>1</v>
      </c>
      <c r="H331" s="35">
        <v>22</v>
      </c>
      <c r="I331" s="35">
        <f>VENTAS[[#This Row],[Cantidad]]*VENTAS[[#This Row],[Precio Venta]]</f>
        <v>22</v>
      </c>
      <c r="J331" s="35">
        <f>IF(VENTAS[[#This Row],[Nombre del Gestor]]&gt;1,VENTAS[[#This Row],[Total]]*10%,0)</f>
        <v>0</v>
      </c>
      <c r="K331" s="35">
        <f>IFERROR(VLOOKUP(VENTAS[[#This Row],[Código del producto Vendido]],STOCK[],16,FALSE)*VENTAS[[#This Row],[Cantidad]]+VLOOKUP(VENTAS[[#This Row],[Código del producto Vendido]],STOCK[],19,FALSE)*VENTAS[[#This Row],[Cantidad]],VENTAS[[#This Row],[Total]])</f>
        <v>14.495</v>
      </c>
      <c r="L331" s="35">
        <f>VENTAS[[#This Row],[Total]]-VENTAS[[#This Row],[Comisión 10%]]-VENTAS[[#This Row],[Costo SIN Comision]]</f>
        <v>7.505</v>
      </c>
      <c r="M331" s="35"/>
    </row>
    <row r="332" ht="20" customHeight="1" spans="1:13">
      <c r="A332" s="29">
        <v>45111</v>
      </c>
      <c r="B332" s="30"/>
      <c r="C332" s="30"/>
      <c r="D332" s="30"/>
      <c r="E332" s="30" t="s">
        <v>408</v>
      </c>
      <c r="F332" s="34" t="str">
        <f>IFERROR(VLOOKUP(VENTAS[[#This Row],[Código del producto Vendido]],STOCK[],5,FALSE),"-")</f>
        <v>Bañador una pieza de color combinado </v>
      </c>
      <c r="G332" s="34">
        <v>1</v>
      </c>
      <c r="H332" s="35">
        <v>20</v>
      </c>
      <c r="I332" s="35">
        <f>VENTAS[[#This Row],[Cantidad]]*VENTAS[[#This Row],[Precio Venta]]</f>
        <v>20</v>
      </c>
      <c r="J332" s="35">
        <f>IF(VENTAS[[#This Row],[Nombre del Gestor]]&gt;1,VENTAS[[#This Row],[Total]]*10%,0)</f>
        <v>0</v>
      </c>
      <c r="K332" s="35">
        <f>IFERROR(VLOOKUP(VENTAS[[#This Row],[Código del producto Vendido]],STOCK[],16,FALSE)*VENTAS[[#This Row],[Cantidad]]+VLOOKUP(VENTAS[[#This Row],[Código del producto Vendido]],STOCK[],19,FALSE)*VENTAS[[#This Row],[Cantidad]],VENTAS[[#This Row],[Total]])</f>
        <v>9.66666666666667</v>
      </c>
      <c r="L332" s="35">
        <f>VENTAS[[#This Row],[Total]]-VENTAS[[#This Row],[Comisión 10%]]-VENTAS[[#This Row],[Costo SIN Comision]]</f>
        <v>10.3333333333333</v>
      </c>
      <c r="M332" s="35"/>
    </row>
    <row r="333" ht="20" customHeight="1" spans="1:13">
      <c r="A333" s="29">
        <v>45111</v>
      </c>
      <c r="B333" s="30"/>
      <c r="C333" s="30"/>
      <c r="D333" s="30"/>
      <c r="E333" s="30" t="s">
        <v>1090</v>
      </c>
      <c r="F333" s="34" t="str">
        <f>IFERROR(VLOOKUP(VENTAS[[#This Row],[Código del producto Vendido]],STOCK[],5,FALSE),"-")</f>
        <v>Bikini Short con cordón de ajuste</v>
      </c>
      <c r="G333" s="34">
        <v>1</v>
      </c>
      <c r="H333" s="35">
        <v>28</v>
      </c>
      <c r="I333" s="35">
        <f>VENTAS[[#This Row],[Cantidad]]*VENTAS[[#This Row],[Precio Venta]]</f>
        <v>28</v>
      </c>
      <c r="J333" s="35">
        <f>IF(VENTAS[[#This Row],[Nombre del Gestor]]&gt;1,VENTAS[[#This Row],[Total]]*10%,0)</f>
        <v>0</v>
      </c>
      <c r="K333" s="35">
        <f>IFERROR(VLOOKUP(VENTAS[[#This Row],[Código del producto Vendido]],STOCK[],16,FALSE)*VENTAS[[#This Row],[Cantidad]]+VLOOKUP(VENTAS[[#This Row],[Código del producto Vendido]],STOCK[],19,FALSE)*VENTAS[[#This Row],[Cantidad]],VENTAS[[#This Row],[Total]])</f>
        <v>20.4794117647059</v>
      </c>
      <c r="L333" s="35">
        <f>VENTAS[[#This Row],[Total]]-VENTAS[[#This Row],[Comisión 10%]]-VENTAS[[#This Row],[Costo SIN Comision]]</f>
        <v>7.5205882352941</v>
      </c>
      <c r="M333" s="35"/>
    </row>
    <row r="334" ht="20" customHeight="1" spans="1:13">
      <c r="A334" s="29">
        <v>45111</v>
      </c>
      <c r="B334" s="30"/>
      <c r="C334" s="30"/>
      <c r="D334" s="30"/>
      <c r="E334" s="30" t="s">
        <v>935</v>
      </c>
      <c r="F334" s="34" t="str">
        <f>IFERROR(VLOOKUP(VENTAS[[#This Row],[Código del producto Vendido]],STOCK[],5,FALSE),"-")</f>
        <v>Bañador con zíper de pierna alta</v>
      </c>
      <c r="G334" s="34">
        <v>1</v>
      </c>
      <c r="H334" s="35">
        <v>28</v>
      </c>
      <c r="I334" s="35">
        <f>VENTAS[[#This Row],[Cantidad]]*VENTAS[[#This Row],[Precio Venta]]</f>
        <v>28</v>
      </c>
      <c r="J334" s="35">
        <f>IF(VENTAS[[#This Row],[Nombre del Gestor]]&gt;1,VENTAS[[#This Row],[Total]]*10%,0)</f>
        <v>0</v>
      </c>
      <c r="K334" s="35">
        <f>IFERROR(VLOOKUP(VENTAS[[#This Row],[Código del producto Vendido]],STOCK[],16,FALSE)*VENTAS[[#This Row],[Cantidad]]+VLOOKUP(VENTAS[[#This Row],[Código del producto Vendido]],STOCK[],19,FALSE)*VENTAS[[#This Row],[Cantidad]],VENTAS[[#This Row],[Total]])</f>
        <v>14.0231818181818</v>
      </c>
      <c r="L334" s="35">
        <f>VENTAS[[#This Row],[Total]]-VENTAS[[#This Row],[Comisión 10%]]-VENTAS[[#This Row],[Costo SIN Comision]]</f>
        <v>13.9768181818182</v>
      </c>
      <c r="M334" s="35"/>
    </row>
    <row r="335" ht="20" customHeight="1" spans="1:13">
      <c r="A335" s="29">
        <v>45111</v>
      </c>
      <c r="B335" s="30"/>
      <c r="C335" s="30"/>
      <c r="D335" s="30"/>
      <c r="E335" s="30" t="s">
        <v>1101</v>
      </c>
      <c r="F335" s="34" t="str">
        <f>IFERROR(VLOOKUP(VENTAS[[#This Row],[Código del producto Vendido]],STOCK[],5,FALSE),"-")</f>
        <v>Sandalias crema</v>
      </c>
      <c r="G335" s="34">
        <v>1</v>
      </c>
      <c r="H335" s="35">
        <v>40</v>
      </c>
      <c r="I335" s="35">
        <f>VENTAS[[#This Row],[Cantidad]]*VENTAS[[#This Row],[Precio Venta]]</f>
        <v>40</v>
      </c>
      <c r="J335" s="35">
        <f>IF(VENTAS[[#This Row],[Nombre del Gestor]]&gt;1,VENTAS[[#This Row],[Total]]*10%,0)</f>
        <v>0</v>
      </c>
      <c r="K335" s="35">
        <f>IFERROR(VLOOKUP(VENTAS[[#This Row],[Código del producto Vendido]],STOCK[],16,FALSE)*VENTAS[[#This Row],[Cantidad]]+VLOOKUP(VENTAS[[#This Row],[Código del producto Vendido]],STOCK[],19,FALSE)*VENTAS[[#This Row],[Cantidad]],VENTAS[[#This Row],[Total]])</f>
        <v>26.8529411764706</v>
      </c>
      <c r="L335" s="35">
        <f>VENTAS[[#This Row],[Total]]-VENTAS[[#This Row],[Comisión 10%]]-VENTAS[[#This Row],[Costo SIN Comision]]</f>
        <v>13.1470588235294</v>
      </c>
      <c r="M335" s="35"/>
    </row>
    <row r="336" ht="20" customHeight="1" spans="1:13">
      <c r="A336" s="29">
        <v>45115</v>
      </c>
      <c r="B336" s="30"/>
      <c r="C336" s="30"/>
      <c r="D336" s="30"/>
      <c r="E336" s="30" t="s">
        <v>934</v>
      </c>
      <c r="F336" s="34" t="str">
        <f>IFERROR(VLOOKUP(VENTAS[[#This Row],[Código del producto Vendido]],STOCK[],5,FALSE),"-")</f>
        <v>Bañador de pierna alta</v>
      </c>
      <c r="G336" s="34">
        <v>1</v>
      </c>
      <c r="H336" s="35">
        <v>28</v>
      </c>
      <c r="I336" s="35">
        <f>VENTAS[[#This Row],[Cantidad]]*VENTAS[[#This Row],[Precio Venta]]</f>
        <v>28</v>
      </c>
      <c r="J336" s="35">
        <f>IF(VENTAS[[#This Row],[Nombre del Gestor]]&gt;1,VENTAS[[#This Row],[Total]]*10%,0)</f>
        <v>0</v>
      </c>
      <c r="K336" s="35">
        <f>IFERROR(VLOOKUP(VENTAS[[#This Row],[Código del producto Vendido]],STOCK[],16,FALSE)*VENTAS[[#This Row],[Cantidad]]+VLOOKUP(VENTAS[[#This Row],[Código del producto Vendido]],STOCK[],19,FALSE)*VENTAS[[#This Row],[Cantidad]],VENTAS[[#This Row],[Total]])</f>
        <v>14.0231818181818</v>
      </c>
      <c r="L336" s="35">
        <f>VENTAS[[#This Row],[Total]]-VENTAS[[#This Row],[Comisión 10%]]-VENTAS[[#This Row],[Costo SIN Comision]]</f>
        <v>13.9768181818182</v>
      </c>
      <c r="M336" s="35"/>
    </row>
    <row r="337" ht="20" customHeight="1" spans="1:13">
      <c r="A337" s="29">
        <v>45115</v>
      </c>
      <c r="B337" s="30"/>
      <c r="C337" s="30"/>
      <c r="D337" s="30"/>
      <c r="E337" s="30" t="s">
        <v>935</v>
      </c>
      <c r="F337" s="34" t="str">
        <f>IFERROR(VLOOKUP(VENTAS[[#This Row],[Código del producto Vendido]],STOCK[],5,FALSE),"-")</f>
        <v>Bañador con zíper de pierna alta</v>
      </c>
      <c r="G337" s="34">
        <v>1</v>
      </c>
      <c r="H337" s="35">
        <v>28</v>
      </c>
      <c r="I337" s="35">
        <f>VENTAS[[#This Row],[Cantidad]]*VENTAS[[#This Row],[Precio Venta]]</f>
        <v>28</v>
      </c>
      <c r="J337" s="35">
        <f>IF(VENTAS[[#This Row],[Nombre del Gestor]]&gt;1,VENTAS[[#This Row],[Total]]*10%,0)</f>
        <v>0</v>
      </c>
      <c r="K337" s="35">
        <f>IFERROR(VLOOKUP(VENTAS[[#This Row],[Código del producto Vendido]],STOCK[],16,FALSE)*VENTAS[[#This Row],[Cantidad]]+VLOOKUP(VENTAS[[#This Row],[Código del producto Vendido]],STOCK[],19,FALSE)*VENTAS[[#This Row],[Cantidad]],VENTAS[[#This Row],[Total]])</f>
        <v>14.0231818181818</v>
      </c>
      <c r="L337" s="35">
        <f>VENTAS[[#This Row],[Total]]-VENTAS[[#This Row],[Comisión 10%]]-VENTAS[[#This Row],[Costo SIN Comision]]</f>
        <v>13.9768181818182</v>
      </c>
      <c r="M337" s="35"/>
    </row>
    <row r="338" ht="20" customHeight="1" spans="1:13">
      <c r="A338" s="29">
        <v>45115</v>
      </c>
      <c r="B338" s="30"/>
      <c r="C338" s="30"/>
      <c r="D338" s="30"/>
      <c r="E338" s="30" t="s">
        <v>917</v>
      </c>
      <c r="F338" s="34" t="str">
        <f>IFERROR(VLOOKUP(VENTAS[[#This Row],[Código del producto Vendido]],STOCK[],5,FALSE),"-")</f>
        <v>Vestido de lunares </v>
      </c>
      <c r="G338" s="34">
        <v>1</v>
      </c>
      <c r="H338" s="35">
        <v>25</v>
      </c>
      <c r="I338" s="35">
        <f>VENTAS[[#This Row],[Cantidad]]*VENTAS[[#This Row],[Precio Venta]]</f>
        <v>25</v>
      </c>
      <c r="J338" s="35">
        <f>IF(VENTAS[[#This Row],[Nombre del Gestor]]&gt;1,VENTAS[[#This Row],[Total]]*10%,0)</f>
        <v>0</v>
      </c>
      <c r="K338" s="35">
        <f>IFERROR(VLOOKUP(VENTAS[[#This Row],[Código del producto Vendido]],STOCK[],16,FALSE)*VENTAS[[#This Row],[Cantidad]]+VLOOKUP(VENTAS[[#This Row],[Código del producto Vendido]],STOCK[],19,FALSE)*VENTAS[[#This Row],[Cantidad]],VENTAS[[#This Row],[Total]])</f>
        <v>13.9113636363636</v>
      </c>
      <c r="L338" s="35">
        <f>VENTAS[[#This Row],[Total]]-VENTAS[[#This Row],[Comisión 10%]]-VENTAS[[#This Row],[Costo SIN Comision]]</f>
        <v>11.0886363636364</v>
      </c>
      <c r="M338" s="35"/>
    </row>
    <row r="339" ht="20" customHeight="1" spans="1:13">
      <c r="A339" s="29">
        <v>45115</v>
      </c>
      <c r="B339" s="30"/>
      <c r="C339" s="30"/>
      <c r="D339" s="30"/>
      <c r="E339" s="30" t="s">
        <v>950</v>
      </c>
      <c r="F339" s="34" t="str">
        <f>IFERROR(VLOOKUP(VENTAS[[#This Row],[Código del producto Vendido]],STOCK[],5,FALSE),"-")</f>
        <v> Pantaloneta Verde</v>
      </c>
      <c r="G339" s="34">
        <v>1</v>
      </c>
      <c r="H339" s="35">
        <v>25</v>
      </c>
      <c r="I339" s="35">
        <f>VENTAS[[#This Row],[Cantidad]]*VENTAS[[#This Row],[Precio Venta]]</f>
        <v>25</v>
      </c>
      <c r="J339" s="35">
        <f>IF(VENTAS[[#This Row],[Nombre del Gestor]]&gt;1,VENTAS[[#This Row],[Total]]*10%,0)</f>
        <v>0</v>
      </c>
      <c r="K339" s="35">
        <f>IFERROR(VLOOKUP(VENTAS[[#This Row],[Código del producto Vendido]],STOCK[],16,FALSE)*VENTAS[[#This Row],[Cantidad]]+VLOOKUP(VENTAS[[#This Row],[Código del producto Vendido]],STOCK[],19,FALSE)*VENTAS[[#This Row],[Cantidad]],VENTAS[[#This Row],[Total]])</f>
        <v>14.8713636363636</v>
      </c>
      <c r="L339" s="35">
        <f>VENTAS[[#This Row],[Total]]-VENTAS[[#This Row],[Comisión 10%]]-VENTAS[[#This Row],[Costo SIN Comision]]</f>
        <v>10.1286363636364</v>
      </c>
      <c r="M339" s="35"/>
    </row>
    <row r="340" ht="20" customHeight="1" spans="1:13">
      <c r="A340" s="29">
        <v>45115</v>
      </c>
      <c r="B340" s="30"/>
      <c r="C340" s="30"/>
      <c r="D340" s="30"/>
      <c r="E340" s="30" t="s">
        <v>971</v>
      </c>
      <c r="F340" s="34" t="str">
        <f>IFERROR(VLOOKUP(VENTAS[[#This Row],[Código del producto Vendido]],STOCK[],5,FALSE),"-")</f>
        <v>Bañador Cisne Espalda descubierta</v>
      </c>
      <c r="G340" s="34">
        <v>1</v>
      </c>
      <c r="H340" s="35">
        <v>25</v>
      </c>
      <c r="I340" s="35">
        <f>VENTAS[[#This Row],[Cantidad]]*VENTAS[[#This Row],[Precio Venta]]</f>
        <v>25</v>
      </c>
      <c r="J340" s="35">
        <f>IF(VENTAS[[#This Row],[Nombre del Gestor]]&gt;1,VENTAS[[#This Row],[Total]]*10%,0)</f>
        <v>0</v>
      </c>
      <c r="K340" s="35">
        <f>IFERROR(VLOOKUP(VENTAS[[#This Row],[Código del producto Vendido]],STOCK[],16,FALSE)*VENTAS[[#This Row],[Cantidad]]+VLOOKUP(VENTAS[[#This Row],[Código del producto Vendido]],STOCK[],19,FALSE)*VENTAS[[#This Row],[Cantidad]],VENTAS[[#This Row],[Total]])</f>
        <v>15.325</v>
      </c>
      <c r="L340" s="35">
        <f>VENTAS[[#This Row],[Total]]-VENTAS[[#This Row],[Comisión 10%]]-VENTAS[[#This Row],[Costo SIN Comision]]</f>
        <v>9.675</v>
      </c>
      <c r="M340" s="35"/>
    </row>
    <row r="341" ht="20" customHeight="1" spans="1:13">
      <c r="A341" s="29">
        <v>45116</v>
      </c>
      <c r="B341" s="30"/>
      <c r="C341" s="30"/>
      <c r="D341" s="30"/>
      <c r="E341" s="30" t="s">
        <v>61</v>
      </c>
      <c r="F341" s="34" t="str">
        <f>IFERROR(VLOOKUP(VENTAS[[#This Row],[Código del producto Vendido]],STOCK[],5,FALSE),"-")</f>
        <v>Bikini Mangas Fuccia</v>
      </c>
      <c r="G341" s="34">
        <v>1</v>
      </c>
      <c r="H341" s="35">
        <v>22</v>
      </c>
      <c r="I341" s="35">
        <f>VENTAS[[#This Row],[Cantidad]]*VENTAS[[#This Row],[Precio Venta]]</f>
        <v>22</v>
      </c>
      <c r="J341" s="35">
        <f>IF(VENTAS[[#This Row],[Nombre del Gestor]]&gt;1,VENTAS[[#This Row],[Total]]*10%,0)</f>
        <v>0</v>
      </c>
      <c r="K341" s="35">
        <f>IFERROR(VLOOKUP(VENTAS[[#This Row],[Código del producto Vendido]],STOCK[],16,FALSE)*VENTAS[[#This Row],[Cantidad]]+VLOOKUP(VENTAS[[#This Row],[Código del producto Vendido]],STOCK[],19,FALSE)*VENTAS[[#This Row],[Cantidad]],VENTAS[[#This Row],[Total]])</f>
        <v>14.495</v>
      </c>
      <c r="L341" s="35">
        <f>VENTAS[[#This Row],[Total]]-VENTAS[[#This Row],[Comisión 10%]]-VENTAS[[#This Row],[Costo SIN Comision]]</f>
        <v>7.505</v>
      </c>
      <c r="M341" s="35"/>
    </row>
    <row r="342" ht="20" customHeight="1" spans="1:13">
      <c r="A342" s="29">
        <v>45116</v>
      </c>
      <c r="B342" s="30"/>
      <c r="C342" s="30"/>
      <c r="D342" s="30"/>
      <c r="E342" s="30" t="s">
        <v>111</v>
      </c>
      <c r="F342" s="34" t="str">
        <f>IFERROR(VLOOKUP(VENTAS[[#This Row],[Código del producto Vendido]],STOCK[],5,FALSE),"-")</f>
        <v>Bikini Floral</v>
      </c>
      <c r="G342" s="34">
        <v>1</v>
      </c>
      <c r="H342" s="35">
        <v>28</v>
      </c>
      <c r="I342" s="35">
        <f>VENTAS[[#This Row],[Cantidad]]*VENTAS[[#This Row],[Precio Venta]]</f>
        <v>28</v>
      </c>
      <c r="J342" s="35">
        <f>IF(VENTAS[[#This Row],[Nombre del Gestor]]&gt;1,VENTAS[[#This Row],[Total]]*10%,0)</f>
        <v>0</v>
      </c>
      <c r="K342" s="35">
        <f>IFERROR(VLOOKUP(VENTAS[[#This Row],[Código del producto Vendido]],STOCK[],16,FALSE)*VENTAS[[#This Row],[Cantidad]]+VLOOKUP(VENTAS[[#This Row],[Código del producto Vendido]],STOCK[],19,FALSE)*VENTAS[[#This Row],[Cantidad]],VENTAS[[#This Row],[Total]])</f>
        <v>18.7338888888889</v>
      </c>
      <c r="L342" s="35">
        <f>VENTAS[[#This Row],[Total]]-VENTAS[[#This Row],[Comisión 10%]]-VENTAS[[#This Row],[Costo SIN Comision]]</f>
        <v>9.2661111111111</v>
      </c>
      <c r="M342" s="35"/>
    </row>
    <row r="343" ht="20" customHeight="1" spans="1:13">
      <c r="A343" s="29">
        <v>45116</v>
      </c>
      <c r="B343" s="30"/>
      <c r="C343" s="30"/>
      <c r="D343" s="30"/>
      <c r="E343" s="30" t="s">
        <v>158</v>
      </c>
      <c r="F343" s="34" t="str">
        <f>IFERROR(VLOOKUP(VENTAS[[#This Row],[Código del producto Vendido]],STOCK[],5,FALSE),"-")</f>
        <v>Bañador con estampado floral</v>
      </c>
      <c r="G343" s="34">
        <v>1</v>
      </c>
      <c r="H343" s="35">
        <v>28</v>
      </c>
      <c r="I343" s="35">
        <f>VENTAS[[#This Row],[Cantidad]]*VENTAS[[#This Row],[Precio Venta]]</f>
        <v>28</v>
      </c>
      <c r="J343" s="35">
        <f>IF(VENTAS[[#This Row],[Nombre del Gestor]]&gt;1,VENTAS[[#This Row],[Total]]*10%,0)</f>
        <v>0</v>
      </c>
      <c r="K343" s="35">
        <f>IFERROR(VLOOKUP(VENTAS[[#This Row],[Código del producto Vendido]],STOCK[],16,FALSE)*VENTAS[[#This Row],[Cantidad]]+VLOOKUP(VENTAS[[#This Row],[Código del producto Vendido]],STOCK[],19,FALSE)*VENTAS[[#This Row],[Cantidad]],VENTAS[[#This Row],[Total]])</f>
        <v>18.3088888888889</v>
      </c>
      <c r="L343" s="35">
        <f>VENTAS[[#This Row],[Total]]-VENTAS[[#This Row],[Comisión 10%]]-VENTAS[[#This Row],[Costo SIN Comision]]</f>
        <v>9.6911111111111</v>
      </c>
      <c r="M343" s="35"/>
    </row>
    <row r="344" ht="20" customHeight="1" spans="1:13">
      <c r="A344" s="29">
        <v>45116</v>
      </c>
      <c r="B344" s="30"/>
      <c r="C344" s="30"/>
      <c r="D344" s="30"/>
      <c r="E344" s="30" t="s">
        <v>1097</v>
      </c>
      <c r="F344" s="34" t="str">
        <f>IFERROR(VLOOKUP(VENTAS[[#This Row],[Código del producto Vendido]],STOCK[],5,FALSE),"-")</f>
        <v>Bañador en contraste azul</v>
      </c>
      <c r="G344" s="34">
        <v>1</v>
      </c>
      <c r="H344" s="35">
        <v>28</v>
      </c>
      <c r="I344" s="35">
        <f>VENTAS[[#This Row],[Cantidad]]*VENTAS[[#This Row],[Precio Venta]]</f>
        <v>28</v>
      </c>
      <c r="J344" s="35">
        <f>IF(VENTAS[[#This Row],[Nombre del Gestor]]&gt;1,VENTAS[[#This Row],[Total]]*10%,0)</f>
        <v>0</v>
      </c>
      <c r="K344" s="35">
        <f>IFERROR(VLOOKUP(VENTAS[[#This Row],[Código del producto Vendido]],STOCK[],16,FALSE)*VENTAS[[#This Row],[Cantidad]]+VLOOKUP(VENTAS[[#This Row],[Código del producto Vendido]],STOCK[],19,FALSE)*VENTAS[[#This Row],[Cantidad]],VENTAS[[#This Row],[Total]])</f>
        <v>19.3389705882353</v>
      </c>
      <c r="L344" s="35">
        <f>VENTAS[[#This Row],[Total]]-VENTAS[[#This Row],[Comisión 10%]]-VENTAS[[#This Row],[Costo SIN Comision]]</f>
        <v>8.6610294117647</v>
      </c>
      <c r="M344" s="35"/>
    </row>
    <row r="345" ht="20" customHeight="1" spans="1:13">
      <c r="A345" s="29">
        <v>45116</v>
      </c>
      <c r="B345" s="30"/>
      <c r="C345" s="30"/>
      <c r="D345" s="30"/>
      <c r="E345" s="30" t="s">
        <v>861</v>
      </c>
      <c r="F345" s="34" t="str">
        <f>IFERROR(VLOOKUP(VENTAS[[#This Row],[Código del producto Vendido]],STOCK[],5,FALSE),"-")</f>
        <v>Bikini Rosa canalé</v>
      </c>
      <c r="G345" s="34">
        <v>1</v>
      </c>
      <c r="H345" s="35">
        <v>20</v>
      </c>
      <c r="I345" s="35">
        <f>VENTAS[[#This Row],[Cantidad]]*VENTAS[[#This Row],[Precio Venta]]</f>
        <v>20</v>
      </c>
      <c r="J345" s="35">
        <f>IF(VENTAS[[#This Row],[Nombre del Gestor]]&gt;1,VENTAS[[#This Row],[Total]]*10%,0)</f>
        <v>0</v>
      </c>
      <c r="K345" s="35">
        <f>IFERROR(VLOOKUP(VENTAS[[#This Row],[Código del producto Vendido]],STOCK[],16,FALSE)*VENTAS[[#This Row],[Cantidad]]+VLOOKUP(VENTAS[[#This Row],[Código del producto Vendido]],STOCK[],19,FALSE)*VENTAS[[#This Row],[Cantidad]],VENTAS[[#This Row],[Total]])</f>
        <v>13.4444444444444</v>
      </c>
      <c r="L345" s="35">
        <f>VENTAS[[#This Row],[Total]]-VENTAS[[#This Row],[Comisión 10%]]-VENTAS[[#This Row],[Costo SIN Comision]]</f>
        <v>6.5555555555556</v>
      </c>
      <c r="M345" s="35"/>
    </row>
    <row r="346" ht="20" customHeight="1" spans="1:13">
      <c r="A346" s="29">
        <v>45121</v>
      </c>
      <c r="B346" s="30"/>
      <c r="C346" s="30"/>
      <c r="D346" s="30"/>
      <c r="E346" s="30" t="s">
        <v>82</v>
      </c>
      <c r="F346" s="34" t="str">
        <f>IFERROR(VLOOKUP(VENTAS[[#This Row],[Código del producto Vendido]],STOCK[],5,FALSE),"-")</f>
        <v>Enguatada solera sin parte de abajo</v>
      </c>
      <c r="G346" s="34">
        <v>1</v>
      </c>
      <c r="H346" s="35">
        <v>17</v>
      </c>
      <c r="I346" s="35">
        <f>VENTAS[[#This Row],[Cantidad]]*VENTAS[[#This Row],[Precio Venta]]</f>
        <v>17</v>
      </c>
      <c r="J346" s="35">
        <f>IF(VENTAS[[#This Row],[Nombre del Gestor]]&gt;1,VENTAS[[#This Row],[Total]]*10%,0)</f>
        <v>0</v>
      </c>
      <c r="K346" s="35">
        <f>IFERROR(VLOOKUP(VENTAS[[#This Row],[Código del producto Vendido]],STOCK[],16,FALSE)*VENTAS[[#This Row],[Cantidad]]+VLOOKUP(VENTAS[[#This Row],[Código del producto Vendido]],STOCK[],19,FALSE)*VENTAS[[#This Row],[Cantidad]],VENTAS[[#This Row],[Total]])</f>
        <v>13.3316666666667</v>
      </c>
      <c r="L346" s="35">
        <f>VENTAS[[#This Row],[Total]]-VENTAS[[#This Row],[Comisión 10%]]-VENTAS[[#This Row],[Costo SIN Comision]]</f>
        <v>3.66833333333333</v>
      </c>
      <c r="M346" s="35"/>
    </row>
    <row r="347" ht="20" customHeight="1" spans="1:13">
      <c r="A347" s="29">
        <v>45122</v>
      </c>
      <c r="B347" s="30"/>
      <c r="C347" s="30"/>
      <c r="D347" s="30"/>
      <c r="E347" s="30" t="s">
        <v>258</v>
      </c>
      <c r="F347" s="34" t="str">
        <f>IFERROR(VLOOKUP(VENTAS[[#This Row],[Código del producto Vendido]],STOCK[],5,FALSE),"-")</f>
        <v>Top unicolor de hombros con almohadilla</v>
      </c>
      <c r="G347" s="34">
        <v>1</v>
      </c>
      <c r="H347" s="35">
        <v>14</v>
      </c>
      <c r="I347" s="35">
        <f>VENTAS[[#This Row],[Cantidad]]*VENTAS[[#This Row],[Precio Venta]]</f>
        <v>14</v>
      </c>
      <c r="J347" s="35">
        <f>IF(VENTAS[[#This Row],[Nombre del Gestor]]&gt;1,VENTAS[[#This Row],[Total]]*10%,0)</f>
        <v>0</v>
      </c>
      <c r="K347" s="35">
        <f>IFERROR(VLOOKUP(VENTAS[[#This Row],[Código del producto Vendido]],STOCK[],16,FALSE)*VENTAS[[#This Row],[Cantidad]]+VLOOKUP(VENTAS[[#This Row],[Código del producto Vendido]],STOCK[],19,FALSE)*VENTAS[[#This Row],[Cantidad]],VENTAS[[#This Row],[Total]])</f>
        <v>7.51111111111111</v>
      </c>
      <c r="L347" s="35">
        <f>VENTAS[[#This Row],[Total]]-VENTAS[[#This Row],[Comisión 10%]]-VENTAS[[#This Row],[Costo SIN Comision]]</f>
        <v>6.48888888888889</v>
      </c>
      <c r="M347" s="35"/>
    </row>
    <row r="348" ht="20" customHeight="1" spans="1:13">
      <c r="A348" s="52">
        <v>45121</v>
      </c>
      <c r="B348" s="30"/>
      <c r="C348" s="30"/>
      <c r="D348" s="30"/>
      <c r="E348" s="30" t="s">
        <v>795</v>
      </c>
      <c r="F348" s="34" t="str">
        <f>IFERROR(VLOOKUP(VENTAS[[#This Row],[Código del producto Vendido]],STOCK[],5,FALSE),"-")</f>
        <v>Bañador floreado</v>
      </c>
      <c r="G348" s="34">
        <v>1</v>
      </c>
      <c r="H348" s="35">
        <v>20</v>
      </c>
      <c r="I348" s="35">
        <f>VENTAS[[#This Row],[Cantidad]]*VENTAS[[#This Row],[Precio Venta]]</f>
        <v>20</v>
      </c>
      <c r="J348" s="35">
        <f>IF(VENTAS[[#This Row],[Nombre del Gestor]]&gt;1,VENTAS[[#This Row],[Total]]*10%,0)</f>
        <v>0</v>
      </c>
      <c r="K348" s="35">
        <f>IFERROR(VLOOKUP(VENTAS[[#This Row],[Código del producto Vendido]],STOCK[],16,FALSE)*VENTAS[[#This Row],[Cantidad]]+VLOOKUP(VENTAS[[#This Row],[Código del producto Vendido]],STOCK[],19,FALSE)*VENTAS[[#This Row],[Cantidad]],VENTAS[[#This Row],[Total]])</f>
        <v>11.7222222222222</v>
      </c>
      <c r="L348" s="35">
        <f>VENTAS[[#This Row],[Total]]-VENTAS[[#This Row],[Comisión 10%]]-VENTAS[[#This Row],[Costo SIN Comision]]</f>
        <v>8.27777777777778</v>
      </c>
      <c r="M348" s="35"/>
    </row>
    <row r="349" ht="20" customHeight="1" spans="1:13">
      <c r="A349" s="52">
        <v>45122</v>
      </c>
      <c r="B349" s="30"/>
      <c r="C349" s="30"/>
      <c r="D349" s="30"/>
      <c r="E349" s="30" t="s">
        <v>804</v>
      </c>
      <c r="F349" s="34" t="str">
        <f>IFERROR(VLOOKUP(VENTAS[[#This Row],[Código del producto Vendido]],STOCK[],5,FALSE),"-")</f>
        <v> Bañador espalda descubierta</v>
      </c>
      <c r="G349" s="34">
        <v>1</v>
      </c>
      <c r="H349" s="35">
        <v>20</v>
      </c>
      <c r="I349" s="35">
        <f>VENTAS[[#This Row],[Cantidad]]*VENTAS[[#This Row],[Precio Venta]]</f>
        <v>20</v>
      </c>
      <c r="J349" s="35">
        <f>IF(VENTAS[[#This Row],[Nombre del Gestor]]&gt;1,VENTAS[[#This Row],[Total]]*10%,0)</f>
        <v>0</v>
      </c>
      <c r="K349" s="35">
        <f>IFERROR(VLOOKUP(VENTAS[[#This Row],[Código del producto Vendido]],STOCK[],16,FALSE)*VENTAS[[#This Row],[Cantidad]]+VLOOKUP(VENTAS[[#This Row],[Código del producto Vendido]],STOCK[],19,FALSE)*VENTAS[[#This Row],[Cantidad]],VENTAS[[#This Row],[Total]])</f>
        <v>15.5555555555556</v>
      </c>
      <c r="L349" s="35">
        <f>VENTAS[[#This Row],[Total]]-VENTAS[[#This Row],[Comisión 10%]]-VENTAS[[#This Row],[Costo SIN Comision]]</f>
        <v>4.4444444444444</v>
      </c>
      <c r="M349" s="35"/>
    </row>
    <row r="350" ht="20" customHeight="1" spans="1:13">
      <c r="A350" s="52">
        <v>45122</v>
      </c>
      <c r="B350" s="30"/>
      <c r="C350" s="30"/>
      <c r="D350" s="30"/>
      <c r="E350" s="30" t="s">
        <v>408</v>
      </c>
      <c r="F350" s="34" t="str">
        <f>IFERROR(VLOOKUP(VENTAS[[#This Row],[Código del producto Vendido]],STOCK[],5,FALSE),"-")</f>
        <v>Bañador una pieza de color combinado </v>
      </c>
      <c r="G350" s="34">
        <v>1</v>
      </c>
      <c r="H350" s="35">
        <v>20</v>
      </c>
      <c r="I350" s="35">
        <f>VENTAS[[#This Row],[Cantidad]]*VENTAS[[#This Row],[Precio Venta]]</f>
        <v>20</v>
      </c>
      <c r="J350" s="35">
        <f>IF(VENTAS[[#This Row],[Nombre del Gestor]]&gt;1,VENTAS[[#This Row],[Total]]*10%,0)</f>
        <v>0</v>
      </c>
      <c r="K350" s="35">
        <f>IFERROR(VLOOKUP(VENTAS[[#This Row],[Código del producto Vendido]],STOCK[],16,FALSE)*VENTAS[[#This Row],[Cantidad]]+VLOOKUP(VENTAS[[#This Row],[Código del producto Vendido]],STOCK[],19,FALSE)*VENTAS[[#This Row],[Cantidad]],VENTAS[[#This Row],[Total]])</f>
        <v>9.66666666666667</v>
      </c>
      <c r="L350" s="35">
        <f>VENTAS[[#This Row],[Total]]-VENTAS[[#This Row],[Comisión 10%]]-VENTAS[[#This Row],[Costo SIN Comision]]</f>
        <v>10.3333333333333</v>
      </c>
      <c r="M350" s="35"/>
    </row>
    <row r="351" ht="20" customHeight="1" spans="1:13">
      <c r="A351" s="52">
        <v>45122</v>
      </c>
      <c r="B351" s="30"/>
      <c r="C351" s="30"/>
      <c r="D351" s="30"/>
      <c r="E351" s="30" t="s">
        <v>906</v>
      </c>
      <c r="F351" s="34" t="str">
        <f>IFERROR(VLOOKUP(VENTAS[[#This Row],[Código del producto Vendido]],STOCK[],5,FALSE),"-")</f>
        <v> Top Cuello V Verde</v>
      </c>
      <c r="G351" s="34">
        <v>1</v>
      </c>
      <c r="H351" s="35">
        <v>12</v>
      </c>
      <c r="I351" s="35">
        <f>VENTAS[[#This Row],[Cantidad]]*VENTAS[[#This Row],[Precio Venta]]</f>
        <v>12</v>
      </c>
      <c r="J351" s="35">
        <f>IF(VENTAS[[#This Row],[Nombre del Gestor]]&gt;1,VENTAS[[#This Row],[Total]]*10%,0)</f>
        <v>0</v>
      </c>
      <c r="K351" s="35">
        <f>IFERROR(VLOOKUP(VENTAS[[#This Row],[Código del producto Vendido]],STOCK[],16,FALSE)*VENTAS[[#This Row],[Cantidad]]+VLOOKUP(VENTAS[[#This Row],[Código del producto Vendido]],STOCK[],19,FALSE)*VENTAS[[#This Row],[Cantidad]],VENTAS[[#This Row],[Total]])</f>
        <v>8.00545454545454</v>
      </c>
      <c r="L351" s="35">
        <f>VENTAS[[#This Row],[Total]]-VENTAS[[#This Row],[Comisión 10%]]-VENTAS[[#This Row],[Costo SIN Comision]]</f>
        <v>3.99454545454546</v>
      </c>
      <c r="M351" s="35"/>
    </row>
    <row r="352" ht="20" customHeight="1" spans="1:13">
      <c r="A352" s="52">
        <v>45122</v>
      </c>
      <c r="B352" s="30"/>
      <c r="C352" s="30"/>
      <c r="D352" s="30"/>
      <c r="E352" s="30" t="s">
        <v>1028</v>
      </c>
      <c r="F352" s="34" t="str">
        <f>IFERROR(VLOOKUP(VENTAS[[#This Row],[Código del producto Vendido]],STOCK[],5,FALSE),"-")</f>
        <v>Top cuello V Blanco</v>
      </c>
      <c r="G352" s="34">
        <v>1</v>
      </c>
      <c r="H352" s="35">
        <v>12</v>
      </c>
      <c r="I352" s="35">
        <f>VENTAS[[#This Row],[Cantidad]]*VENTAS[[#This Row],[Precio Venta]]</f>
        <v>12</v>
      </c>
      <c r="J352" s="35">
        <f>IF(VENTAS[[#This Row],[Nombre del Gestor]]&gt;1,VENTAS[[#This Row],[Total]]*10%,0)</f>
        <v>0</v>
      </c>
      <c r="K352" s="35">
        <f>IFERROR(VLOOKUP(VENTAS[[#This Row],[Código del producto Vendido]],STOCK[],16,FALSE)*VENTAS[[#This Row],[Cantidad]]+VLOOKUP(VENTAS[[#This Row],[Código del producto Vendido]],STOCK[],19,FALSE)*VENTAS[[#This Row],[Cantidad]],VENTAS[[#This Row],[Total]])</f>
        <v>7.75568181818182</v>
      </c>
      <c r="L352" s="35">
        <f>VENTAS[[#This Row],[Total]]-VENTAS[[#This Row],[Comisión 10%]]-VENTAS[[#This Row],[Costo SIN Comision]]</f>
        <v>4.24431818181818</v>
      </c>
      <c r="M352" s="35"/>
    </row>
    <row r="353" ht="20" customHeight="1" spans="1:13">
      <c r="A353" s="52">
        <v>45124</v>
      </c>
      <c r="B353" s="30"/>
      <c r="C353" s="30"/>
      <c r="D353" s="30"/>
      <c r="E353" s="30" t="s">
        <v>1032</v>
      </c>
      <c r="F353" s="34" t="str">
        <f>IFERROR(VLOOKUP(VENTAS[[#This Row],[Código del producto Vendido]],STOCK[],5,FALSE),"-")</f>
        <v>Jenas Ajustados Oscuro</v>
      </c>
      <c r="G353" s="34">
        <v>1</v>
      </c>
      <c r="H353" s="35">
        <v>35</v>
      </c>
      <c r="I353" s="35">
        <f>VENTAS[[#This Row],[Cantidad]]*VENTAS[[#This Row],[Precio Venta]]</f>
        <v>35</v>
      </c>
      <c r="J353" s="35">
        <f>IF(VENTAS[[#This Row],[Nombre del Gestor]]&gt;1,VENTAS[[#This Row],[Total]]*10%,0)</f>
        <v>0</v>
      </c>
      <c r="K353" s="35">
        <f>IFERROR(VLOOKUP(VENTAS[[#This Row],[Código del producto Vendido]],STOCK[],16,FALSE)*VENTAS[[#This Row],[Cantidad]]+VLOOKUP(VENTAS[[#This Row],[Código del producto Vendido]],STOCK[],19,FALSE)*VENTAS[[#This Row],[Cantidad]],VENTAS[[#This Row],[Total]])</f>
        <v>24.6818181818182</v>
      </c>
      <c r="L353" s="35">
        <f>VENTAS[[#This Row],[Total]]-VENTAS[[#This Row],[Comisión 10%]]-VENTAS[[#This Row],[Costo SIN Comision]]</f>
        <v>10.3181818181818</v>
      </c>
      <c r="M353" s="35"/>
    </row>
    <row r="354" ht="20" customHeight="1" spans="1:13">
      <c r="A354" s="52">
        <v>45124</v>
      </c>
      <c r="B354" s="30"/>
      <c r="C354" s="30"/>
      <c r="D354" s="30"/>
      <c r="E354" s="30" t="s">
        <v>29</v>
      </c>
      <c r="F354" s="34" t="str">
        <f>IFERROR(VLOOKUP(VENTAS[[#This Row],[Código del producto Vendido]],STOCK[],5,FALSE),"-")</f>
        <v>Pareo falda </v>
      </c>
      <c r="G354" s="34">
        <v>1</v>
      </c>
      <c r="H354" s="35">
        <v>8</v>
      </c>
      <c r="I354" s="35">
        <f>VENTAS[[#This Row],[Cantidad]]*VENTAS[[#This Row],[Precio Venta]]</f>
        <v>8</v>
      </c>
      <c r="J354" s="35">
        <f>IF(VENTAS[[#This Row],[Nombre del Gestor]]&gt;1,VENTAS[[#This Row],[Total]]*10%,0)</f>
        <v>0</v>
      </c>
      <c r="K354" s="35">
        <f>IFERROR(VLOOKUP(VENTAS[[#This Row],[Código del producto Vendido]],STOCK[],16,FALSE)*VENTAS[[#This Row],[Cantidad]]+VLOOKUP(VENTAS[[#This Row],[Código del producto Vendido]],STOCK[],19,FALSE)*VENTAS[[#This Row],[Cantidad]],VENTAS[[#This Row],[Total]])</f>
        <v>4.33722222222222</v>
      </c>
      <c r="L354" s="35">
        <f>VENTAS[[#This Row],[Total]]-VENTAS[[#This Row],[Comisión 10%]]-VENTAS[[#This Row],[Costo SIN Comision]]</f>
        <v>3.66277777777778</v>
      </c>
      <c r="M354" s="35"/>
    </row>
    <row r="355" ht="20" customHeight="1" spans="1:13">
      <c r="A355" s="52">
        <v>45124</v>
      </c>
      <c r="B355" s="30"/>
      <c r="C355" s="30"/>
      <c r="D355" s="30"/>
      <c r="E355" s="30" t="s">
        <v>451</v>
      </c>
      <c r="F355" s="34" t="str">
        <f>IFERROR(VLOOKUP(VENTAS[[#This Row],[Código del producto Vendido]],STOCK[],5,FALSE),"-")</f>
        <v>Bañador bikini de manga raglán con cordón floral</v>
      </c>
      <c r="G355" s="34">
        <v>1</v>
      </c>
      <c r="H355" s="35">
        <v>25</v>
      </c>
      <c r="I355" s="35">
        <f>VENTAS[[#This Row],[Cantidad]]*VENTAS[[#This Row],[Precio Venta]]</f>
        <v>25</v>
      </c>
      <c r="J355" s="35">
        <f>IF(VENTAS[[#This Row],[Nombre del Gestor]]&gt;1,VENTAS[[#This Row],[Total]]*10%,0)</f>
        <v>0</v>
      </c>
      <c r="K355" s="35">
        <f>IFERROR(VLOOKUP(VENTAS[[#This Row],[Código del producto Vendido]],STOCK[],16,FALSE)*VENTAS[[#This Row],[Cantidad]]+VLOOKUP(VENTAS[[#This Row],[Código del producto Vendido]],STOCK[],19,FALSE)*VENTAS[[#This Row],[Cantidad]],VENTAS[[#This Row],[Total]])</f>
        <v>19.7944444444444</v>
      </c>
      <c r="L355" s="35">
        <f>VENTAS[[#This Row],[Total]]-VENTAS[[#This Row],[Comisión 10%]]-VENTAS[[#This Row],[Costo SIN Comision]]</f>
        <v>5.2055555555556</v>
      </c>
      <c r="M355" s="35"/>
    </row>
    <row r="356" ht="20" customHeight="1" spans="1:13">
      <c r="A356" s="52">
        <v>45124</v>
      </c>
      <c r="B356" s="30"/>
      <c r="C356" s="30"/>
      <c r="D356" s="30"/>
      <c r="E356" s="30" t="s">
        <v>104</v>
      </c>
      <c r="F356" s="34" t="str">
        <f>IFERROR(VLOOKUP(VENTAS[[#This Row],[Código del producto Vendido]],STOCK[],5,FALSE),"-")</f>
        <v>Bikini Elegante con Herrajes</v>
      </c>
      <c r="G356" s="34">
        <v>1</v>
      </c>
      <c r="H356" s="35">
        <v>18</v>
      </c>
      <c r="I356" s="35">
        <f>VENTAS[[#This Row],[Cantidad]]*VENTAS[[#This Row],[Precio Venta]]</f>
        <v>18</v>
      </c>
      <c r="J356" s="35">
        <f>IF(VENTAS[[#This Row],[Nombre del Gestor]]&gt;1,VENTAS[[#This Row],[Total]]*10%,0)</f>
        <v>0</v>
      </c>
      <c r="K356" s="35">
        <f>IFERROR(VLOOKUP(VENTAS[[#This Row],[Código del producto Vendido]],STOCK[],16,FALSE)*VENTAS[[#This Row],[Cantidad]]+VLOOKUP(VENTAS[[#This Row],[Código del producto Vendido]],STOCK[],19,FALSE)*VENTAS[[#This Row],[Cantidad]],VENTAS[[#This Row],[Total]])</f>
        <v>12.4194444444444</v>
      </c>
      <c r="L356" s="35">
        <f>VENTAS[[#This Row],[Total]]-VENTAS[[#This Row],[Comisión 10%]]-VENTAS[[#This Row],[Costo SIN Comision]]</f>
        <v>5.58055555555556</v>
      </c>
      <c r="M356" s="35"/>
    </row>
    <row r="357" ht="20" customHeight="1" spans="1:13">
      <c r="A357" s="52">
        <v>45125</v>
      </c>
      <c r="B357" s="30"/>
      <c r="C357" s="30"/>
      <c r="D357" s="30"/>
      <c r="E357" s="30" t="s">
        <v>39</v>
      </c>
      <c r="F357" s="34" t="str">
        <f>IFERROR(VLOOKUP(VENTAS[[#This Row],[Código del producto Vendido]],STOCK[],5,FALSE),"-")</f>
        <v>Bikini Floral</v>
      </c>
      <c r="G357" s="34">
        <v>1</v>
      </c>
      <c r="H357" s="35">
        <v>25</v>
      </c>
      <c r="I357" s="35">
        <f>VENTAS[[#This Row],[Cantidad]]*VENTAS[[#This Row],[Precio Venta]]</f>
        <v>25</v>
      </c>
      <c r="J357" s="35">
        <f>IF(VENTAS[[#This Row],[Nombre del Gestor]]&gt;1,VENTAS[[#This Row],[Total]]*10%,0)</f>
        <v>0</v>
      </c>
      <c r="K357" s="35">
        <f>IFERROR(VLOOKUP(VENTAS[[#This Row],[Código del producto Vendido]],STOCK[],16,FALSE)*VENTAS[[#This Row],[Cantidad]]+VLOOKUP(VENTAS[[#This Row],[Código del producto Vendido]],STOCK[],19,FALSE)*VENTAS[[#This Row],[Cantidad]],VENTAS[[#This Row],[Total]])</f>
        <v>19.5611111111111</v>
      </c>
      <c r="L357" s="35">
        <f>VENTAS[[#This Row],[Total]]-VENTAS[[#This Row],[Comisión 10%]]-VENTAS[[#This Row],[Costo SIN Comision]]</f>
        <v>5.4388888888889</v>
      </c>
      <c r="M357" s="35"/>
    </row>
    <row r="358" ht="20" customHeight="1" spans="1:13">
      <c r="A358" s="52">
        <v>45128</v>
      </c>
      <c r="B358" s="30"/>
      <c r="C358" s="30"/>
      <c r="D358" s="30"/>
      <c r="E358" s="30" t="s">
        <v>39</v>
      </c>
      <c r="F358" s="34" t="str">
        <f>IFERROR(VLOOKUP(VENTAS[[#This Row],[Código del producto Vendido]],STOCK[],5,FALSE),"-")</f>
        <v>Bikini Floral</v>
      </c>
      <c r="G358" s="34">
        <v>1</v>
      </c>
      <c r="H358" s="35">
        <v>25</v>
      </c>
      <c r="I358" s="35">
        <f>VENTAS[[#This Row],[Cantidad]]*VENTAS[[#This Row],[Precio Venta]]</f>
        <v>25</v>
      </c>
      <c r="J358" s="35">
        <f>IF(VENTAS[[#This Row],[Nombre del Gestor]]&gt;1,VENTAS[[#This Row],[Total]]*10%,0)</f>
        <v>0</v>
      </c>
      <c r="K358" s="35">
        <f>IFERROR(VLOOKUP(VENTAS[[#This Row],[Código del producto Vendido]],STOCK[],16,FALSE)*VENTAS[[#This Row],[Cantidad]]+VLOOKUP(VENTAS[[#This Row],[Código del producto Vendido]],STOCK[],19,FALSE)*VENTAS[[#This Row],[Cantidad]],VENTAS[[#This Row],[Total]])</f>
        <v>19.5611111111111</v>
      </c>
      <c r="L358" s="35">
        <f>VENTAS[[#This Row],[Total]]-VENTAS[[#This Row],[Comisión 10%]]-VENTAS[[#This Row],[Costo SIN Comision]]</f>
        <v>5.4388888888889</v>
      </c>
      <c r="M358" s="35"/>
    </row>
    <row r="359" ht="20" customHeight="1" spans="1:13">
      <c r="A359" s="53">
        <v>45133</v>
      </c>
      <c r="B359" s="41" t="s">
        <v>3375</v>
      </c>
      <c r="C359" s="41"/>
      <c r="D359" s="41"/>
      <c r="E359" s="58" t="s">
        <v>454</v>
      </c>
      <c r="F359" s="43" t="str">
        <f>IFERROR(VLOOKUP(VENTAS[[#This Row],[Código del producto Vendido]],STOCK[],5,FALSE),"-")</f>
        <v>Bikini de manga y short floreado</v>
      </c>
      <c r="G359" s="43">
        <v>1</v>
      </c>
      <c r="H359" s="44">
        <v>25</v>
      </c>
      <c r="I359" s="44">
        <f>VENTAS[[#This Row],[Cantidad]]*VENTAS[[#This Row],[Precio Venta]]</f>
        <v>25</v>
      </c>
      <c r="J359" s="44">
        <f>IF(VENTAS[[#This Row],[Nombre del Gestor]]&gt;1,VENTAS[[#This Row],[Total]]*10%,0)</f>
        <v>0</v>
      </c>
      <c r="K359" s="35">
        <f>IFERROR(VLOOKUP(VENTAS[[#This Row],[Código del producto Vendido]],STOCK[],16,FALSE)*VENTAS[[#This Row],[Cantidad]]+VLOOKUP(VENTAS[[#This Row],[Código del producto Vendido]],STOCK[],19,FALSE)*VENTAS[[#This Row],[Cantidad]],VENTAS[[#This Row],[Total]])</f>
        <v>16.6444444444444</v>
      </c>
      <c r="L359" s="35">
        <f>VENTAS[[#This Row],[Total]]-VENTAS[[#This Row],[Comisión 10%]]-VENTAS[[#This Row],[Costo SIN Comision]]</f>
        <v>8.3555555555556</v>
      </c>
      <c r="M359" s="35"/>
    </row>
    <row r="360" ht="20" customHeight="1" spans="1:13">
      <c r="A360" s="52">
        <v>45133</v>
      </c>
      <c r="B360" s="30"/>
      <c r="C360" s="30"/>
      <c r="D360" s="30"/>
      <c r="E360" s="30" t="s">
        <v>120</v>
      </c>
      <c r="F360" s="34" t="str">
        <f>IFERROR(VLOOKUP(VENTAS[[#This Row],[Código del producto Vendido]],STOCK[],5,FALSE),"-")</f>
        <v>Bañador una pieza tropical</v>
      </c>
      <c r="G360" s="34">
        <v>1</v>
      </c>
      <c r="H360" s="35">
        <v>25</v>
      </c>
      <c r="I360" s="35">
        <f>VENTAS[[#This Row],[Cantidad]]*VENTAS[[#This Row],[Precio Venta]]</f>
        <v>25</v>
      </c>
      <c r="J360" s="35">
        <f>IF(VENTAS[[#This Row],[Nombre del Gestor]]&gt;1,VENTAS[[#This Row],[Total]]*10%,0)</f>
        <v>0</v>
      </c>
      <c r="K360" s="35">
        <f>IFERROR(VLOOKUP(VENTAS[[#This Row],[Código del producto Vendido]],STOCK[],16,FALSE)*VENTAS[[#This Row],[Cantidad]]+VLOOKUP(VENTAS[[#This Row],[Código del producto Vendido]],STOCK[],19,FALSE)*VENTAS[[#This Row],[Cantidad]],VENTAS[[#This Row],[Total]])</f>
        <v>14.5111111111111</v>
      </c>
      <c r="L360" s="35">
        <f>VENTAS[[#This Row],[Total]]-VENTAS[[#This Row],[Comisión 10%]]-VENTAS[[#This Row],[Costo SIN Comision]]</f>
        <v>10.4888888888889</v>
      </c>
      <c r="M360" s="35"/>
    </row>
    <row r="361" ht="20" customHeight="1" spans="1:13">
      <c r="A361" s="52">
        <v>45133</v>
      </c>
      <c r="B361" s="30"/>
      <c r="C361" s="30"/>
      <c r="D361" s="30"/>
      <c r="E361" s="30" t="s">
        <v>303</v>
      </c>
      <c r="F361" s="34" t="str">
        <f>IFERROR(VLOOKUP(VENTAS[[#This Row],[Código del producto Vendido]],STOCK[],5,FALSE),"-")</f>
        <v>Jumpsuit palazzo de tie dye</v>
      </c>
      <c r="G361" s="34">
        <v>1</v>
      </c>
      <c r="H361" s="35">
        <v>30</v>
      </c>
      <c r="I361" s="35">
        <f>VENTAS[[#This Row],[Cantidad]]*VENTAS[[#This Row],[Precio Venta]]</f>
        <v>30</v>
      </c>
      <c r="J361" s="35">
        <f>IF(VENTAS[[#This Row],[Nombre del Gestor]]&gt;1,VENTAS[[#This Row],[Total]]*10%,0)</f>
        <v>0</v>
      </c>
      <c r="K361" s="35">
        <f>IFERROR(VLOOKUP(VENTAS[[#This Row],[Código del producto Vendido]],STOCK[],16,FALSE)*VENTAS[[#This Row],[Cantidad]]+VLOOKUP(VENTAS[[#This Row],[Código del producto Vendido]],STOCK[],19,FALSE)*VENTAS[[#This Row],[Cantidad]],VENTAS[[#This Row],[Total]])</f>
        <v>16.3333333333333</v>
      </c>
      <c r="L361" s="35">
        <f>VENTAS[[#This Row],[Total]]-VENTAS[[#This Row],[Comisión 10%]]-VENTAS[[#This Row],[Costo SIN Comision]]</f>
        <v>13.6666666666667</v>
      </c>
      <c r="M361" s="35"/>
    </row>
    <row r="362" ht="20" customHeight="1" spans="1:13">
      <c r="A362" s="52">
        <v>45133</v>
      </c>
      <c r="B362" s="30"/>
      <c r="C362" s="30"/>
      <c r="D362" s="30"/>
      <c r="E362" s="30" t="s">
        <v>1265</v>
      </c>
      <c r="F362" s="34" t="str">
        <f>IFERROR(VLOOKUP(VENTAS[[#This Row],[Código del producto Vendido]],STOCK[],5,FALSE),"-")</f>
        <v>Top asimétrico blanco</v>
      </c>
      <c r="G362" s="34">
        <v>1</v>
      </c>
      <c r="H362" s="35">
        <v>12</v>
      </c>
      <c r="I362" s="35">
        <f>VENTAS[[#This Row],[Cantidad]]*VENTAS[[#This Row],[Precio Venta]]</f>
        <v>12</v>
      </c>
      <c r="J362" s="35">
        <f>IF(VENTAS[[#This Row],[Nombre del Gestor]]&gt;1,VENTAS[[#This Row],[Total]]*10%,0)</f>
        <v>0</v>
      </c>
      <c r="K362" s="35">
        <f>IFERROR(VLOOKUP(VENTAS[[#This Row],[Código del producto Vendido]],STOCK[],16,FALSE)*VENTAS[[#This Row],[Cantidad]]+VLOOKUP(VENTAS[[#This Row],[Código del producto Vendido]],STOCK[],19,FALSE)*VENTAS[[#This Row],[Cantidad]],VENTAS[[#This Row],[Total]])</f>
        <v>5.77</v>
      </c>
      <c r="L362" s="35">
        <f>VENTAS[[#This Row],[Total]]-VENTAS[[#This Row],[Comisión 10%]]-VENTAS[[#This Row],[Costo SIN Comision]]</f>
        <v>6.23</v>
      </c>
      <c r="M362" s="35"/>
    </row>
    <row r="363" ht="20" customHeight="1" spans="1:13">
      <c r="A363" s="54">
        <v>45133</v>
      </c>
      <c r="B363" s="30"/>
      <c r="C363" s="30"/>
      <c r="D363" s="30"/>
      <c r="E363" s="30" t="s">
        <v>1241</v>
      </c>
      <c r="F363" s="34" t="str">
        <f>IFERROR(VLOOKUP(VENTAS[[#This Row],[Código del producto Vendido]],STOCK[],5,FALSE),"-")</f>
        <v>Cinturón de hebilla dorada</v>
      </c>
      <c r="G363" s="34">
        <v>1</v>
      </c>
      <c r="H363" s="35">
        <v>12</v>
      </c>
      <c r="I363" s="35">
        <f>VENTAS[[#This Row],[Cantidad]]*VENTAS[[#This Row],[Precio Venta]]</f>
        <v>12</v>
      </c>
      <c r="J363" s="35">
        <f>IF(VENTAS[[#This Row],[Nombre del Gestor]]&gt;1,VENTAS[[#This Row],[Total]]*10%,0)</f>
        <v>0</v>
      </c>
      <c r="K363" s="35">
        <f>IFERROR(VLOOKUP(VENTAS[[#This Row],[Código del producto Vendido]],STOCK[],16,FALSE)*VENTAS[[#This Row],[Cantidad]]+VLOOKUP(VENTAS[[#This Row],[Código del producto Vendido]],STOCK[],19,FALSE)*VENTAS[[#This Row],[Cantidad]],VENTAS[[#This Row],[Total]])</f>
        <v>4.09</v>
      </c>
      <c r="L363" s="35">
        <f>VENTAS[[#This Row],[Total]]-VENTAS[[#This Row],[Comisión 10%]]-VENTAS[[#This Row],[Costo SIN Comision]]</f>
        <v>7.91</v>
      </c>
      <c r="M363" s="35"/>
    </row>
    <row r="364" ht="20" customHeight="1" spans="1:13">
      <c r="A364" s="52">
        <v>45133</v>
      </c>
      <c r="B364" s="30"/>
      <c r="C364" s="30"/>
      <c r="D364" s="30"/>
      <c r="E364" s="30" t="s">
        <v>1202</v>
      </c>
      <c r="F364" s="34" t="str">
        <f>IFERROR(VLOOKUP(VENTAS[[#This Row],[Código del producto Vendido]],STOCK[],5,FALSE),"-")</f>
        <v>Camisa Blanca</v>
      </c>
      <c r="G364" s="34">
        <v>1</v>
      </c>
      <c r="H364" s="35">
        <v>20</v>
      </c>
      <c r="I364" s="35">
        <f>VENTAS[[#This Row],[Cantidad]]*VENTAS[[#This Row],[Precio Venta]]</f>
        <v>20</v>
      </c>
      <c r="J364" s="35">
        <f>IF(VENTAS[[#This Row],[Nombre del Gestor]]&gt;1,VENTAS[[#This Row],[Total]]*10%,0)</f>
        <v>0</v>
      </c>
      <c r="K364" s="35">
        <f>IFERROR(VLOOKUP(VENTAS[[#This Row],[Código del producto Vendido]],STOCK[],16,FALSE)*VENTAS[[#This Row],[Cantidad]]+VLOOKUP(VENTAS[[#This Row],[Código del producto Vendido]],STOCK[],19,FALSE)*VENTAS[[#This Row],[Cantidad]],VENTAS[[#This Row],[Total]])</f>
        <v>12.9</v>
      </c>
      <c r="L364" s="35">
        <f>VENTAS[[#This Row],[Total]]-VENTAS[[#This Row],[Comisión 10%]]-VENTAS[[#This Row],[Costo SIN Comision]]</f>
        <v>7.1</v>
      </c>
      <c r="M364" s="35"/>
    </row>
    <row r="365" ht="20" customHeight="1" spans="1:13">
      <c r="A365" s="52">
        <v>45133</v>
      </c>
      <c r="B365" s="30"/>
      <c r="C365" s="30"/>
      <c r="D365" s="30"/>
      <c r="E365" s="30" t="s">
        <v>1161</v>
      </c>
      <c r="F365" s="34" t="str">
        <f>IFERROR(VLOOKUP(VENTAS[[#This Row],[Código del producto Vendido]],STOCK[],5,FALSE),"-")</f>
        <v>Short de mezclilla oscura con doblez</v>
      </c>
      <c r="G365" s="34">
        <v>1</v>
      </c>
      <c r="H365" s="35">
        <v>25</v>
      </c>
      <c r="I365" s="35">
        <f>VENTAS[[#This Row],[Cantidad]]*VENTAS[[#This Row],[Precio Venta]]</f>
        <v>25</v>
      </c>
      <c r="J365" s="35">
        <f>IF(VENTAS[[#This Row],[Nombre del Gestor]]&gt;1,VENTAS[[#This Row],[Total]]*10%,0)</f>
        <v>0</v>
      </c>
      <c r="K365" s="35">
        <f>IFERROR(VLOOKUP(VENTAS[[#This Row],[Código del producto Vendido]],STOCK[],16,FALSE)*VENTAS[[#This Row],[Cantidad]]+VLOOKUP(VENTAS[[#This Row],[Código del producto Vendido]],STOCK[],19,FALSE)*VENTAS[[#This Row],[Cantidad]],VENTAS[[#This Row],[Total]])</f>
        <v>14.29</v>
      </c>
      <c r="L365" s="35">
        <f>VENTAS[[#This Row],[Total]]-VENTAS[[#This Row],[Comisión 10%]]-VENTAS[[#This Row],[Costo SIN Comision]]</f>
        <v>10.71</v>
      </c>
      <c r="M365" s="35"/>
    </row>
    <row r="366" ht="20" customHeight="1" spans="1:13">
      <c r="A366" s="54">
        <v>45133</v>
      </c>
      <c r="B366" s="30"/>
      <c r="C366" s="30"/>
      <c r="D366" s="30"/>
      <c r="E366" s="30" t="s">
        <v>1161</v>
      </c>
      <c r="F366" s="34" t="str">
        <f>IFERROR(VLOOKUP(VENTAS[[#This Row],[Código del producto Vendido]],STOCK[],5,FALSE),"-")</f>
        <v>Short de mezclilla oscura con doblez</v>
      </c>
      <c r="G366" s="34">
        <v>1</v>
      </c>
      <c r="H366" s="35">
        <v>25</v>
      </c>
      <c r="I366" s="35">
        <f>VENTAS[[#This Row],[Cantidad]]*VENTAS[[#This Row],[Precio Venta]]</f>
        <v>25</v>
      </c>
      <c r="J366" s="35">
        <f>IF(VENTAS[[#This Row],[Nombre del Gestor]]&gt;1,VENTAS[[#This Row],[Total]]*10%,0)</f>
        <v>0</v>
      </c>
      <c r="K366" s="35">
        <f>IFERROR(VLOOKUP(VENTAS[[#This Row],[Código del producto Vendido]],STOCK[],16,FALSE)*VENTAS[[#This Row],[Cantidad]]+VLOOKUP(VENTAS[[#This Row],[Código del producto Vendido]],STOCK[],19,FALSE)*VENTAS[[#This Row],[Cantidad]],VENTAS[[#This Row],[Total]])</f>
        <v>14.29</v>
      </c>
      <c r="L366" s="35">
        <f>VENTAS[[#This Row],[Total]]-VENTAS[[#This Row],[Comisión 10%]]-VENTAS[[#This Row],[Costo SIN Comision]]</f>
        <v>10.71</v>
      </c>
      <c r="M366" s="35"/>
    </row>
    <row r="367" ht="20" customHeight="1" spans="1:13">
      <c r="A367" s="52">
        <v>45133</v>
      </c>
      <c r="B367" s="30"/>
      <c r="C367" s="30"/>
      <c r="D367" s="30"/>
      <c r="E367" s="30" t="s">
        <v>1272</v>
      </c>
      <c r="F367" s="34" t="str">
        <f>IFERROR(VLOOKUP(VENTAS[[#This Row],[Código del producto Vendido]],STOCK[],5,FALSE),"-")</f>
        <v>Top de cuello V con encaje</v>
      </c>
      <c r="G367" s="34">
        <v>1</v>
      </c>
      <c r="H367" s="35">
        <v>12</v>
      </c>
      <c r="I367" s="35">
        <f>VENTAS[[#This Row],[Cantidad]]*VENTAS[[#This Row],[Precio Venta]]</f>
        <v>12</v>
      </c>
      <c r="J367" s="35">
        <f>IF(VENTAS[[#This Row],[Nombre del Gestor]]&gt;1,VENTAS[[#This Row],[Total]]*10%,0)</f>
        <v>0</v>
      </c>
      <c r="K367" s="35">
        <f>IFERROR(VLOOKUP(VENTAS[[#This Row],[Código del producto Vendido]],STOCK[],16,FALSE)*VENTAS[[#This Row],[Cantidad]]+VLOOKUP(VENTAS[[#This Row],[Código del producto Vendido]],STOCK[],19,FALSE)*VENTAS[[#This Row],[Cantidad]],VENTAS[[#This Row],[Total]])</f>
        <v>7.97</v>
      </c>
      <c r="L367" s="35">
        <f>VENTAS[[#This Row],[Total]]-VENTAS[[#This Row],[Comisión 10%]]-VENTAS[[#This Row],[Costo SIN Comision]]</f>
        <v>4.03</v>
      </c>
      <c r="M367" s="35"/>
    </row>
    <row r="368" s="22" customFormat="1" ht="20" customHeight="1" spans="1:13">
      <c r="A368" s="55">
        <v>45135</v>
      </c>
      <c r="B368" s="49" t="s">
        <v>3376</v>
      </c>
      <c r="C368" s="49"/>
      <c r="D368" s="49"/>
      <c r="E368" s="59" t="s">
        <v>1231</v>
      </c>
      <c r="F368" s="50" t="str">
        <f>IFERROR(VLOOKUP(VENTAS[[#This Row],[Código del producto Vendido]],STOCK[],5,FALSE),"-")</f>
        <v>Short elegante de pierna ancha con doblez </v>
      </c>
      <c r="G368" s="50">
        <v>1</v>
      </c>
      <c r="H368" s="51">
        <v>20</v>
      </c>
      <c r="I368" s="51">
        <f>VENTAS[[#This Row],[Cantidad]]*VENTAS[[#This Row],[Precio Venta]]</f>
        <v>20</v>
      </c>
      <c r="J368" s="51">
        <f>IF(VENTAS[[#This Row],[Nombre del Gestor]]&gt;1,VENTAS[[#This Row],[Total]]*10%,0)</f>
        <v>0</v>
      </c>
      <c r="K368" s="35">
        <f>IFERROR(VLOOKUP(VENTAS[[#This Row],[Código del producto Vendido]],STOCK[],16,FALSE)*VENTAS[[#This Row],[Cantidad]]+VLOOKUP(VENTAS[[#This Row],[Código del producto Vendido]],STOCK[],19,FALSE)*VENTAS[[#This Row],[Cantidad]],VENTAS[[#This Row],[Total]])</f>
        <v>14.37</v>
      </c>
      <c r="L368" s="35">
        <f>VENTAS[[#This Row],[Total]]-VENTAS[[#This Row],[Comisión 10%]]-VENTAS[[#This Row],[Costo SIN Comision]]</f>
        <v>5.63</v>
      </c>
      <c r="M368" s="44"/>
    </row>
    <row r="369" ht="20" customHeight="1" spans="1:13">
      <c r="A369" s="54">
        <v>45135</v>
      </c>
      <c r="B369" s="30"/>
      <c r="C369" s="30"/>
      <c r="D369" s="30"/>
      <c r="E369" s="30" t="s">
        <v>613</v>
      </c>
      <c r="F369" s="34" t="str">
        <f>IFERROR(VLOOKUP(VENTAS[[#This Row],[Código del producto Vendido]],STOCK[],5,FALSE),"-")</f>
        <v>Camiseta corta de manga farol</v>
      </c>
      <c r="G369" s="34">
        <v>1</v>
      </c>
      <c r="H369" s="35">
        <v>10</v>
      </c>
      <c r="I369" s="35">
        <f>VENTAS[[#This Row],[Cantidad]]*VENTAS[[#This Row],[Precio Venta]]</f>
        <v>10</v>
      </c>
      <c r="J369" s="35">
        <f>IF(VENTAS[[#This Row],[Nombre del Gestor]]&gt;1,VENTAS[[#This Row],[Total]]*10%,0)</f>
        <v>0</v>
      </c>
      <c r="K369" s="35">
        <f>IFERROR(VLOOKUP(VENTAS[[#This Row],[Código del producto Vendido]],STOCK[],16,FALSE)*VENTAS[[#This Row],[Cantidad]]+VLOOKUP(VENTAS[[#This Row],[Código del producto Vendido]],STOCK[],19,FALSE)*VENTAS[[#This Row],[Cantidad]],VENTAS[[#This Row],[Total]])</f>
        <v>5.735</v>
      </c>
      <c r="L369" s="35">
        <f>VENTAS[[#This Row],[Total]]-VENTAS[[#This Row],[Comisión 10%]]-VENTAS[[#This Row],[Costo SIN Comision]]</f>
        <v>4.265</v>
      </c>
      <c r="M369" s="35"/>
    </row>
    <row r="370" ht="20" customHeight="1" spans="1:13">
      <c r="A370" s="54">
        <v>45135</v>
      </c>
      <c r="B370" s="30"/>
      <c r="C370" s="30"/>
      <c r="D370" s="30"/>
      <c r="E370" s="30" t="s">
        <v>1206</v>
      </c>
      <c r="F370" s="34" t="str">
        <f>IFERROR(VLOOKUP(VENTAS[[#This Row],[Código del producto Vendido]],STOCK[],5,FALSE),"-")</f>
        <v>Pantaloneta roja</v>
      </c>
      <c r="G370" s="34">
        <v>1</v>
      </c>
      <c r="H370" s="35">
        <v>20</v>
      </c>
      <c r="I370" s="35">
        <f>VENTAS[[#This Row],[Cantidad]]*VENTAS[[#This Row],[Precio Venta]]</f>
        <v>20</v>
      </c>
      <c r="J370" s="35">
        <f>IF(VENTAS[[#This Row],[Nombre del Gestor]]&gt;1,VENTAS[[#This Row],[Total]]*10%,0)</f>
        <v>0</v>
      </c>
      <c r="K370" s="35">
        <f>IFERROR(VLOOKUP(VENTAS[[#This Row],[Código del producto Vendido]],STOCK[],16,FALSE)*VENTAS[[#This Row],[Cantidad]]+VLOOKUP(VENTAS[[#This Row],[Código del producto Vendido]],STOCK[],19,FALSE)*VENTAS[[#This Row],[Cantidad]],VENTAS[[#This Row],[Total]])</f>
        <v>13.36</v>
      </c>
      <c r="L370" s="35">
        <f>VENTAS[[#This Row],[Total]]-VENTAS[[#This Row],[Comisión 10%]]-VENTAS[[#This Row],[Costo SIN Comision]]</f>
        <v>6.64</v>
      </c>
      <c r="M370" s="35"/>
    </row>
    <row r="371" ht="20" customHeight="1" spans="1:13">
      <c r="A371" s="54">
        <v>45137</v>
      </c>
      <c r="B371" s="30"/>
      <c r="C371" s="30"/>
      <c r="D371" s="30"/>
      <c r="E371" s="30" t="s">
        <v>719</v>
      </c>
      <c r="F371" s="34" t="str">
        <f>IFERROR(VLOOKUP(VENTAS[[#This Row],[Código del producto Vendido]],STOCK[],5,FALSE),"-")</f>
        <v>Top acanalado sin mangas</v>
      </c>
      <c r="G371" s="34">
        <v>1</v>
      </c>
      <c r="H371" s="35">
        <v>10</v>
      </c>
      <c r="I371" s="35">
        <f>VENTAS[[#This Row],[Cantidad]]*VENTAS[[#This Row],[Precio Venta]]</f>
        <v>10</v>
      </c>
      <c r="J371" s="35">
        <f>IF(VENTAS[[#This Row],[Nombre del Gestor]]&gt;1,VENTAS[[#This Row],[Total]]*10%,0)</f>
        <v>0</v>
      </c>
      <c r="K371" s="35">
        <f>IFERROR(VLOOKUP(VENTAS[[#This Row],[Código del producto Vendido]],STOCK[],16,FALSE)*VENTAS[[#This Row],[Cantidad]]+VLOOKUP(VENTAS[[#This Row],[Código del producto Vendido]],STOCK[],19,FALSE)*VENTAS[[#This Row],[Cantidad]],VENTAS[[#This Row],[Total]])</f>
        <v>5.02222222222222</v>
      </c>
      <c r="L371" s="35">
        <f>VENTAS[[#This Row],[Total]]-VENTAS[[#This Row],[Comisión 10%]]-VENTAS[[#This Row],[Costo SIN Comision]]</f>
        <v>4.97777777777778</v>
      </c>
      <c r="M371" s="35"/>
    </row>
    <row r="372" ht="20" customHeight="1" spans="1:13">
      <c r="A372" s="54">
        <v>45137</v>
      </c>
      <c r="B372" s="30"/>
      <c r="C372" s="30"/>
      <c r="D372" s="30"/>
      <c r="E372" s="30" t="s">
        <v>1159</v>
      </c>
      <c r="F372" s="34" t="str">
        <f>IFERROR(VLOOKUP(VENTAS[[#This Row],[Código del producto Vendido]],STOCK[],5,FALSE),"-")</f>
        <v>Pezoneras de silicona</v>
      </c>
      <c r="G372" s="34">
        <v>2</v>
      </c>
      <c r="H372" s="35">
        <v>6</v>
      </c>
      <c r="I372" s="35">
        <f>VENTAS[[#This Row],[Cantidad]]*VENTAS[[#This Row],[Precio Venta]]</f>
        <v>12</v>
      </c>
      <c r="J372" s="35">
        <f>IF(VENTAS[[#This Row],[Nombre del Gestor]]&gt;1,VENTAS[[#This Row],[Total]]*10%,0)</f>
        <v>0</v>
      </c>
      <c r="K372" s="35">
        <f>IFERROR(VLOOKUP(VENTAS[[#This Row],[Código del producto Vendido]],STOCK[],16,FALSE)*VENTAS[[#This Row],[Cantidad]]+VLOOKUP(VENTAS[[#This Row],[Código del producto Vendido]],STOCK[],19,FALSE)*VENTAS[[#This Row],[Cantidad]],VENTAS[[#This Row],[Total]])</f>
        <v>4.06</v>
      </c>
      <c r="L372" s="35">
        <f>VENTAS[[#This Row],[Total]]-VENTAS[[#This Row],[Comisión 10%]]-VENTAS[[#This Row],[Costo SIN Comision]]</f>
        <v>7.94</v>
      </c>
      <c r="M372" s="35"/>
    </row>
    <row r="373" ht="20" customHeight="1" spans="1:13">
      <c r="A373" s="54">
        <v>45137</v>
      </c>
      <c r="B373" s="30"/>
      <c r="C373" s="30"/>
      <c r="D373" s="30"/>
      <c r="E373" s="30" t="s">
        <v>1180</v>
      </c>
      <c r="F373" s="34" t="str">
        <f>IFERROR(VLOOKUP(VENTAS[[#This Row],[Código del producto Vendido]],STOCK[],5,FALSE),"-")</f>
        <v>Short de mezclilla clara con doblez</v>
      </c>
      <c r="G373" s="34">
        <v>1</v>
      </c>
      <c r="H373" s="35">
        <v>25</v>
      </c>
      <c r="I373" s="35">
        <f>VENTAS[[#This Row],[Cantidad]]*VENTAS[[#This Row],[Precio Venta]]</f>
        <v>25</v>
      </c>
      <c r="J373" s="35">
        <f>IF(VENTAS[[#This Row],[Nombre del Gestor]]&gt;1,VENTAS[[#This Row],[Total]]*10%,0)</f>
        <v>0</v>
      </c>
      <c r="K373" s="35">
        <f>IFERROR(VLOOKUP(VENTAS[[#This Row],[Código del producto Vendido]],STOCK[],16,FALSE)*VENTAS[[#This Row],[Cantidad]]+VLOOKUP(VENTAS[[#This Row],[Código del producto Vendido]],STOCK[],19,FALSE)*VENTAS[[#This Row],[Cantidad]],VENTAS[[#This Row],[Total]])</f>
        <v>14.29</v>
      </c>
      <c r="L373" s="35">
        <f>VENTAS[[#This Row],[Total]]-VENTAS[[#This Row],[Comisión 10%]]-VENTAS[[#This Row],[Costo SIN Comision]]</f>
        <v>10.71</v>
      </c>
      <c r="M373" s="35"/>
    </row>
    <row r="374" ht="20" customHeight="1" spans="1:13">
      <c r="A374" s="54">
        <v>45137</v>
      </c>
      <c r="B374" s="30"/>
      <c r="C374" s="30"/>
      <c r="D374" s="30"/>
      <c r="E374" s="30" t="s">
        <v>1271</v>
      </c>
      <c r="F374" s="34" t="str">
        <f>IFERROR(VLOOKUP(VENTAS[[#This Row],[Código del producto Vendido]],STOCK[],5,FALSE),"-")</f>
        <v>Top blanco cuello V con encaje</v>
      </c>
      <c r="G374" s="34">
        <v>1</v>
      </c>
      <c r="H374" s="35">
        <v>12</v>
      </c>
      <c r="I374" s="35">
        <f>VENTAS[[#This Row],[Cantidad]]*VENTAS[[#This Row],[Precio Venta]]</f>
        <v>12</v>
      </c>
      <c r="J374" s="35">
        <f>IF(VENTAS[[#This Row],[Nombre del Gestor]]&gt;1,VENTAS[[#This Row],[Total]]*10%,0)</f>
        <v>0</v>
      </c>
      <c r="K374" s="35">
        <f>IFERROR(VLOOKUP(VENTAS[[#This Row],[Código del producto Vendido]],STOCK[],16,FALSE)*VENTAS[[#This Row],[Cantidad]]+VLOOKUP(VENTAS[[#This Row],[Código del producto Vendido]],STOCK[],19,FALSE)*VENTAS[[#This Row],[Cantidad]],VENTAS[[#This Row],[Total]])</f>
        <v>7.97</v>
      </c>
      <c r="L374" s="35">
        <f>VENTAS[[#This Row],[Total]]-VENTAS[[#This Row],[Comisión 10%]]-VENTAS[[#This Row],[Costo SIN Comision]]</f>
        <v>4.03</v>
      </c>
      <c r="M374" s="35"/>
    </row>
    <row r="375" ht="20" customHeight="1" spans="1:13">
      <c r="A375" s="54">
        <v>45138</v>
      </c>
      <c r="B375" s="30"/>
      <c r="C375" s="30"/>
      <c r="D375" s="30"/>
      <c r="E375" s="30" t="s">
        <v>920</v>
      </c>
      <c r="F375" s="34" t="str">
        <f>IFERROR(VLOOKUP(VENTAS[[#This Row],[Código del producto Vendido]],STOCK[],5,FALSE),"-")</f>
        <v>Vestido de lunares</v>
      </c>
      <c r="G375" s="34">
        <v>1</v>
      </c>
      <c r="H375" s="35">
        <v>22</v>
      </c>
      <c r="I375" s="35">
        <f>VENTAS[[#This Row],[Cantidad]]*VENTAS[[#This Row],[Precio Venta]]</f>
        <v>22</v>
      </c>
      <c r="J375" s="35">
        <f>IF(VENTAS[[#This Row],[Nombre del Gestor]]&gt;1,VENTAS[[#This Row],[Total]]*10%,0)</f>
        <v>0</v>
      </c>
      <c r="K375" s="35">
        <f>IFERROR(VLOOKUP(VENTAS[[#This Row],[Código del producto Vendido]],STOCK[],16,FALSE)*VENTAS[[#This Row],[Cantidad]]+VLOOKUP(VENTAS[[#This Row],[Código del producto Vendido]],STOCK[],19,FALSE)*VENTAS[[#This Row],[Cantidad]],VENTAS[[#This Row],[Total]])</f>
        <v>13.9113636363636</v>
      </c>
      <c r="L375" s="35">
        <f>VENTAS[[#This Row],[Total]]-VENTAS[[#This Row],[Comisión 10%]]-VENTAS[[#This Row],[Costo SIN Comision]]</f>
        <v>8.0886363636364</v>
      </c>
      <c r="M375" s="35"/>
    </row>
    <row r="376" s="23" customFormat="1" ht="20" customHeight="1" spans="1:13">
      <c r="A376" s="56"/>
      <c r="B376" s="30"/>
      <c r="C376" s="30"/>
      <c r="D376" s="30"/>
      <c r="E376" s="30" t="s">
        <v>732</v>
      </c>
      <c r="F376" s="34" t="str">
        <f>IFERROR(VLOOKUP(VENTAS[[#This Row],[Código del producto Vendido]],STOCK[],5,FALSE),"-")</f>
        <v>Vestido corto azul real</v>
      </c>
      <c r="G376" s="34">
        <v>1</v>
      </c>
      <c r="H376" s="35">
        <v>19</v>
      </c>
      <c r="I376" s="35">
        <f>VENTAS[[#This Row],[Cantidad]]*VENTAS[[#This Row],[Precio Venta]]</f>
        <v>19</v>
      </c>
      <c r="J376" s="35">
        <f>IF(VENTAS[[#This Row],[Nombre del Gestor]]&gt;1,VENTAS[[#This Row],[Total]]*10%,0)</f>
        <v>0</v>
      </c>
      <c r="K376" s="35">
        <f>IFERROR(VLOOKUP(VENTAS[[#This Row],[Código del producto Vendido]],STOCK[],16,FALSE)*VENTAS[[#This Row],[Cantidad]]+VLOOKUP(VENTAS[[#This Row],[Código del producto Vendido]],STOCK[],19,FALSE)*VENTAS[[#This Row],[Cantidad]],VENTAS[[#This Row],[Total]])</f>
        <v>11.9444444444444</v>
      </c>
      <c r="L376" s="35">
        <f>VENTAS[[#This Row],[Total]]-VENTAS[[#This Row],[Comisión 10%]]-VENTAS[[#This Row],[Costo SIN Comision]]</f>
        <v>7.05555555555556</v>
      </c>
      <c r="M376" s="60"/>
    </row>
    <row r="377" s="23" customFormat="1" ht="20" customHeight="1" spans="1:13">
      <c r="A377" s="56"/>
      <c r="B377" s="30"/>
      <c r="C377" s="30"/>
      <c r="D377" s="30"/>
      <c r="E377" s="30" t="s">
        <v>735</v>
      </c>
      <c r="F377" s="34" t="str">
        <f>IFERROR(VLOOKUP(VENTAS[[#This Row],[Código del producto Vendido]],STOCK[],5,FALSE),"-")</f>
        <v>Vestido corto azul real</v>
      </c>
      <c r="G377" s="34">
        <v>1</v>
      </c>
      <c r="H377" s="35">
        <v>18</v>
      </c>
      <c r="I377" s="35">
        <f>VENTAS[[#This Row],[Cantidad]]*VENTAS[[#This Row],[Precio Venta]]</f>
        <v>18</v>
      </c>
      <c r="J377" s="35">
        <f>IF(VENTAS[[#This Row],[Nombre del Gestor]]&gt;1,VENTAS[[#This Row],[Total]]*10%,0)</f>
        <v>0</v>
      </c>
      <c r="K377" s="35">
        <f>IFERROR(VLOOKUP(VENTAS[[#This Row],[Código del producto Vendido]],STOCK[],16,FALSE)*VENTAS[[#This Row],[Cantidad]]+VLOOKUP(VENTAS[[#This Row],[Código del producto Vendido]],STOCK[],19,FALSE)*VENTAS[[#This Row],[Cantidad]],VENTAS[[#This Row],[Total]])</f>
        <v>11.9444444444444</v>
      </c>
      <c r="L377" s="35">
        <f>VENTAS[[#This Row],[Total]]-VENTAS[[#This Row],[Comisión 10%]]-VENTAS[[#This Row],[Costo SIN Comision]]</f>
        <v>6.05555555555556</v>
      </c>
      <c r="M377" s="60"/>
    </row>
    <row r="378" ht="20" customHeight="1" spans="1:13">
      <c r="A378" s="56"/>
      <c r="B378" s="30"/>
      <c r="C378" s="30"/>
      <c r="D378" s="30"/>
      <c r="E378" s="30" t="s">
        <v>726</v>
      </c>
      <c r="F378" s="34" t="str">
        <f>IFERROR(VLOOKUP(VENTAS[[#This Row],[Código del producto Vendido]],STOCK[],5,FALSE),"-")</f>
        <v>Top acanalado sin mangas</v>
      </c>
      <c r="G378" s="34">
        <v>1</v>
      </c>
      <c r="H378" s="35">
        <v>12</v>
      </c>
      <c r="I378" s="35">
        <f>VENTAS[[#This Row],[Cantidad]]*VENTAS[[#This Row],[Precio Venta]]</f>
        <v>12</v>
      </c>
      <c r="J378" s="35">
        <f>IF(VENTAS[[#This Row],[Nombre del Gestor]]&gt;1,VENTAS[[#This Row],[Total]]*10%,0)</f>
        <v>0</v>
      </c>
      <c r="K378" s="35">
        <f>IFERROR(VLOOKUP(VENTAS[[#This Row],[Código del producto Vendido]],STOCK[],16,FALSE)*VENTAS[[#This Row],[Cantidad]]+VLOOKUP(VENTAS[[#This Row],[Código del producto Vendido]],STOCK[],19,FALSE)*VENTAS[[#This Row],[Cantidad]],VENTAS[[#This Row],[Total]])</f>
        <v>5.02222222222222</v>
      </c>
      <c r="L378" s="35">
        <f>VENTAS[[#This Row],[Total]]-VENTAS[[#This Row],[Comisión 10%]]-VENTAS[[#This Row],[Costo SIN Comision]]</f>
        <v>6.97777777777778</v>
      </c>
      <c r="M378" s="35"/>
    </row>
    <row r="379" s="23" customFormat="1" ht="20" customHeight="1" spans="1:13">
      <c r="A379" s="54">
        <v>45138</v>
      </c>
      <c r="B379" s="30"/>
      <c r="C379" s="30"/>
      <c r="D379" s="30"/>
      <c r="E379" s="30" t="s">
        <v>1239</v>
      </c>
      <c r="F379" s="34" t="str">
        <f>IFERROR(VLOOKUP(VENTAS[[#This Row],[Código del producto Vendido]],STOCK[],5,FALSE),"-")</f>
        <v>Cinturón negro con hebilla dorada</v>
      </c>
      <c r="G379" s="34">
        <v>1</v>
      </c>
      <c r="H379" s="35">
        <v>18</v>
      </c>
      <c r="I379" s="35">
        <f>VENTAS[[#This Row],[Cantidad]]*VENTAS[[#This Row],[Precio Venta]]</f>
        <v>18</v>
      </c>
      <c r="J379" s="35">
        <f>IF(VENTAS[[#This Row],[Nombre del Gestor]]&gt;1,VENTAS[[#This Row],[Total]]*10%,0)</f>
        <v>0</v>
      </c>
      <c r="K379" s="35">
        <f>IFERROR(VLOOKUP(VENTAS[[#This Row],[Código del producto Vendido]],STOCK[],16,FALSE)*VENTAS[[#This Row],[Cantidad]]+VLOOKUP(VENTAS[[#This Row],[Código del producto Vendido]],STOCK[],19,FALSE)*VENTAS[[#This Row],[Cantidad]],VENTAS[[#This Row],[Total]])</f>
        <v>4.61</v>
      </c>
      <c r="L379" s="35">
        <f>VENTAS[[#This Row],[Total]]-VENTAS[[#This Row],[Comisión 10%]]-VENTAS[[#This Row],[Costo SIN Comision]]</f>
        <v>13.39</v>
      </c>
      <c r="M379" s="60"/>
    </row>
    <row r="380" s="23" customFormat="1" ht="20" customHeight="1" spans="1:13">
      <c r="A380" s="57"/>
      <c r="B380" s="30"/>
      <c r="C380" s="30"/>
      <c r="D380" s="30"/>
      <c r="E380" s="30" t="s">
        <v>1032</v>
      </c>
      <c r="F380" s="30" t="str">
        <f>IFERROR(VLOOKUP(VENTAS[[#This Row],[Código del producto Vendido]],STOCK[],5,FALSE),"-")</f>
        <v>Jenas Ajustados Oscuro</v>
      </c>
      <c r="G380" s="30">
        <v>1</v>
      </c>
      <c r="H380" s="35">
        <v>35</v>
      </c>
      <c r="I380" s="35">
        <f>VENTAS[[#This Row],[Cantidad]]*VENTAS[[#This Row],[Precio Venta]]</f>
        <v>35</v>
      </c>
      <c r="J380" s="35">
        <f>IF(VENTAS[[#This Row],[Nombre del Gestor]]&gt;1,VENTAS[[#This Row],[Total]]*10%,0)</f>
        <v>0</v>
      </c>
      <c r="K380" s="35">
        <f>IFERROR(VLOOKUP(VENTAS[[#This Row],[Código del producto Vendido]],STOCK[],16,FALSE)*VENTAS[[#This Row],[Cantidad]]+VLOOKUP(VENTAS[[#This Row],[Código del producto Vendido]],STOCK[],19,FALSE)*VENTAS[[#This Row],[Cantidad]],VENTAS[[#This Row],[Total]])</f>
        <v>24.6818181818182</v>
      </c>
      <c r="L380" s="35">
        <f>VENTAS[[#This Row],[Total]]-VENTAS[[#This Row],[Comisión 10%]]-VENTAS[[#This Row],[Costo SIN Comision]]</f>
        <v>10.3181818181818</v>
      </c>
      <c r="M380" s="60"/>
    </row>
    <row r="381" ht="20" customHeight="1" spans="1:13">
      <c r="A381" s="57"/>
      <c r="B381" s="30"/>
      <c r="C381" s="30"/>
      <c r="D381" s="30"/>
      <c r="E381" s="30" t="s">
        <v>935</v>
      </c>
      <c r="F381" s="30" t="str">
        <f>IFERROR(VLOOKUP(VENTAS[[#This Row],[Código del producto Vendido]],STOCK[],5,FALSE),"-")</f>
        <v>Bañador con zíper de pierna alta</v>
      </c>
      <c r="G381" s="30">
        <v>1</v>
      </c>
      <c r="H381" s="35">
        <v>28</v>
      </c>
      <c r="I381" s="35">
        <f>VENTAS[[#This Row],[Cantidad]]*VENTAS[[#This Row],[Precio Venta]]</f>
        <v>28</v>
      </c>
      <c r="J381" s="35">
        <f>IF(VENTAS[[#This Row],[Nombre del Gestor]]&gt;1,VENTAS[[#This Row],[Total]]*10%,0)</f>
        <v>0</v>
      </c>
      <c r="K381" s="35">
        <f>IFERROR(VLOOKUP(VENTAS[[#This Row],[Código del producto Vendido]],STOCK[],16,FALSE)*VENTAS[[#This Row],[Cantidad]]+VLOOKUP(VENTAS[[#This Row],[Código del producto Vendido]],STOCK[],19,FALSE)*VENTAS[[#This Row],[Cantidad]],VENTAS[[#This Row],[Total]])</f>
        <v>14.0231818181818</v>
      </c>
      <c r="L381" s="35">
        <f>VENTAS[[#This Row],[Total]]-VENTAS[[#This Row],[Comisión 10%]]-VENTAS[[#This Row],[Costo SIN Comision]]</f>
        <v>13.9768181818182</v>
      </c>
      <c r="M381" s="35"/>
    </row>
    <row r="382" ht="20" customHeight="1" spans="1:13">
      <c r="A382" s="57"/>
      <c r="B382" s="30"/>
      <c r="C382" s="30"/>
      <c r="D382" s="30"/>
      <c r="E382" s="30" t="s">
        <v>911</v>
      </c>
      <c r="F382" s="30" t="str">
        <f>IFERROR(VLOOKUP(VENTAS[[#This Row],[Código del producto Vendido]],STOCK[],5,FALSE),"-")</f>
        <v>Bañador de pierna alta</v>
      </c>
      <c r="G382" s="30">
        <v>1</v>
      </c>
      <c r="H382" s="35">
        <v>28</v>
      </c>
      <c r="I382" s="35">
        <f>VENTAS[[#This Row],[Cantidad]]*VENTAS[[#This Row],[Precio Venta]]</f>
        <v>28</v>
      </c>
      <c r="J382" s="35">
        <f>IF(VENTAS[[#This Row],[Nombre del Gestor]]&gt;1,VENTAS[[#This Row],[Total]]*10%,0)</f>
        <v>0</v>
      </c>
      <c r="K382" s="35">
        <f>IFERROR(VLOOKUP(VENTAS[[#This Row],[Código del producto Vendido]],STOCK[],16,FALSE)*VENTAS[[#This Row],[Cantidad]]+VLOOKUP(VENTAS[[#This Row],[Código del producto Vendido]],STOCK[],19,FALSE)*VENTAS[[#This Row],[Cantidad]],VENTAS[[#This Row],[Total]])</f>
        <v>15.8931818181818</v>
      </c>
      <c r="L382" s="35">
        <f>VENTAS[[#This Row],[Total]]-VENTAS[[#This Row],[Comisión 10%]]-VENTAS[[#This Row],[Costo SIN Comision]]</f>
        <v>12.1068181818182</v>
      </c>
      <c r="M382" s="35"/>
    </row>
    <row r="383" ht="20" customHeight="1" spans="1:13">
      <c r="A383" s="57"/>
      <c r="B383" s="30"/>
      <c r="C383" s="30"/>
      <c r="D383" s="30"/>
      <c r="E383" s="30" t="s">
        <v>905</v>
      </c>
      <c r="F383" s="30" t="str">
        <f>IFERROR(VLOOKUP(VENTAS[[#This Row],[Código del producto Vendido]],STOCK[],5,FALSE),"-")</f>
        <v>Bikini Floral</v>
      </c>
      <c r="G383" s="30">
        <v>1</v>
      </c>
      <c r="H383" s="35">
        <v>25</v>
      </c>
      <c r="I383" s="35">
        <f>VENTAS[[#This Row],[Cantidad]]*VENTAS[[#This Row],[Precio Venta]]</f>
        <v>25</v>
      </c>
      <c r="J383" s="35">
        <f>IF(VENTAS[[#This Row],[Nombre del Gestor]]&gt;1,VENTAS[[#This Row],[Total]]*10%,0)</f>
        <v>0</v>
      </c>
      <c r="K383" s="35">
        <f>IFERROR(VLOOKUP(VENTAS[[#This Row],[Código del producto Vendido]],STOCK[],16,FALSE)*VENTAS[[#This Row],[Cantidad]]+VLOOKUP(VENTAS[[#This Row],[Código del producto Vendido]],STOCK[],19,FALSE)*VENTAS[[#This Row],[Cantidad]],VENTAS[[#This Row],[Total]])</f>
        <v>17.5127272727273</v>
      </c>
      <c r="L383" s="35">
        <f>VENTAS[[#This Row],[Total]]-VENTAS[[#This Row],[Comisión 10%]]-VENTAS[[#This Row],[Costo SIN Comision]]</f>
        <v>7.4872727272727</v>
      </c>
      <c r="M383" s="35"/>
    </row>
    <row r="384" ht="20" customHeight="1" spans="1:13">
      <c r="A384" s="57"/>
      <c r="B384" s="30"/>
      <c r="C384" s="30"/>
      <c r="D384" s="30"/>
      <c r="E384" s="30" t="s">
        <v>881</v>
      </c>
      <c r="F384" s="30" t="str">
        <f>IFERROR(VLOOKUP(VENTAS[[#This Row],[Código del producto Vendido]],STOCK[],5,FALSE),"-")</f>
        <v>Bragas sin costuras</v>
      </c>
      <c r="G384" s="30">
        <v>3</v>
      </c>
      <c r="H384" s="35">
        <v>3</v>
      </c>
      <c r="I384" s="35">
        <f>VENTAS[[#This Row],[Cantidad]]*VENTAS[[#This Row],[Precio Venta]]</f>
        <v>9</v>
      </c>
      <c r="J384" s="35">
        <f>IF(VENTAS[[#This Row],[Nombre del Gestor]]&gt;1,VENTAS[[#This Row],[Total]]*10%,0)</f>
        <v>0</v>
      </c>
      <c r="K384" s="35">
        <f>IFERROR(VLOOKUP(VENTAS[[#This Row],[Código del producto Vendido]],STOCK[],16,FALSE)*VENTAS[[#This Row],[Cantidad]]+VLOOKUP(VENTAS[[#This Row],[Código del producto Vendido]],STOCK[],19,FALSE)*VENTAS[[#This Row],[Cantidad]],VENTAS[[#This Row],[Total]])</f>
        <v>5.98333333333332</v>
      </c>
      <c r="L384" s="35">
        <f>VENTAS[[#This Row],[Total]]-VENTAS[[#This Row],[Comisión 10%]]-VENTAS[[#This Row],[Costo SIN Comision]]</f>
        <v>3.01666666666668</v>
      </c>
      <c r="M384" s="35"/>
    </row>
    <row r="385" ht="20" customHeight="1" spans="1:13">
      <c r="A385" s="57"/>
      <c r="B385" s="30"/>
      <c r="C385" s="30"/>
      <c r="D385" s="30"/>
      <c r="E385" s="30" t="s">
        <v>793</v>
      </c>
      <c r="F385" s="30" t="str">
        <f>IFERROR(VLOOKUP(VENTAS[[#This Row],[Código del producto Vendido]],STOCK[],5,FALSE),"-")</f>
        <v>Bañador atado a los lados</v>
      </c>
      <c r="G385" s="30">
        <v>1</v>
      </c>
      <c r="H385" s="35">
        <v>19</v>
      </c>
      <c r="I385" s="35">
        <f>VENTAS[[#This Row],[Cantidad]]*VENTAS[[#This Row],[Precio Venta]]</f>
        <v>19</v>
      </c>
      <c r="J385" s="35">
        <f>IF(VENTAS[[#This Row],[Nombre del Gestor]]&gt;1,VENTAS[[#This Row],[Total]]*10%,0)</f>
        <v>0</v>
      </c>
      <c r="K385" s="35">
        <f>IFERROR(VLOOKUP(VENTAS[[#This Row],[Código del producto Vendido]],STOCK[],16,FALSE)*VENTAS[[#This Row],[Cantidad]]+VLOOKUP(VENTAS[[#This Row],[Código del producto Vendido]],STOCK[],19,FALSE)*VENTAS[[#This Row],[Cantidad]],VENTAS[[#This Row],[Total]])</f>
        <v>12.8333333333333</v>
      </c>
      <c r="L385" s="35">
        <f>VENTAS[[#This Row],[Total]]-VENTAS[[#This Row],[Comisión 10%]]-VENTAS[[#This Row],[Costo SIN Comision]]</f>
        <v>6.1666666666667</v>
      </c>
      <c r="M385" s="35"/>
    </row>
    <row r="386" ht="20" customHeight="1" spans="1:13">
      <c r="A386" s="61">
        <v>45138</v>
      </c>
      <c r="B386" s="30"/>
      <c r="C386" s="30"/>
      <c r="D386" s="30"/>
      <c r="E386" s="30" t="s">
        <v>641</v>
      </c>
      <c r="F386" s="34" t="str">
        <f>IFERROR(VLOOKUP(VENTAS[[#This Row],[Código del producto Vendido]],STOCK[],5,FALSE),"-")</f>
        <v>Vestido con estampado floral</v>
      </c>
      <c r="G386" s="34">
        <v>1</v>
      </c>
      <c r="H386" s="35">
        <v>15</v>
      </c>
      <c r="I386" s="35">
        <f>VENTAS[[#This Row],[Cantidad]]*VENTAS[[#This Row],[Precio Venta]]</f>
        <v>15</v>
      </c>
      <c r="J386" s="35">
        <f>IF(VENTAS[[#This Row],[Nombre del Gestor]]&gt;1,VENTAS[[#This Row],[Total]]*10%,0)</f>
        <v>0</v>
      </c>
      <c r="K386" s="35">
        <f>IFERROR(VLOOKUP(VENTAS[[#This Row],[Código del producto Vendido]],STOCK[],16,FALSE)*VENTAS[[#This Row],[Cantidad]]+VLOOKUP(VENTAS[[#This Row],[Código del producto Vendido]],STOCK[],19,FALSE)*VENTAS[[#This Row],[Cantidad]],VENTAS[[#This Row],[Total]])</f>
        <v>10.7222222222222</v>
      </c>
      <c r="L386" s="35">
        <f>VENTAS[[#This Row],[Total]]-VENTAS[[#This Row],[Comisión 10%]]-VENTAS[[#This Row],[Costo SIN Comision]]</f>
        <v>4.27777777777778</v>
      </c>
      <c r="M386" s="35"/>
    </row>
    <row r="387" ht="20" customHeight="1" spans="1:13">
      <c r="A387" s="62">
        <v>45138</v>
      </c>
      <c r="B387" s="30"/>
      <c r="C387" s="30"/>
      <c r="D387" s="30"/>
      <c r="E387" s="30" t="s">
        <v>618</v>
      </c>
      <c r="F387" s="34" t="str">
        <f>IFERROR(VLOOKUP(VENTAS[[#This Row],[Código del producto Vendido]],STOCK[],5,FALSE),"-")</f>
        <v>Vestido pecho con fruncido </v>
      </c>
      <c r="G387" s="34">
        <v>1</v>
      </c>
      <c r="H387" s="35">
        <v>15</v>
      </c>
      <c r="I387" s="35">
        <f>VENTAS[[#This Row],[Cantidad]]*VENTAS[[#This Row],[Precio Venta]]</f>
        <v>15</v>
      </c>
      <c r="J387" s="35">
        <f>IF(VENTAS[[#This Row],[Nombre del Gestor]]&gt;1,VENTAS[[#This Row],[Total]]*10%,0)</f>
        <v>0</v>
      </c>
      <c r="K387" s="35">
        <f>IFERROR(VLOOKUP(VENTAS[[#This Row],[Código del producto Vendido]],STOCK[],16,FALSE)*VENTAS[[#This Row],[Cantidad]]+VLOOKUP(VENTAS[[#This Row],[Código del producto Vendido]],STOCK[],19,FALSE)*VENTAS[[#This Row],[Cantidad]],VENTAS[[#This Row],[Total]])</f>
        <v>10.7222222222222</v>
      </c>
      <c r="L387" s="35">
        <f>VENTAS[[#This Row],[Total]]-VENTAS[[#This Row],[Comisión 10%]]-VENTAS[[#This Row],[Costo SIN Comision]]</f>
        <v>4.27777777777778</v>
      </c>
      <c r="M387" s="35"/>
    </row>
    <row r="388" ht="20" customHeight="1" spans="1:13">
      <c r="A388" s="57"/>
      <c r="B388" s="30"/>
      <c r="C388" s="30"/>
      <c r="D388" s="30"/>
      <c r="E388" s="30" t="s">
        <v>462</v>
      </c>
      <c r="F388" s="34" t="str">
        <f>IFERROR(VLOOKUP(VENTAS[[#This Row],[Código del producto Vendido]],STOCK[],5,FALSE),"-")</f>
        <v>Vestido cruzado de lunares</v>
      </c>
      <c r="G388" s="34">
        <v>1</v>
      </c>
      <c r="H388" s="35">
        <v>15</v>
      </c>
      <c r="I388" s="35">
        <f>VENTAS[[#This Row],[Cantidad]]*VENTAS[[#This Row],[Precio Venta]]</f>
        <v>15</v>
      </c>
      <c r="J388" s="35">
        <f>IF(VENTAS[[#This Row],[Nombre del Gestor]]&gt;1,VENTAS[[#This Row],[Total]]*10%,0)</f>
        <v>0</v>
      </c>
      <c r="K388" s="35">
        <f>IFERROR(VLOOKUP(VENTAS[[#This Row],[Código del producto Vendido]],STOCK[],16,FALSE)*VENTAS[[#This Row],[Cantidad]]+VLOOKUP(VENTAS[[#This Row],[Código del producto Vendido]],STOCK[],19,FALSE)*VENTAS[[#This Row],[Cantidad]],VENTAS[[#This Row],[Total]])</f>
        <v>11.1933333333333</v>
      </c>
      <c r="L388" s="35">
        <f>VENTAS[[#This Row],[Total]]-VENTAS[[#This Row],[Comisión 10%]]-VENTAS[[#This Row],[Costo SIN Comision]]</f>
        <v>3.80666666666667</v>
      </c>
      <c r="M388" s="35"/>
    </row>
    <row r="389" ht="20" customHeight="1" spans="1:13">
      <c r="A389" s="57"/>
      <c r="B389" s="30"/>
      <c r="C389" s="30"/>
      <c r="D389" s="30"/>
      <c r="E389" s="30" t="s">
        <v>453</v>
      </c>
      <c r="F389" s="34" t="str">
        <f>IFERROR(VLOOKUP(VENTAS[[#This Row],[Código del producto Vendido]],STOCK[],5,FALSE),"-")</f>
        <v>Bañador bikini de manga raglán con cordón floral</v>
      </c>
      <c r="G389" s="34">
        <v>1</v>
      </c>
      <c r="H389" s="35">
        <v>25</v>
      </c>
      <c r="I389" s="35">
        <f>VENTAS[[#This Row],[Cantidad]]*VENTAS[[#This Row],[Precio Venta]]</f>
        <v>25</v>
      </c>
      <c r="J389" s="35">
        <f>IF(VENTAS[[#This Row],[Nombre del Gestor]]&gt;1,VENTAS[[#This Row],[Total]]*10%,0)</f>
        <v>0</v>
      </c>
      <c r="K389" s="35">
        <f>IFERROR(VLOOKUP(VENTAS[[#This Row],[Código del producto Vendido]],STOCK[],16,FALSE)*VENTAS[[#This Row],[Cantidad]]+VLOOKUP(VENTAS[[#This Row],[Código del producto Vendido]],STOCK[],19,FALSE)*VENTAS[[#This Row],[Cantidad]],VENTAS[[#This Row],[Total]])</f>
        <v>19.7944444444444</v>
      </c>
      <c r="L389" s="35">
        <f>VENTAS[[#This Row],[Total]]-VENTAS[[#This Row],[Comisión 10%]]-VENTAS[[#This Row],[Costo SIN Comision]]</f>
        <v>5.2055555555556</v>
      </c>
      <c r="M389" s="35"/>
    </row>
    <row r="390" ht="20" customHeight="1" spans="1:13">
      <c r="A390" s="63"/>
      <c r="B390" s="30"/>
      <c r="C390" s="30"/>
      <c r="D390" s="30"/>
      <c r="E390" s="30" t="s">
        <v>400</v>
      </c>
      <c r="F390" s="34" t="str">
        <f>IFERROR(VLOOKUP(VENTAS[[#This Row],[Código del producto Vendido]],STOCK[],5,FALSE),"-")</f>
        <v>Vestido Volante rígido Floral </v>
      </c>
      <c r="G390" s="34">
        <v>1</v>
      </c>
      <c r="H390" s="35">
        <v>25</v>
      </c>
      <c r="I390" s="35">
        <f>VENTAS[[#This Row],[Cantidad]]*VENTAS[[#This Row],[Precio Venta]]</f>
        <v>25</v>
      </c>
      <c r="J390" s="35">
        <f>IF(VENTAS[[#This Row],[Nombre del Gestor]]&gt;1,VENTAS[[#This Row],[Total]]*10%,0)</f>
        <v>0</v>
      </c>
      <c r="K390" s="35">
        <f>IFERROR(VLOOKUP(VENTAS[[#This Row],[Código del producto Vendido]],STOCK[],16,FALSE)*VENTAS[[#This Row],[Cantidad]]+VLOOKUP(VENTAS[[#This Row],[Código del producto Vendido]],STOCK[],19,FALSE)*VENTAS[[#This Row],[Cantidad]],VENTAS[[#This Row],[Total]])</f>
        <v>19.21</v>
      </c>
      <c r="L390" s="35">
        <f>VENTAS[[#This Row],[Total]]-VENTAS[[#This Row],[Comisión 10%]]-VENTAS[[#This Row],[Costo SIN Comision]]</f>
        <v>5.79</v>
      </c>
      <c r="M390" s="35"/>
    </row>
    <row r="391" ht="20" customHeight="1" spans="1:13">
      <c r="A391" s="62">
        <v>45138</v>
      </c>
      <c r="B391" s="30"/>
      <c r="C391" s="30"/>
      <c r="D391" s="30"/>
      <c r="E391" s="30" t="s">
        <v>400</v>
      </c>
      <c r="F391" s="34" t="str">
        <f>IFERROR(VLOOKUP(VENTAS[[#This Row],[Código del producto Vendido]],STOCK[],5,FALSE),"-")</f>
        <v>Vestido Volante rígido Floral </v>
      </c>
      <c r="G391" s="34">
        <v>1</v>
      </c>
      <c r="H391" s="35">
        <v>25</v>
      </c>
      <c r="I391" s="35">
        <f>VENTAS[[#This Row],[Cantidad]]*VENTAS[[#This Row],[Precio Venta]]</f>
        <v>25</v>
      </c>
      <c r="J391" s="35">
        <f>IF(VENTAS[[#This Row],[Nombre del Gestor]]&gt;1,VENTAS[[#This Row],[Total]]*10%,0)</f>
        <v>0</v>
      </c>
      <c r="K391" s="35">
        <f>IFERROR(VLOOKUP(VENTAS[[#This Row],[Código del producto Vendido]],STOCK[],16,FALSE)*VENTAS[[#This Row],[Cantidad]]+VLOOKUP(VENTAS[[#This Row],[Código del producto Vendido]],STOCK[],19,FALSE)*VENTAS[[#This Row],[Cantidad]],VENTAS[[#This Row],[Total]])</f>
        <v>19.21</v>
      </c>
      <c r="L391" s="35">
        <f>VENTAS[[#This Row],[Total]]-VENTAS[[#This Row],[Comisión 10%]]-VENTAS[[#This Row],[Costo SIN Comision]]</f>
        <v>5.79</v>
      </c>
      <c r="M391" s="35"/>
    </row>
    <row r="392" ht="20" customHeight="1" spans="1:13">
      <c r="A392" s="61">
        <v>45138</v>
      </c>
      <c r="B392" s="30"/>
      <c r="C392" s="30"/>
      <c r="D392" s="30"/>
      <c r="E392" s="30" t="s">
        <v>77</v>
      </c>
      <c r="F392" s="34" t="str">
        <f>IFERROR(VLOOKUP(VENTAS[[#This Row],[Código del producto Vendido]],STOCK[],5,FALSE),"-")</f>
        <v>Bikini con cordón lateral</v>
      </c>
      <c r="G392" s="34">
        <v>1</v>
      </c>
      <c r="H392" s="35">
        <v>22</v>
      </c>
      <c r="I392" s="35">
        <f>VENTAS[[#This Row],[Cantidad]]*VENTAS[[#This Row],[Precio Venta]]</f>
        <v>22</v>
      </c>
      <c r="J392" s="35">
        <f>IF(VENTAS[[#This Row],[Nombre del Gestor]]&gt;1,VENTAS[[#This Row],[Total]]*10%,0)</f>
        <v>0</v>
      </c>
      <c r="K392" s="35">
        <f>IFERROR(VLOOKUP(VENTAS[[#This Row],[Código del producto Vendido]],STOCK[],16,FALSE)*VENTAS[[#This Row],[Cantidad]]+VLOOKUP(VENTAS[[#This Row],[Código del producto Vendido]],STOCK[],19,FALSE)*VENTAS[[#This Row],[Cantidad]],VENTAS[[#This Row],[Total]])</f>
        <v>14.75</v>
      </c>
      <c r="L392" s="35">
        <f>VENTAS[[#This Row],[Total]]-VENTAS[[#This Row],[Comisión 10%]]-VENTAS[[#This Row],[Costo SIN Comision]]</f>
        <v>7.25</v>
      </c>
      <c r="M392" s="35"/>
    </row>
    <row r="393" ht="20" customHeight="1" spans="1:13">
      <c r="A393" s="62">
        <v>45138</v>
      </c>
      <c r="B393" s="30"/>
      <c r="C393" s="30"/>
      <c r="D393" s="30"/>
      <c r="E393" s="30" t="s">
        <v>615</v>
      </c>
      <c r="F393" s="34" t="str">
        <f>IFERROR(VLOOKUP(VENTAS[[#This Row],[Código del producto Vendido]],STOCK[],5,FALSE),"-")</f>
        <v>Camiseta corta de manga farol</v>
      </c>
      <c r="G393" s="34">
        <v>1</v>
      </c>
      <c r="H393" s="35">
        <v>10</v>
      </c>
      <c r="I393" s="35">
        <f>VENTAS[[#This Row],[Cantidad]]*VENTAS[[#This Row],[Precio Venta]]</f>
        <v>10</v>
      </c>
      <c r="J393" s="35">
        <f>IF(VENTAS[[#This Row],[Nombre del Gestor]]&gt;1,VENTAS[[#This Row],[Total]]*10%,0)</f>
        <v>0</v>
      </c>
      <c r="K393" s="35">
        <f>IFERROR(VLOOKUP(VENTAS[[#This Row],[Código del producto Vendido]],STOCK[],16,FALSE)*VENTAS[[#This Row],[Cantidad]]+VLOOKUP(VENTAS[[#This Row],[Código del producto Vendido]],STOCK[],19,FALSE)*VENTAS[[#This Row],[Cantidad]],VENTAS[[#This Row],[Total]])</f>
        <v>5.735</v>
      </c>
      <c r="L393" s="35">
        <f>VENTAS[[#This Row],[Total]]-VENTAS[[#This Row],[Comisión 10%]]-VENTAS[[#This Row],[Costo SIN Comision]]</f>
        <v>4.265</v>
      </c>
      <c r="M393" s="35"/>
    </row>
    <row r="394" ht="20" customHeight="1" spans="1:13">
      <c r="A394" s="64"/>
      <c r="B394" s="30"/>
      <c r="C394" s="30"/>
      <c r="D394" s="30"/>
      <c r="E394" s="30" t="s">
        <v>509</v>
      </c>
      <c r="F394" s="34" t="str">
        <f>IFERROR(VLOOKUP(VENTAS[[#This Row],[Código del producto Vendido]],STOCK[],5,FALSE),"-")</f>
        <v>Set 3 piezas bikini</v>
      </c>
      <c r="G394" s="34">
        <v>1</v>
      </c>
      <c r="H394" s="35">
        <v>24</v>
      </c>
      <c r="I394" s="35">
        <f>VENTAS[[#This Row],[Cantidad]]*VENTAS[[#This Row],[Precio Venta]]</f>
        <v>24</v>
      </c>
      <c r="J394" s="35">
        <f>IF(VENTAS[[#This Row],[Nombre del Gestor]]&gt;1,VENTAS[[#This Row],[Total]]*10%,0)</f>
        <v>0</v>
      </c>
      <c r="K394" s="35">
        <f>IFERROR(VLOOKUP(VENTAS[[#This Row],[Código del producto Vendido]],STOCK[],16,FALSE)*VENTAS[[#This Row],[Cantidad]]+VLOOKUP(VENTAS[[#This Row],[Código del producto Vendido]],STOCK[],19,FALSE)*VENTAS[[#This Row],[Cantidad]],VENTAS[[#This Row],[Total]])</f>
        <v>16.0444444444444</v>
      </c>
      <c r="L394" s="35">
        <f>VENTAS[[#This Row],[Total]]-VENTAS[[#This Row],[Comisión 10%]]-VENTAS[[#This Row],[Costo SIN Comision]]</f>
        <v>7.9555555555556</v>
      </c>
      <c r="M394" s="35"/>
    </row>
    <row r="395" ht="20" customHeight="1" spans="1:13">
      <c r="A395" s="65"/>
      <c r="B395" s="30"/>
      <c r="C395" s="30"/>
      <c r="D395" s="30"/>
      <c r="E395" s="30" t="s">
        <v>75</v>
      </c>
      <c r="F395" s="34" t="str">
        <f>IFERROR(VLOOKUP(VENTAS[[#This Row],[Código del producto Vendido]],STOCK[],5,FALSE),"-")</f>
        <v>Pareo pantalón de malla</v>
      </c>
      <c r="G395" s="34">
        <v>1</v>
      </c>
      <c r="H395" s="35">
        <v>15</v>
      </c>
      <c r="I395" s="35">
        <f>VENTAS[[#This Row],[Cantidad]]*VENTAS[[#This Row],[Precio Venta]]</f>
        <v>15</v>
      </c>
      <c r="J395" s="35">
        <f>IF(VENTAS[[#This Row],[Nombre del Gestor]]&gt;1,VENTAS[[#This Row],[Total]]*10%,0)</f>
        <v>0</v>
      </c>
      <c r="K395" s="35">
        <f>IFERROR(VLOOKUP(VENTAS[[#This Row],[Código del producto Vendido]],STOCK[],16,FALSE)*VENTAS[[#This Row],[Cantidad]]+VLOOKUP(VENTAS[[#This Row],[Código del producto Vendido]],STOCK[],19,FALSE)*VENTAS[[#This Row],[Cantidad]],VENTAS[[#This Row],[Total]])</f>
        <v>9.36055555555556</v>
      </c>
      <c r="L395" s="35">
        <f>VENTAS[[#This Row],[Total]]-VENTAS[[#This Row],[Comisión 10%]]-VENTAS[[#This Row],[Costo SIN Comision]]</f>
        <v>5.63944444444444</v>
      </c>
      <c r="M395" s="35"/>
    </row>
    <row r="396" ht="20" customHeight="1" spans="1:13">
      <c r="A396" s="64"/>
      <c r="B396" s="30"/>
      <c r="C396" s="30"/>
      <c r="D396" s="30"/>
      <c r="E396" s="30" t="s">
        <v>87</v>
      </c>
      <c r="F396" s="34" t="str">
        <f>IFERROR(VLOOKUP(VENTAS[[#This Row],[Código del producto Vendido]],STOCK[],5,FALSE),"-")</f>
        <v>Bikini Elegante con Herrajes</v>
      </c>
      <c r="G396" s="34">
        <v>1</v>
      </c>
      <c r="H396" s="35">
        <v>18</v>
      </c>
      <c r="I396" s="35">
        <f>VENTAS[[#This Row],[Cantidad]]*VENTAS[[#This Row],[Precio Venta]]</f>
        <v>18</v>
      </c>
      <c r="J396" s="35">
        <f>IF(VENTAS[[#This Row],[Nombre del Gestor]]&gt;1,VENTAS[[#This Row],[Total]]*10%,0)</f>
        <v>0</v>
      </c>
      <c r="K396" s="35">
        <f>IFERROR(VLOOKUP(VENTAS[[#This Row],[Código del producto Vendido]],STOCK[],16,FALSE)*VENTAS[[#This Row],[Cantidad]]+VLOOKUP(VENTAS[[#This Row],[Código del producto Vendido]],STOCK[],19,FALSE)*VENTAS[[#This Row],[Cantidad]],VENTAS[[#This Row],[Total]])</f>
        <v>12.6972222222222</v>
      </c>
      <c r="L396" s="35">
        <f>VENTAS[[#This Row],[Total]]-VENTAS[[#This Row],[Comisión 10%]]-VENTAS[[#This Row],[Costo SIN Comision]]</f>
        <v>5.30277777777778</v>
      </c>
      <c r="M396" s="35"/>
    </row>
    <row r="397" ht="20" customHeight="1" spans="1:13">
      <c r="A397" s="65"/>
      <c r="B397" s="30"/>
      <c r="C397" s="30" t="s">
        <v>3377</v>
      </c>
      <c r="D397" s="30"/>
      <c r="E397" s="30" t="s">
        <v>427</v>
      </c>
      <c r="F397" s="34" t="str">
        <f>IFERROR(VLOOKUP(VENTAS[[#This Row],[Código del producto Vendido]],STOCK[],5,FALSE),"-")</f>
        <v>Mono Bohemio con cinturón </v>
      </c>
      <c r="G397" s="34">
        <v>1</v>
      </c>
      <c r="H397" s="35">
        <v>15</v>
      </c>
      <c r="I397" s="35">
        <f>VENTAS[[#This Row],[Cantidad]]*VENTAS[[#This Row],[Precio Venta]]</f>
        <v>15</v>
      </c>
      <c r="J397" s="35">
        <f>IF(VENTAS[[#This Row],[Nombre del Gestor]]&gt;1,VENTAS[[#This Row],[Total]]*10%,0)</f>
        <v>0</v>
      </c>
      <c r="K397" s="35">
        <f>IFERROR(VLOOKUP(VENTAS[[#This Row],[Código del producto Vendido]],STOCK[],16,FALSE)*VENTAS[[#This Row],[Cantidad]]+VLOOKUP(VENTAS[[#This Row],[Código del producto Vendido]],STOCK[],19,FALSE)*VENTAS[[#This Row],[Cantidad]],VENTAS[[#This Row],[Total]])</f>
        <v>14.7022222222222</v>
      </c>
      <c r="L397" s="35">
        <f>VENTAS[[#This Row],[Total]]-VENTAS[[#This Row],[Comisión 10%]]-VENTAS[[#This Row],[Costo SIN Comision]]</f>
        <v>0.297777777777799</v>
      </c>
      <c r="M397" s="35"/>
    </row>
    <row r="398" ht="20" customHeight="1" spans="1:13">
      <c r="A398" s="64" t="s">
        <v>3378</v>
      </c>
      <c r="B398" s="30"/>
      <c r="C398" s="30"/>
      <c r="D398" s="30"/>
      <c r="E398" s="30" t="s">
        <v>1111</v>
      </c>
      <c r="F398" s="34" t="str">
        <f>IFERROR(VLOOKUP(VENTAS[[#This Row],[Código del producto Vendido]],STOCK[],5,FALSE),"-")</f>
        <v>Bolso de mimbre</v>
      </c>
      <c r="G398" s="34">
        <v>1</v>
      </c>
      <c r="H398" s="35">
        <v>12</v>
      </c>
      <c r="I398" s="35">
        <f>VENTAS[[#This Row],[Cantidad]]*VENTAS[[#This Row],[Precio Venta]]</f>
        <v>12</v>
      </c>
      <c r="J398" s="35">
        <f>IF(VENTAS[[#This Row],[Nombre del Gestor]]&gt;1,VENTAS[[#This Row],[Total]]*10%,0)</f>
        <v>0</v>
      </c>
      <c r="K398" s="35">
        <f>IFERROR(VLOOKUP(VENTAS[[#This Row],[Código del producto Vendido]],STOCK[],16,FALSE)*VENTAS[[#This Row],[Cantidad]]+VLOOKUP(VENTAS[[#This Row],[Código del producto Vendido]],STOCK[],19,FALSE)*VENTAS[[#This Row],[Cantidad]],VENTAS[[#This Row],[Total]])</f>
        <v>11.8286764705882</v>
      </c>
      <c r="L398" s="35">
        <f>VENTAS[[#This Row],[Total]]-VENTAS[[#This Row],[Comisión 10%]]-VENTAS[[#This Row],[Costo SIN Comision]]</f>
        <v>0.171323529411758</v>
      </c>
      <c r="M398" s="35"/>
    </row>
    <row r="399" ht="20" customHeight="1" spans="1:13">
      <c r="A399" s="65" t="s">
        <v>3378</v>
      </c>
      <c r="B399" s="30"/>
      <c r="C399" s="30"/>
      <c r="D399" s="30"/>
      <c r="E399" s="30" t="s">
        <v>925</v>
      </c>
      <c r="F399" s="34" t="str">
        <f>IFERROR(VLOOKUP(VENTAS[[#This Row],[Código del producto Vendido]],STOCK[],5,FALSE),"-")</f>
        <v>Pantaloneta Roja</v>
      </c>
      <c r="G399" s="34">
        <v>1</v>
      </c>
      <c r="H399" s="35">
        <v>20</v>
      </c>
      <c r="I399" s="35">
        <f>VENTAS[[#This Row],[Cantidad]]*VENTAS[[#This Row],[Precio Venta]]</f>
        <v>20</v>
      </c>
      <c r="J399" s="35">
        <f>IF(VENTAS[[#This Row],[Nombre del Gestor]]&gt;1,VENTAS[[#This Row],[Total]]*10%,0)</f>
        <v>0</v>
      </c>
      <c r="K399" s="35">
        <f>IFERROR(VLOOKUP(VENTAS[[#This Row],[Código del producto Vendido]],STOCK[],16,FALSE)*VENTAS[[#This Row],[Cantidad]]+VLOOKUP(VENTAS[[#This Row],[Código del producto Vendido]],STOCK[],19,FALSE)*VENTAS[[#This Row],[Cantidad]],VENTAS[[#This Row],[Total]])</f>
        <v>11.6095454545454</v>
      </c>
      <c r="L399" s="35">
        <f>VENTAS[[#This Row],[Total]]-VENTAS[[#This Row],[Comisión 10%]]-VENTAS[[#This Row],[Costo SIN Comision]]</f>
        <v>8.39045454545455</v>
      </c>
      <c r="M399" s="35"/>
    </row>
    <row r="400" ht="20" customHeight="1" spans="1:13">
      <c r="A400" s="64" t="s">
        <v>3378</v>
      </c>
      <c r="B400" s="30"/>
      <c r="C400" s="30"/>
      <c r="D400" s="30"/>
      <c r="E400" s="30" t="s">
        <v>411</v>
      </c>
      <c r="F400" s="34" t="str">
        <f>IFERROR(VLOOKUP(VENTAS[[#This Row],[Código del producto Vendido]],STOCK[],5,FALSE),"-")</f>
        <v>Bikini Floral</v>
      </c>
      <c r="G400" s="34">
        <v>1</v>
      </c>
      <c r="H400" s="35">
        <v>22</v>
      </c>
      <c r="I400" s="35">
        <f>VENTAS[[#This Row],[Cantidad]]*VENTAS[[#This Row],[Precio Venta]]</f>
        <v>22</v>
      </c>
      <c r="J400" s="35">
        <f>IF(VENTAS[[#This Row],[Nombre del Gestor]]&gt;1,VENTAS[[#This Row],[Total]]*10%,0)</f>
        <v>0</v>
      </c>
      <c r="K400" s="35">
        <f>IFERROR(VLOOKUP(VENTAS[[#This Row],[Código del producto Vendido]],STOCK[],16,FALSE)*VENTAS[[#This Row],[Cantidad]]+VLOOKUP(VENTAS[[#This Row],[Código del producto Vendido]],STOCK[],19,FALSE)*VENTAS[[#This Row],[Cantidad]],VENTAS[[#This Row],[Total]])</f>
        <v>13.9444444444444</v>
      </c>
      <c r="L400" s="35">
        <f>VENTAS[[#This Row],[Total]]-VENTAS[[#This Row],[Comisión 10%]]-VENTAS[[#This Row],[Costo SIN Comision]]</f>
        <v>8.0555555555556</v>
      </c>
      <c r="M400" s="35"/>
    </row>
    <row r="401" ht="20" customHeight="1" spans="1:13">
      <c r="A401" s="65" t="s">
        <v>3378</v>
      </c>
      <c r="B401" s="30"/>
      <c r="C401" s="30"/>
      <c r="D401" s="30"/>
      <c r="E401" s="30" t="s">
        <v>1104</v>
      </c>
      <c r="F401" s="34" t="str">
        <f>IFERROR(VLOOKUP(VENTAS[[#This Row],[Código del producto Vendido]],STOCK[],5,FALSE),"-")</f>
        <v>Mono Oblicuo con bolsillo</v>
      </c>
      <c r="G401" s="34">
        <v>1</v>
      </c>
      <c r="H401" s="35">
        <v>22</v>
      </c>
      <c r="I401" s="35">
        <f>VENTAS[[#This Row],[Cantidad]]*VENTAS[[#This Row],[Precio Venta]]</f>
        <v>22</v>
      </c>
      <c r="J401" s="35">
        <f>IF(VENTAS[[#This Row],[Nombre del Gestor]]&gt;1,VENTAS[[#This Row],[Total]]*10%,0)</f>
        <v>0</v>
      </c>
      <c r="K401" s="35">
        <f>IFERROR(VLOOKUP(VENTAS[[#This Row],[Código del producto Vendido]],STOCK[],16,FALSE)*VENTAS[[#This Row],[Cantidad]]+VLOOKUP(VENTAS[[#This Row],[Código del producto Vendido]],STOCK[],19,FALSE)*VENTAS[[#This Row],[Cantidad]],VENTAS[[#This Row],[Total]])</f>
        <v>14.5485294117647</v>
      </c>
      <c r="L401" s="35">
        <f>VENTAS[[#This Row],[Total]]-VENTAS[[#This Row],[Comisión 10%]]-VENTAS[[#This Row],[Costo SIN Comision]]</f>
        <v>7.45147058823529</v>
      </c>
      <c r="M401" s="35"/>
    </row>
    <row r="402" ht="20" customHeight="1" spans="1:13">
      <c r="A402" s="64" t="s">
        <v>3378</v>
      </c>
      <c r="B402" s="30"/>
      <c r="C402" s="30"/>
      <c r="D402" s="30"/>
      <c r="E402" s="30" t="s">
        <v>300</v>
      </c>
      <c r="F402" s="34" t="str">
        <f>IFERROR(VLOOKUP(VENTAS[[#This Row],[Código del producto Vendido]],STOCK[],5,FALSE),"-")</f>
        <v>Jumpsuit palazzo de tie dye</v>
      </c>
      <c r="G402" s="34">
        <v>1</v>
      </c>
      <c r="H402" s="35">
        <v>30</v>
      </c>
      <c r="I402" s="35">
        <f>VENTAS[[#This Row],[Cantidad]]*VENTAS[[#This Row],[Precio Venta]]</f>
        <v>30</v>
      </c>
      <c r="J402" s="35">
        <f>IF(VENTAS[[#This Row],[Nombre del Gestor]]&gt;1,VENTAS[[#This Row],[Total]]*10%,0)</f>
        <v>0</v>
      </c>
      <c r="K402" s="35">
        <f>IFERROR(VLOOKUP(VENTAS[[#This Row],[Código del producto Vendido]],STOCK[],16,FALSE)*VENTAS[[#This Row],[Cantidad]]+VLOOKUP(VENTAS[[#This Row],[Código del producto Vendido]],STOCK[],19,FALSE)*VENTAS[[#This Row],[Cantidad]],VENTAS[[#This Row],[Total]])</f>
        <v>16.3333333333333</v>
      </c>
      <c r="L402" s="35">
        <f>VENTAS[[#This Row],[Total]]-VENTAS[[#This Row],[Comisión 10%]]-VENTAS[[#This Row],[Costo SIN Comision]]</f>
        <v>13.6666666666667</v>
      </c>
      <c r="M402" s="35"/>
    </row>
    <row r="403" ht="20" customHeight="1" spans="1:13">
      <c r="A403" s="65" t="s">
        <v>3378</v>
      </c>
      <c r="B403" s="30"/>
      <c r="C403" s="30" t="s">
        <v>3379</v>
      </c>
      <c r="D403" s="30"/>
      <c r="E403" s="30" t="s">
        <v>304</v>
      </c>
      <c r="F403" s="34" t="str">
        <f>IFERROR(VLOOKUP(VENTAS[[#This Row],[Código del producto Vendido]],STOCK[],5,FALSE),"-")</f>
        <v>Conjunto short, camisa y top</v>
      </c>
      <c r="G403" s="34">
        <v>1</v>
      </c>
      <c r="H403" s="35">
        <v>16.83</v>
      </c>
      <c r="I403" s="35">
        <f>VENTAS[[#This Row],[Cantidad]]*VENTAS[[#This Row],[Precio Venta]]</f>
        <v>16.83</v>
      </c>
      <c r="J403" s="35">
        <f>IF(VENTAS[[#This Row],[Nombre del Gestor]]&gt;1,VENTAS[[#This Row],[Total]]*10%,0)</f>
        <v>0</v>
      </c>
      <c r="K403" s="35">
        <f>IFERROR(VLOOKUP(VENTAS[[#This Row],[Código del producto Vendido]],STOCK[],16,FALSE)*VENTAS[[#This Row],[Cantidad]]+VLOOKUP(VENTAS[[#This Row],[Código del producto Vendido]],STOCK[],19,FALSE)*VENTAS[[#This Row],[Cantidad]],VENTAS[[#This Row],[Total]])</f>
        <v>16.8333333333333</v>
      </c>
      <c r="L403" s="35">
        <f>VENTAS[[#This Row],[Total]]-VENTAS[[#This Row],[Comisión 10%]]-VENTAS[[#This Row],[Costo SIN Comision]]</f>
        <v>-0.00333333333330188</v>
      </c>
      <c r="M403" s="35"/>
    </row>
    <row r="404" ht="20" customHeight="1" spans="1:13">
      <c r="A404" s="64" t="s">
        <v>3378</v>
      </c>
      <c r="B404" s="30"/>
      <c r="C404" s="30"/>
      <c r="D404" s="30"/>
      <c r="E404" s="30" t="s">
        <v>861</v>
      </c>
      <c r="F404" s="34" t="str">
        <f>IFERROR(VLOOKUP(VENTAS[[#This Row],[Código del producto Vendido]],STOCK[],5,FALSE),"-")</f>
        <v>Bikini Rosa canalé</v>
      </c>
      <c r="G404" s="34">
        <v>1</v>
      </c>
      <c r="H404" s="35">
        <v>20</v>
      </c>
      <c r="I404" s="35">
        <f>VENTAS[[#This Row],[Cantidad]]*VENTAS[[#This Row],[Precio Venta]]</f>
        <v>20</v>
      </c>
      <c r="J404" s="35">
        <f>IF(VENTAS[[#This Row],[Nombre del Gestor]]&gt;1,VENTAS[[#This Row],[Total]]*10%,0)</f>
        <v>0</v>
      </c>
      <c r="K404" s="35">
        <f>IFERROR(VLOOKUP(VENTAS[[#This Row],[Código del producto Vendido]],STOCK[],16,FALSE)*VENTAS[[#This Row],[Cantidad]]+VLOOKUP(VENTAS[[#This Row],[Código del producto Vendido]],STOCK[],19,FALSE)*VENTAS[[#This Row],[Cantidad]],VENTAS[[#This Row],[Total]])</f>
        <v>13.4444444444444</v>
      </c>
      <c r="L404" s="35">
        <f>VENTAS[[#This Row],[Total]]-VENTAS[[#This Row],[Comisión 10%]]-VENTAS[[#This Row],[Costo SIN Comision]]</f>
        <v>6.5555555555556</v>
      </c>
      <c r="M404" s="35"/>
    </row>
    <row r="405" ht="20" customHeight="1" spans="1:13">
      <c r="A405" s="65" t="s">
        <v>3378</v>
      </c>
      <c r="B405" s="30"/>
      <c r="C405" s="30"/>
      <c r="D405" s="30"/>
      <c r="E405" s="30" t="s">
        <v>1170</v>
      </c>
      <c r="F405" s="34" t="str">
        <f>IFERROR(VLOOKUP(VENTAS[[#This Row],[Código del producto Vendido]],STOCK[],5,FALSE),"-")</f>
        <v>Pullover Dazy cuello redondo Blanco</v>
      </c>
      <c r="G405" s="34">
        <v>1</v>
      </c>
      <c r="H405" s="35">
        <v>14</v>
      </c>
      <c r="I405" s="35">
        <f>VENTAS[[#This Row],[Cantidad]]*VENTAS[[#This Row],[Precio Venta]]</f>
        <v>14</v>
      </c>
      <c r="J405" s="35">
        <f>IF(VENTAS[[#This Row],[Nombre del Gestor]]&gt;1,VENTAS[[#This Row],[Total]]*10%,0)</f>
        <v>0</v>
      </c>
      <c r="K405" s="35">
        <f>IFERROR(VLOOKUP(VENTAS[[#This Row],[Código del producto Vendido]],STOCK[],16,FALSE)*VENTAS[[#This Row],[Cantidad]]+VLOOKUP(VENTAS[[#This Row],[Código del producto Vendido]],STOCK[],19,FALSE)*VENTAS[[#This Row],[Cantidad]],VENTAS[[#This Row],[Total]])</f>
        <v>8.61</v>
      </c>
      <c r="L405" s="35">
        <f>VENTAS[[#This Row],[Total]]-VENTAS[[#This Row],[Comisión 10%]]-VENTAS[[#This Row],[Costo SIN Comision]]</f>
        <v>5.39</v>
      </c>
      <c r="M405" s="35"/>
    </row>
    <row r="406" ht="20" customHeight="1" spans="1:13">
      <c r="A406" s="64" t="s">
        <v>3378</v>
      </c>
      <c r="B406" s="30"/>
      <c r="C406" s="30" t="s">
        <v>3380</v>
      </c>
      <c r="D406" s="30"/>
      <c r="E406" s="30" t="s">
        <v>1158</v>
      </c>
      <c r="F406" s="34" t="str">
        <f>IFERROR(VLOOKUP(VENTAS[[#This Row],[Código del producto Vendido]],STOCK[],5,FALSE),"-")</f>
        <v>Pullover negro cuello redondo</v>
      </c>
      <c r="G406" s="34">
        <v>1</v>
      </c>
      <c r="H406" s="35">
        <v>14</v>
      </c>
      <c r="I406" s="35">
        <f>VENTAS[[#This Row],[Cantidad]]*VENTAS[[#This Row],[Precio Venta]]</f>
        <v>14</v>
      </c>
      <c r="J406" s="35">
        <f>IF(VENTAS[[#This Row],[Nombre del Gestor]]&gt;1,VENTAS[[#This Row],[Total]]*10%,0)</f>
        <v>0</v>
      </c>
      <c r="K406" s="35">
        <f>IFERROR(VLOOKUP(VENTAS[[#This Row],[Código del producto Vendido]],STOCK[],16,FALSE)*VENTAS[[#This Row],[Cantidad]]+VLOOKUP(VENTAS[[#This Row],[Código del producto Vendido]],STOCK[],19,FALSE)*VENTAS[[#This Row],[Cantidad]],VENTAS[[#This Row],[Total]])</f>
        <v>8.53</v>
      </c>
      <c r="L406" s="35">
        <f>VENTAS[[#This Row],[Total]]-VENTAS[[#This Row],[Comisión 10%]]-VENTAS[[#This Row],[Costo SIN Comision]]</f>
        <v>5.47</v>
      </c>
      <c r="M406" s="35"/>
    </row>
    <row r="407" ht="20" customHeight="1" spans="1:13">
      <c r="A407" s="65" t="s">
        <v>3378</v>
      </c>
      <c r="B407" s="30"/>
      <c r="C407" s="30" t="s">
        <v>3380</v>
      </c>
      <c r="D407" s="30"/>
      <c r="E407" s="30" t="s">
        <v>1231</v>
      </c>
      <c r="F407" s="34" t="str">
        <f>IFERROR(VLOOKUP(VENTAS[[#This Row],[Código del producto Vendido]],STOCK[],5,FALSE),"-")</f>
        <v>Short elegante de pierna ancha con doblez </v>
      </c>
      <c r="G407" s="34">
        <v>1</v>
      </c>
      <c r="H407" s="35">
        <v>20</v>
      </c>
      <c r="I407" s="35">
        <f>VENTAS[[#This Row],[Cantidad]]*VENTAS[[#This Row],[Precio Venta]]</f>
        <v>20</v>
      </c>
      <c r="J407" s="35">
        <f>IF(VENTAS[[#This Row],[Nombre del Gestor]]&gt;1,VENTAS[[#This Row],[Total]]*10%,0)</f>
        <v>0</v>
      </c>
      <c r="K407" s="35">
        <f>IFERROR(VLOOKUP(VENTAS[[#This Row],[Código del producto Vendido]],STOCK[],16,FALSE)*VENTAS[[#This Row],[Cantidad]]+VLOOKUP(VENTAS[[#This Row],[Código del producto Vendido]],STOCK[],19,FALSE)*VENTAS[[#This Row],[Cantidad]],VENTAS[[#This Row],[Total]])</f>
        <v>14.37</v>
      </c>
      <c r="L407" s="35">
        <f>VENTAS[[#This Row],[Total]]-VENTAS[[#This Row],[Comisión 10%]]-VENTAS[[#This Row],[Costo SIN Comision]]</f>
        <v>5.63</v>
      </c>
      <c r="M407" s="35"/>
    </row>
    <row r="408" ht="20" customHeight="1" spans="1:13">
      <c r="A408" s="64" t="s">
        <v>3378</v>
      </c>
      <c r="B408" s="30"/>
      <c r="C408" s="30" t="s">
        <v>3380</v>
      </c>
      <c r="D408" s="30"/>
      <c r="E408" s="30" t="s">
        <v>1235</v>
      </c>
      <c r="F408" s="34" t="str">
        <f>IFERROR(VLOOKUP(VENTAS[[#This Row],[Código del producto Vendido]],STOCK[],5,FALSE),"-")</f>
        <v>Cinturón de hebilla dorada</v>
      </c>
      <c r="G408" s="34">
        <v>1</v>
      </c>
      <c r="H408" s="35">
        <v>12</v>
      </c>
      <c r="I408" s="35">
        <f>VENTAS[[#This Row],[Cantidad]]*VENTAS[[#This Row],[Precio Venta]]</f>
        <v>12</v>
      </c>
      <c r="J408" s="35">
        <f>IF(VENTAS[[#This Row],[Nombre del Gestor]]&gt;1,VENTAS[[#This Row],[Total]]*10%,0)</f>
        <v>0</v>
      </c>
      <c r="K408" s="35">
        <f>IFERROR(VLOOKUP(VENTAS[[#This Row],[Código del producto Vendido]],STOCK[],16,FALSE)*VENTAS[[#This Row],[Cantidad]]+VLOOKUP(VENTAS[[#This Row],[Código del producto Vendido]],STOCK[],19,FALSE)*VENTAS[[#This Row],[Cantidad]],VENTAS[[#This Row],[Total]])</f>
        <v>5.17</v>
      </c>
      <c r="L408" s="35">
        <f>VENTAS[[#This Row],[Total]]-VENTAS[[#This Row],[Comisión 10%]]-VENTAS[[#This Row],[Costo SIN Comision]]</f>
        <v>6.83</v>
      </c>
      <c r="M408" s="35"/>
    </row>
    <row r="409" ht="20" customHeight="1" spans="1:13">
      <c r="A409" s="65" t="s">
        <v>3378</v>
      </c>
      <c r="B409" s="30"/>
      <c r="C409" s="30" t="s">
        <v>3380</v>
      </c>
      <c r="D409" s="30"/>
      <c r="E409" s="30" t="s">
        <v>1239</v>
      </c>
      <c r="F409" s="34" t="str">
        <f>IFERROR(VLOOKUP(VENTAS[[#This Row],[Código del producto Vendido]],STOCK[],5,FALSE),"-")</f>
        <v>Cinturón negro con hebilla dorada</v>
      </c>
      <c r="G409" s="34">
        <v>1</v>
      </c>
      <c r="H409" s="35">
        <v>12</v>
      </c>
      <c r="I409" s="35">
        <f>VENTAS[[#This Row],[Cantidad]]*VENTAS[[#This Row],[Precio Venta]]</f>
        <v>12</v>
      </c>
      <c r="J409" s="35">
        <f>IF(VENTAS[[#This Row],[Nombre del Gestor]]&gt;1,VENTAS[[#This Row],[Total]]*10%,0)</f>
        <v>0</v>
      </c>
      <c r="K409" s="35">
        <f>IFERROR(VLOOKUP(VENTAS[[#This Row],[Código del producto Vendido]],STOCK[],16,FALSE)*VENTAS[[#This Row],[Cantidad]]+VLOOKUP(VENTAS[[#This Row],[Código del producto Vendido]],STOCK[],19,FALSE)*VENTAS[[#This Row],[Cantidad]],VENTAS[[#This Row],[Total]])</f>
        <v>4.61</v>
      </c>
      <c r="L409" s="35">
        <f>VENTAS[[#This Row],[Total]]-VENTAS[[#This Row],[Comisión 10%]]-VENTAS[[#This Row],[Costo SIN Comision]]</f>
        <v>7.39</v>
      </c>
      <c r="M409" s="35"/>
    </row>
    <row r="410" ht="20" customHeight="1" spans="1:13">
      <c r="A410" s="64" t="s">
        <v>3378</v>
      </c>
      <c r="B410" s="30"/>
      <c r="C410" s="30" t="s">
        <v>3381</v>
      </c>
      <c r="D410" s="30"/>
      <c r="E410" s="30" t="s">
        <v>1263</v>
      </c>
      <c r="F410" s="34" t="str">
        <f>IFERROR(VLOOKUP(VENTAS[[#This Row],[Código del producto Vendido]],STOCK[],5,FALSE),"-")</f>
        <v>Pantaloneta negra con abertura</v>
      </c>
      <c r="G410" s="34">
        <v>1</v>
      </c>
      <c r="H410" s="35">
        <v>23</v>
      </c>
      <c r="I410" s="35">
        <f>VENTAS[[#This Row],[Cantidad]]*VENTAS[[#This Row],[Precio Venta]]</f>
        <v>23</v>
      </c>
      <c r="J410" s="35">
        <f>IF(VENTAS[[#This Row],[Nombre del Gestor]]&gt;1,VENTAS[[#This Row],[Total]]*10%,0)</f>
        <v>0</v>
      </c>
      <c r="K410" s="35">
        <f>IFERROR(VLOOKUP(VENTAS[[#This Row],[Código del producto Vendido]],STOCK[],16,FALSE)*VENTAS[[#This Row],[Cantidad]]+VLOOKUP(VENTAS[[#This Row],[Código del producto Vendido]],STOCK[],19,FALSE)*VENTAS[[#This Row],[Cantidad]],VENTAS[[#This Row],[Total]])</f>
        <v>15.22</v>
      </c>
      <c r="L410" s="35">
        <f>VENTAS[[#This Row],[Total]]-VENTAS[[#This Row],[Comisión 10%]]-VENTAS[[#This Row],[Costo SIN Comision]]</f>
        <v>7.78</v>
      </c>
      <c r="M410" s="35"/>
    </row>
    <row r="411" ht="20" customHeight="1" spans="1:13">
      <c r="A411" s="65" t="s">
        <v>3378</v>
      </c>
      <c r="B411" s="30"/>
      <c r="C411" s="30" t="s">
        <v>3381</v>
      </c>
      <c r="D411" s="30"/>
      <c r="E411" s="30" t="s">
        <v>1265</v>
      </c>
      <c r="F411" s="34" t="str">
        <f>IFERROR(VLOOKUP(VENTAS[[#This Row],[Código del producto Vendido]],STOCK[],5,FALSE),"-")</f>
        <v>Top asimétrico blanco</v>
      </c>
      <c r="G411" s="34">
        <v>1</v>
      </c>
      <c r="H411" s="35">
        <v>12</v>
      </c>
      <c r="I411" s="35">
        <f>VENTAS[[#This Row],[Cantidad]]*VENTAS[[#This Row],[Precio Venta]]</f>
        <v>12</v>
      </c>
      <c r="J411" s="35">
        <f>IF(VENTAS[[#This Row],[Nombre del Gestor]]&gt;1,VENTAS[[#This Row],[Total]]*10%,0)</f>
        <v>0</v>
      </c>
      <c r="K411" s="35">
        <f>IFERROR(VLOOKUP(VENTAS[[#This Row],[Código del producto Vendido]],STOCK[],16,FALSE)*VENTAS[[#This Row],[Cantidad]]+VLOOKUP(VENTAS[[#This Row],[Código del producto Vendido]],STOCK[],19,FALSE)*VENTAS[[#This Row],[Cantidad]],VENTAS[[#This Row],[Total]])</f>
        <v>5.77</v>
      </c>
      <c r="L411" s="35">
        <f>VENTAS[[#This Row],[Total]]-VENTAS[[#This Row],[Comisión 10%]]-VENTAS[[#This Row],[Costo SIN Comision]]</f>
        <v>6.23</v>
      </c>
      <c r="M411" s="35"/>
    </row>
    <row r="412" ht="20" customHeight="1" spans="1:13">
      <c r="A412" s="64" t="s">
        <v>3378</v>
      </c>
      <c r="B412" s="30"/>
      <c r="C412" s="30" t="s">
        <v>3381</v>
      </c>
      <c r="D412" s="30"/>
      <c r="E412" s="30" t="s">
        <v>1286</v>
      </c>
      <c r="F412" s="34" t="str">
        <f>IFERROR(VLOOKUP(VENTAS[[#This Row],[Código del producto Vendido]],STOCK[],5,FALSE),"-")</f>
        <v>Pantalón rosado fuccia</v>
      </c>
      <c r="G412" s="34">
        <v>1</v>
      </c>
      <c r="H412" s="35">
        <v>30</v>
      </c>
      <c r="I412" s="35">
        <f>VENTAS[[#This Row],[Cantidad]]*VENTAS[[#This Row],[Precio Venta]]</f>
        <v>30</v>
      </c>
      <c r="J412" s="35">
        <f>IF(VENTAS[[#This Row],[Nombre del Gestor]]&gt;1,VENTAS[[#This Row],[Total]]*10%,0)</f>
        <v>0</v>
      </c>
      <c r="K412" s="35">
        <f>IFERROR(VLOOKUP(VENTAS[[#This Row],[Código del producto Vendido]],STOCK[],16,FALSE)*VENTAS[[#This Row],[Cantidad]]+VLOOKUP(VENTAS[[#This Row],[Código del producto Vendido]],STOCK[],19,FALSE)*VENTAS[[#This Row],[Cantidad]],VENTAS[[#This Row],[Total]])</f>
        <v>20.78</v>
      </c>
      <c r="L412" s="35">
        <f>VENTAS[[#This Row],[Total]]-VENTAS[[#This Row],[Comisión 10%]]-VENTAS[[#This Row],[Costo SIN Comision]]</f>
        <v>9.22</v>
      </c>
      <c r="M412" s="35"/>
    </row>
    <row r="413" ht="20" customHeight="1" spans="1:13">
      <c r="A413" s="65" t="s">
        <v>3378</v>
      </c>
      <c r="B413" s="30"/>
      <c r="C413" s="30" t="s">
        <v>3381</v>
      </c>
      <c r="D413" s="30"/>
      <c r="E413" s="30" t="s">
        <v>3382</v>
      </c>
      <c r="F413" s="34" t="str">
        <f>IFERROR(VLOOKUP(VENTAS[[#This Row],[Código del producto Vendido]],STOCK[],5,FALSE),"-")</f>
        <v>-</v>
      </c>
      <c r="G413" s="34">
        <v>1</v>
      </c>
      <c r="H413" s="35">
        <v>30</v>
      </c>
      <c r="I413" s="35">
        <f>VENTAS[[#This Row],[Cantidad]]*VENTAS[[#This Row],[Precio Venta]]</f>
        <v>30</v>
      </c>
      <c r="J413" s="35">
        <f>IF(VENTAS[[#This Row],[Nombre del Gestor]]&gt;1,VENTAS[[#This Row],[Total]]*10%,0)</f>
        <v>0</v>
      </c>
      <c r="K413" s="35">
        <f>IFERROR(VLOOKUP(VENTAS[[#This Row],[Código del producto Vendido]],STOCK[],16,FALSE)*VENTAS[[#This Row],[Cantidad]]+VLOOKUP(VENTAS[[#This Row],[Código del producto Vendido]],STOCK[],19,FALSE)*VENTAS[[#This Row],[Cantidad]],VENTAS[[#This Row],[Total]])</f>
        <v>30</v>
      </c>
      <c r="L413" s="35">
        <f>VENTAS[[#This Row],[Total]]-VENTAS[[#This Row],[Comisión 10%]]-VENTAS[[#This Row],[Costo SIN Comision]]</f>
        <v>0</v>
      </c>
      <c r="M413" s="35"/>
    </row>
    <row r="414" ht="20" customHeight="1" spans="1:13">
      <c r="A414" s="64" t="s">
        <v>3378</v>
      </c>
      <c r="B414" s="30"/>
      <c r="C414" s="30" t="s">
        <v>3381</v>
      </c>
      <c r="D414" s="30"/>
      <c r="E414" s="30" t="s">
        <v>961</v>
      </c>
      <c r="F414" s="34" t="str">
        <f>IFERROR(VLOOKUP(VENTAS[[#This Row],[Código del producto Vendido]],STOCK[],5,FALSE),"-")</f>
        <v>Pantalón Business Básico</v>
      </c>
      <c r="G414" s="34">
        <v>1</v>
      </c>
      <c r="H414" s="35">
        <v>30</v>
      </c>
      <c r="I414" s="35">
        <f>VENTAS[[#This Row],[Cantidad]]*VENTAS[[#This Row],[Precio Venta]]</f>
        <v>30</v>
      </c>
      <c r="J414" s="35">
        <f>IF(VENTAS[[#This Row],[Nombre del Gestor]]&gt;1,VENTAS[[#This Row],[Total]]*10%,0)</f>
        <v>0</v>
      </c>
      <c r="K414" s="35">
        <f>IFERROR(VLOOKUP(VENTAS[[#This Row],[Código del producto Vendido]],STOCK[],16,FALSE)*VENTAS[[#This Row],[Cantidad]]+VLOOKUP(VENTAS[[#This Row],[Código del producto Vendido]],STOCK[],19,FALSE)*VENTAS[[#This Row],[Cantidad]],VENTAS[[#This Row],[Total]])</f>
        <v>21.3722727272727</v>
      </c>
      <c r="L414" s="35">
        <f>VENTAS[[#This Row],[Total]]-VENTAS[[#This Row],[Comisión 10%]]-VENTAS[[#This Row],[Costo SIN Comision]]</f>
        <v>8.6277272727273</v>
      </c>
      <c r="M414" s="35"/>
    </row>
    <row r="415" ht="20" customHeight="1" spans="1:13">
      <c r="A415" s="65" t="s">
        <v>3378</v>
      </c>
      <c r="B415" s="30"/>
      <c r="C415" s="30" t="s">
        <v>3381</v>
      </c>
      <c r="D415" s="30"/>
      <c r="E415" s="30" t="s">
        <v>431</v>
      </c>
      <c r="F415" s="34" t="str">
        <f>IFERROR(VLOOKUP(VENTAS[[#This Row],[Código del producto Vendido]],STOCK[],5,FALSE),"-")</f>
        <v>Vestido con cordón de espalda cruzada</v>
      </c>
      <c r="G415" s="34">
        <v>1</v>
      </c>
      <c r="H415" s="35">
        <v>28</v>
      </c>
      <c r="I415" s="35">
        <f>VENTAS[[#This Row],[Cantidad]]*VENTAS[[#This Row],[Precio Venta]]</f>
        <v>28</v>
      </c>
      <c r="J415" s="35">
        <f>IF(VENTAS[[#This Row],[Nombre del Gestor]]&gt;1,VENTAS[[#This Row],[Total]]*10%,0)</f>
        <v>0</v>
      </c>
      <c r="K415" s="35">
        <f>IFERROR(VLOOKUP(VENTAS[[#This Row],[Código del producto Vendido]],STOCK[],16,FALSE)*VENTAS[[#This Row],[Cantidad]]+VLOOKUP(VENTAS[[#This Row],[Código del producto Vendido]],STOCK[],19,FALSE)*VENTAS[[#This Row],[Cantidad]],VENTAS[[#This Row],[Total]])</f>
        <v>15.9077777777778</v>
      </c>
      <c r="L415" s="35">
        <f>VENTAS[[#This Row],[Total]]-VENTAS[[#This Row],[Comisión 10%]]-VENTAS[[#This Row],[Costo SIN Comision]]</f>
        <v>12.0922222222222</v>
      </c>
      <c r="M415" s="35"/>
    </row>
    <row r="416" ht="20" customHeight="1" spans="1:13">
      <c r="A416" s="64" t="s">
        <v>3378</v>
      </c>
      <c r="B416" s="30"/>
      <c r="C416" s="30" t="s">
        <v>3383</v>
      </c>
      <c r="D416" s="30"/>
      <c r="E416" s="30" t="s">
        <v>228</v>
      </c>
      <c r="F416" s="34" t="str">
        <f>IFERROR(VLOOKUP(VENTAS[[#This Row],[Código del producto Vendido]],STOCK[],5,FALSE),"-")</f>
        <v>Pantalón pierna ancha con cinturón</v>
      </c>
      <c r="G416" s="34">
        <v>1</v>
      </c>
      <c r="H416" s="35">
        <v>25</v>
      </c>
      <c r="I416" s="35">
        <f>VENTAS[[#This Row],[Cantidad]]*VENTAS[[#This Row],[Precio Venta]]</f>
        <v>25</v>
      </c>
      <c r="J416" s="35">
        <f>IF(VENTAS[[#This Row],[Nombre del Gestor]]&gt;1,VENTAS[[#This Row],[Total]]*10%,0)</f>
        <v>0</v>
      </c>
      <c r="K416" s="35">
        <f>IFERROR(VLOOKUP(VENTAS[[#This Row],[Código del producto Vendido]],STOCK[],16,FALSE)*VENTAS[[#This Row],[Cantidad]]+VLOOKUP(VENTAS[[#This Row],[Código del producto Vendido]],STOCK[],19,FALSE)*VENTAS[[#This Row],[Cantidad]],VENTAS[[#This Row],[Total]])</f>
        <v>13.9444444444444</v>
      </c>
      <c r="L416" s="35">
        <f>VENTAS[[#This Row],[Total]]-VENTAS[[#This Row],[Comisión 10%]]-VENTAS[[#This Row],[Costo SIN Comision]]</f>
        <v>11.0555555555556</v>
      </c>
      <c r="M416" s="35"/>
    </row>
    <row r="417" ht="20" customHeight="1" spans="1:13">
      <c r="A417" s="65" t="s">
        <v>3384</v>
      </c>
      <c r="B417" s="30"/>
      <c r="C417" s="30" t="s">
        <v>3383</v>
      </c>
      <c r="D417" s="30"/>
      <c r="E417" s="30" t="s">
        <v>1050</v>
      </c>
      <c r="F417" s="34" t="str">
        <f>IFERROR(VLOOKUP(VENTAS[[#This Row],[Código del producto Vendido]],STOCK[],5,FALSE),"-")</f>
        <v>Pantaloneta Camel</v>
      </c>
      <c r="G417" s="34">
        <v>1</v>
      </c>
      <c r="H417" s="35">
        <v>30</v>
      </c>
      <c r="I417" s="35">
        <f>VENTAS[[#This Row],[Cantidad]]*VENTAS[[#This Row],[Precio Venta]]</f>
        <v>30</v>
      </c>
      <c r="J417" s="35">
        <f>IF(VENTAS[[#This Row],[Nombre del Gestor]]&gt;1,VENTAS[[#This Row],[Total]]*10%,0)</f>
        <v>0</v>
      </c>
      <c r="K417" s="35">
        <f>IFERROR(VLOOKUP(VENTAS[[#This Row],[Código del producto Vendido]],STOCK[],16,FALSE)*VENTAS[[#This Row],[Cantidad]]+VLOOKUP(VENTAS[[#This Row],[Código del producto Vendido]],STOCK[],19,FALSE)*VENTAS[[#This Row],[Cantidad]],VENTAS[[#This Row],[Total]])</f>
        <v>18.6477272727273</v>
      </c>
      <c r="L417" s="35">
        <f>VENTAS[[#This Row],[Total]]-VENTAS[[#This Row],[Comisión 10%]]-VENTAS[[#This Row],[Costo SIN Comision]]</f>
        <v>11.3522727272727</v>
      </c>
      <c r="M417" s="35"/>
    </row>
    <row r="418" ht="20" customHeight="1" spans="1:13">
      <c r="A418" s="64" t="s">
        <v>3384</v>
      </c>
      <c r="B418" s="30"/>
      <c r="C418" s="30" t="s">
        <v>3381</v>
      </c>
      <c r="D418" s="30"/>
      <c r="E418" s="30" t="s">
        <v>1200</v>
      </c>
      <c r="F418" s="34" t="str">
        <f>IFERROR(VLOOKUP(VENTAS[[#This Row],[Código del producto Vendido]],STOCK[],5,FALSE),"-")</f>
        <v>Camisa Blanca</v>
      </c>
      <c r="G418" s="34">
        <v>1</v>
      </c>
      <c r="H418" s="35">
        <v>20</v>
      </c>
      <c r="I418" s="35">
        <f>VENTAS[[#This Row],[Cantidad]]*VENTAS[[#This Row],[Precio Venta]]</f>
        <v>20</v>
      </c>
      <c r="J418" s="35">
        <f>IF(VENTAS[[#This Row],[Nombre del Gestor]]&gt;1,VENTAS[[#This Row],[Total]]*10%,0)</f>
        <v>0</v>
      </c>
      <c r="K418" s="35">
        <f>IFERROR(VLOOKUP(VENTAS[[#This Row],[Código del producto Vendido]],STOCK[],16,FALSE)*VENTAS[[#This Row],[Cantidad]]+VLOOKUP(VENTAS[[#This Row],[Código del producto Vendido]],STOCK[],19,FALSE)*VENTAS[[#This Row],[Cantidad]],VENTAS[[#This Row],[Total]])</f>
        <v>12.9</v>
      </c>
      <c r="L418" s="35">
        <f>VENTAS[[#This Row],[Total]]-VENTAS[[#This Row],[Comisión 10%]]-VENTAS[[#This Row],[Costo SIN Comision]]</f>
        <v>7.1</v>
      </c>
      <c r="M418" s="35"/>
    </row>
    <row r="419" ht="20" customHeight="1" spans="1:13">
      <c r="A419" s="65" t="s">
        <v>3384</v>
      </c>
      <c r="B419" s="30"/>
      <c r="C419" s="30" t="s">
        <v>3345</v>
      </c>
      <c r="D419" s="30"/>
      <c r="E419" s="30" t="s">
        <v>1202</v>
      </c>
      <c r="F419" s="34" t="str">
        <f>IFERROR(VLOOKUP(VENTAS[[#This Row],[Código del producto Vendido]],STOCK[],5,FALSE),"-")</f>
        <v>Camisa Blanca</v>
      </c>
      <c r="G419" s="34">
        <v>1</v>
      </c>
      <c r="H419" s="35">
        <v>20</v>
      </c>
      <c r="I419" s="35">
        <f>VENTAS[[#This Row],[Cantidad]]*VENTAS[[#This Row],[Precio Venta]]</f>
        <v>20</v>
      </c>
      <c r="J419" s="35">
        <f>IF(VENTAS[[#This Row],[Nombre del Gestor]]&gt;1,VENTAS[[#This Row],[Total]]*10%,0)</f>
        <v>0</v>
      </c>
      <c r="K419" s="35">
        <f>IFERROR(VLOOKUP(VENTAS[[#This Row],[Código del producto Vendido]],STOCK[],16,FALSE)*VENTAS[[#This Row],[Cantidad]]+VLOOKUP(VENTAS[[#This Row],[Código del producto Vendido]],STOCK[],19,FALSE)*VENTAS[[#This Row],[Cantidad]],VENTAS[[#This Row],[Total]])</f>
        <v>12.9</v>
      </c>
      <c r="L419" s="35">
        <f>VENTAS[[#This Row],[Total]]-VENTAS[[#This Row],[Comisión 10%]]-VENTAS[[#This Row],[Costo SIN Comision]]</f>
        <v>7.1</v>
      </c>
      <c r="M419" s="35"/>
    </row>
    <row r="420" ht="20" customHeight="1" spans="1:13">
      <c r="A420" s="64" t="s">
        <v>3384</v>
      </c>
      <c r="B420" s="30"/>
      <c r="C420" s="30" t="s">
        <v>3345</v>
      </c>
      <c r="D420" s="30"/>
      <c r="E420" s="30" t="s">
        <v>1182</v>
      </c>
      <c r="F420" s="34" t="str">
        <f>IFERROR(VLOOKUP(VENTAS[[#This Row],[Código del producto Vendido]],STOCK[],5,FALSE),"-")</f>
        <v>Short de mezclilla clara con doblez</v>
      </c>
      <c r="G420" s="34">
        <v>1</v>
      </c>
      <c r="H420" s="35">
        <v>25</v>
      </c>
      <c r="I420" s="35">
        <f>VENTAS[[#This Row],[Cantidad]]*VENTAS[[#This Row],[Precio Venta]]</f>
        <v>25</v>
      </c>
      <c r="J420" s="35">
        <f>IF(VENTAS[[#This Row],[Nombre del Gestor]]&gt;1,VENTAS[[#This Row],[Total]]*10%,0)</f>
        <v>0</v>
      </c>
      <c r="K420" s="35">
        <f>IFERROR(VLOOKUP(VENTAS[[#This Row],[Código del producto Vendido]],STOCK[],16,FALSE)*VENTAS[[#This Row],[Cantidad]]+VLOOKUP(VENTAS[[#This Row],[Código del producto Vendido]],STOCK[],19,FALSE)*VENTAS[[#This Row],[Cantidad]],VENTAS[[#This Row],[Total]])</f>
        <v>14.29</v>
      </c>
      <c r="L420" s="35">
        <f>VENTAS[[#This Row],[Total]]-VENTAS[[#This Row],[Comisión 10%]]-VENTAS[[#This Row],[Costo SIN Comision]]</f>
        <v>10.71</v>
      </c>
      <c r="M420" s="35"/>
    </row>
    <row r="421" ht="20" customHeight="1" spans="1:13">
      <c r="A421" s="65" t="s">
        <v>3384</v>
      </c>
      <c r="B421" s="30"/>
      <c r="C421" s="30" t="s">
        <v>3381</v>
      </c>
      <c r="D421" s="30"/>
      <c r="E421" s="30" t="s">
        <v>1121</v>
      </c>
      <c r="F421" s="34" t="str">
        <f>IFERROR(VLOOKUP(VENTAS[[#This Row],[Código del producto Vendido]],STOCK[],5,FALSE),"-")</f>
        <v>Set de lencería de encaje</v>
      </c>
      <c r="G421" s="34">
        <v>1</v>
      </c>
      <c r="H421" s="35">
        <v>15</v>
      </c>
      <c r="I421" s="35">
        <f>VENTAS[[#This Row],[Cantidad]]*VENTAS[[#This Row],[Precio Venta]]</f>
        <v>15</v>
      </c>
      <c r="J421" s="35">
        <f>IF(VENTAS[[#This Row],[Nombre del Gestor]]&gt;1,VENTAS[[#This Row],[Total]]*10%,0)</f>
        <v>0</v>
      </c>
      <c r="K421" s="35">
        <f>IFERROR(VLOOKUP(VENTAS[[#This Row],[Código del producto Vendido]],STOCK[],16,FALSE)*VENTAS[[#This Row],[Cantidad]]+VLOOKUP(VENTAS[[#This Row],[Código del producto Vendido]],STOCK[],19,FALSE)*VENTAS[[#This Row],[Cantidad]],VENTAS[[#This Row],[Total]])</f>
        <v>7.10882352941176</v>
      </c>
      <c r="L421" s="35">
        <f>VENTAS[[#This Row],[Total]]-VENTAS[[#This Row],[Comisión 10%]]-VENTAS[[#This Row],[Costo SIN Comision]]</f>
        <v>7.89117647058824</v>
      </c>
      <c r="M421" s="35"/>
    </row>
    <row r="422" ht="20" customHeight="1" spans="1:13">
      <c r="A422" s="64" t="s">
        <v>3384</v>
      </c>
      <c r="B422" s="30"/>
      <c r="C422" s="30" t="s">
        <v>3345</v>
      </c>
      <c r="D422" s="30"/>
      <c r="E422" s="30" t="s">
        <v>1005</v>
      </c>
      <c r="F422" s="34" t="str">
        <f>IFERROR(VLOOKUP(VENTAS[[#This Row],[Código del producto Vendido]],STOCK[],5,FALSE),"-")</f>
        <v>Bañador una pieza con estampado de planta cremallera</v>
      </c>
      <c r="G422" s="34">
        <v>1</v>
      </c>
      <c r="H422" s="35">
        <v>25</v>
      </c>
      <c r="I422" s="35">
        <f>VENTAS[[#This Row],[Cantidad]]*VENTAS[[#This Row],[Precio Venta]]</f>
        <v>25</v>
      </c>
      <c r="J422" s="35">
        <f>IF(VENTAS[[#This Row],[Nombre del Gestor]]&gt;1,VENTAS[[#This Row],[Total]]*10%,0)</f>
        <v>0</v>
      </c>
      <c r="K422" s="35">
        <f>IFERROR(VLOOKUP(VENTAS[[#This Row],[Código del producto Vendido]],STOCK[],16,FALSE)*VENTAS[[#This Row],[Cantidad]]+VLOOKUP(VENTAS[[#This Row],[Código del producto Vendido]],STOCK[],19,FALSE)*VENTAS[[#This Row],[Cantidad]],VENTAS[[#This Row],[Total]])</f>
        <v>14.6454545454545</v>
      </c>
      <c r="L422" s="35">
        <f>VENTAS[[#This Row],[Total]]-VENTAS[[#This Row],[Comisión 10%]]-VENTAS[[#This Row],[Costo SIN Comision]]</f>
        <v>10.3545454545455</v>
      </c>
      <c r="M422" s="35"/>
    </row>
    <row r="423" ht="20" customHeight="1" spans="1:13">
      <c r="A423" s="65" t="s">
        <v>3384</v>
      </c>
      <c r="B423" s="30"/>
      <c r="C423" s="30" t="s">
        <v>3346</v>
      </c>
      <c r="D423" s="30"/>
      <c r="E423" s="30" t="s">
        <v>1251</v>
      </c>
      <c r="F423" s="34" t="str">
        <f>IFERROR(VLOOKUP(VENTAS[[#This Row],[Código del producto Vendido]],STOCK[],5,FALSE),"-")</f>
        <v>Pantaloneta verde</v>
      </c>
      <c r="G423" s="34">
        <v>1</v>
      </c>
      <c r="H423" s="35">
        <v>18.52</v>
      </c>
      <c r="I423" s="35">
        <f>VENTAS[[#This Row],[Cantidad]]*VENTAS[[#This Row],[Precio Venta]]</f>
        <v>18.52</v>
      </c>
      <c r="J423" s="35">
        <f>IF(VENTAS[[#This Row],[Nombre del Gestor]]&gt;1,VENTAS[[#This Row],[Total]]*10%,0)</f>
        <v>0</v>
      </c>
      <c r="K423" s="35">
        <f>IFERROR(VLOOKUP(VENTAS[[#This Row],[Código del producto Vendido]],STOCK[],16,FALSE)*VENTAS[[#This Row],[Cantidad]]+VLOOKUP(VENTAS[[#This Row],[Código del producto Vendido]],STOCK[],19,FALSE)*VENTAS[[#This Row],[Cantidad]],VENTAS[[#This Row],[Total]])</f>
        <v>18.3</v>
      </c>
      <c r="L423" s="35">
        <f>VENTAS[[#This Row],[Total]]-VENTAS[[#This Row],[Comisión 10%]]-VENTAS[[#This Row],[Costo SIN Comision]]</f>
        <v>0.219999999999999</v>
      </c>
      <c r="M423" s="35"/>
    </row>
    <row r="424" ht="20" customHeight="1" spans="1:13">
      <c r="A424" s="64" t="s">
        <v>3384</v>
      </c>
      <c r="B424" s="30"/>
      <c r="C424" s="30" t="s">
        <v>3381</v>
      </c>
      <c r="D424" s="30"/>
      <c r="E424" s="30" t="s">
        <v>1269</v>
      </c>
      <c r="F424" s="34" t="str">
        <f>IFERROR(VLOOKUP(VENTAS[[#This Row],[Código del producto Vendido]],STOCK[],5,FALSE),"-")</f>
        <v>Top blanco cuello V con encaje</v>
      </c>
      <c r="G424" s="34">
        <v>1</v>
      </c>
      <c r="H424" s="35">
        <v>12</v>
      </c>
      <c r="I424" s="35">
        <f>VENTAS[[#This Row],[Cantidad]]*VENTAS[[#This Row],[Precio Venta]]</f>
        <v>12</v>
      </c>
      <c r="J424" s="35">
        <f>IF(VENTAS[[#This Row],[Nombre del Gestor]]&gt;1,VENTAS[[#This Row],[Total]]*10%,0)</f>
        <v>0</v>
      </c>
      <c r="K424" s="35">
        <f>IFERROR(VLOOKUP(VENTAS[[#This Row],[Código del producto Vendido]],STOCK[],16,FALSE)*VENTAS[[#This Row],[Cantidad]]+VLOOKUP(VENTAS[[#This Row],[Código del producto Vendido]],STOCK[],19,FALSE)*VENTAS[[#This Row],[Cantidad]],VENTAS[[#This Row],[Total]])</f>
        <v>7.97</v>
      </c>
      <c r="L424" s="35">
        <f>VENTAS[[#This Row],[Total]]-VENTAS[[#This Row],[Comisión 10%]]-VENTAS[[#This Row],[Costo SIN Comision]]</f>
        <v>4.03</v>
      </c>
      <c r="M424" s="35"/>
    </row>
    <row r="425" ht="20" customHeight="1" spans="1:13">
      <c r="A425" s="65" t="s">
        <v>3384</v>
      </c>
      <c r="B425" s="30"/>
      <c r="C425" s="30" t="s">
        <v>3381</v>
      </c>
      <c r="D425" s="30"/>
      <c r="E425" s="30" t="s">
        <v>1277</v>
      </c>
      <c r="F425" s="34" t="str">
        <f>IFERROR(VLOOKUP(VENTAS[[#This Row],[Código del producto Vendido]],STOCK[],5,FALSE),"-")</f>
        <v>Top negro  cuello V con encaje</v>
      </c>
      <c r="G425" s="34">
        <v>1</v>
      </c>
      <c r="H425" s="35">
        <v>12</v>
      </c>
      <c r="I425" s="35">
        <f>VENTAS[[#This Row],[Cantidad]]*VENTAS[[#This Row],[Precio Venta]]</f>
        <v>12</v>
      </c>
      <c r="J425" s="35">
        <f>IF(VENTAS[[#This Row],[Nombre del Gestor]]&gt;1,VENTAS[[#This Row],[Total]]*10%,0)</f>
        <v>0</v>
      </c>
      <c r="K425" s="35">
        <f>IFERROR(VLOOKUP(VENTAS[[#This Row],[Código del producto Vendido]],STOCK[],16,FALSE)*VENTAS[[#This Row],[Cantidad]]+VLOOKUP(VENTAS[[#This Row],[Código del producto Vendido]],STOCK[],19,FALSE)*VENTAS[[#This Row],[Cantidad]],VENTAS[[#This Row],[Total]])</f>
        <v>8.09</v>
      </c>
      <c r="L425" s="35">
        <f>VENTAS[[#This Row],[Total]]-VENTAS[[#This Row],[Comisión 10%]]-VENTAS[[#This Row],[Costo SIN Comision]]</f>
        <v>3.91</v>
      </c>
      <c r="M425" s="35"/>
    </row>
    <row r="426" ht="20" customHeight="1" spans="1:13">
      <c r="A426" s="64" t="s">
        <v>3384</v>
      </c>
      <c r="B426" s="30"/>
      <c r="C426" s="30" t="s">
        <v>3381</v>
      </c>
      <c r="D426" s="30"/>
      <c r="E426" s="30" t="s">
        <v>1253</v>
      </c>
      <c r="F426" s="34" t="str">
        <f>IFERROR(VLOOKUP(VENTAS[[#This Row],[Código del producto Vendido]],STOCK[],5,FALSE),"-")</f>
        <v>Pantaloneta verde</v>
      </c>
      <c r="G426" s="34">
        <v>1</v>
      </c>
      <c r="H426" s="35">
        <v>25</v>
      </c>
      <c r="I426" s="35">
        <f>VENTAS[[#This Row],[Cantidad]]*VENTAS[[#This Row],[Precio Venta]]</f>
        <v>25</v>
      </c>
      <c r="J426" s="35">
        <f>IF(VENTAS[[#This Row],[Nombre del Gestor]]&gt;1,VENTAS[[#This Row],[Total]]*10%,0)</f>
        <v>0</v>
      </c>
      <c r="K426" s="35">
        <f>IFERROR(VLOOKUP(VENTAS[[#This Row],[Código del producto Vendido]],STOCK[],16,FALSE)*VENTAS[[#This Row],[Cantidad]]+VLOOKUP(VENTAS[[#This Row],[Código del producto Vendido]],STOCK[],19,FALSE)*VENTAS[[#This Row],[Cantidad]],VENTAS[[#This Row],[Total]])</f>
        <v>18.3</v>
      </c>
      <c r="L426" s="35">
        <f>VENTAS[[#This Row],[Total]]-VENTAS[[#This Row],[Comisión 10%]]-VENTAS[[#This Row],[Costo SIN Comision]]</f>
        <v>6.7</v>
      </c>
      <c r="M426" s="35"/>
    </row>
    <row r="427" ht="20" customHeight="1" spans="1:13">
      <c r="A427" s="65" t="s">
        <v>3384</v>
      </c>
      <c r="B427" s="30"/>
      <c r="C427" s="30" t="s">
        <v>3381</v>
      </c>
      <c r="D427" s="30"/>
      <c r="E427" s="30" t="s">
        <v>1100</v>
      </c>
      <c r="F427" s="34" t="str">
        <f>IFERROR(VLOOKUP(VENTAS[[#This Row],[Código del producto Vendido]],STOCK[],5,FALSE),"-")</f>
        <v>Sandalias crema</v>
      </c>
      <c r="G427" s="34">
        <v>1</v>
      </c>
      <c r="H427" s="35">
        <v>35</v>
      </c>
      <c r="I427" s="35">
        <f>VENTAS[[#This Row],[Cantidad]]*VENTAS[[#This Row],[Precio Venta]]</f>
        <v>35</v>
      </c>
      <c r="J427" s="35">
        <f>IF(VENTAS[[#This Row],[Nombre del Gestor]]&gt;1,VENTAS[[#This Row],[Total]]*10%,0)</f>
        <v>0</v>
      </c>
      <c r="K427" s="35">
        <f>IFERROR(VLOOKUP(VENTAS[[#This Row],[Código del producto Vendido]],STOCK[],16,FALSE)*VENTAS[[#This Row],[Cantidad]]+VLOOKUP(VENTAS[[#This Row],[Código del producto Vendido]],STOCK[],19,FALSE)*VENTAS[[#This Row],[Cantidad]],VENTAS[[#This Row],[Total]])</f>
        <v>26.8529411764706</v>
      </c>
      <c r="L427" s="35">
        <f>VENTAS[[#This Row],[Total]]-VENTAS[[#This Row],[Comisión 10%]]-VENTAS[[#This Row],[Costo SIN Comision]]</f>
        <v>8.1470588235294</v>
      </c>
      <c r="M427" s="35"/>
    </row>
    <row r="428" ht="20" customHeight="1" spans="1:13">
      <c r="A428" s="64" t="s">
        <v>3385</v>
      </c>
      <c r="B428" s="30"/>
      <c r="C428" s="30" t="s">
        <v>3386</v>
      </c>
      <c r="D428" s="30"/>
      <c r="E428" s="30" t="s">
        <v>1111</v>
      </c>
      <c r="F428" s="34" t="str">
        <f>IFERROR(VLOOKUP(VENTAS[[#This Row],[Código del producto Vendido]],STOCK[],5,FALSE),"-")</f>
        <v>Bolso de mimbre</v>
      </c>
      <c r="G428" s="34">
        <v>1</v>
      </c>
      <c r="H428" s="35">
        <v>12</v>
      </c>
      <c r="I428" s="35">
        <f>VENTAS[[#This Row],[Cantidad]]*VENTAS[[#This Row],[Precio Venta]]</f>
        <v>12</v>
      </c>
      <c r="J428" s="35">
        <f>IF(VENTAS[[#This Row],[Nombre del Gestor]]&gt;1,VENTAS[[#This Row],[Total]]*10%,0)</f>
        <v>0</v>
      </c>
      <c r="K428" s="35">
        <f>IFERROR(VLOOKUP(VENTAS[[#This Row],[Código del producto Vendido]],STOCK[],16,FALSE)*VENTAS[[#This Row],[Cantidad]]+VLOOKUP(VENTAS[[#This Row],[Código del producto Vendido]],STOCK[],19,FALSE)*VENTAS[[#This Row],[Cantidad]],VENTAS[[#This Row],[Total]])</f>
        <v>11.8286764705882</v>
      </c>
      <c r="L428" s="35">
        <f>VENTAS[[#This Row],[Total]]-VENTAS[[#This Row],[Comisión 10%]]-VENTAS[[#This Row],[Costo SIN Comision]]</f>
        <v>0.171323529411758</v>
      </c>
      <c r="M428" s="35"/>
    </row>
    <row r="429" ht="20" customHeight="1" spans="1:13">
      <c r="A429" s="65" t="s">
        <v>3385</v>
      </c>
      <c r="B429" s="30"/>
      <c r="C429" s="30" t="s">
        <v>3386</v>
      </c>
      <c r="D429" s="30"/>
      <c r="E429" s="30" t="s">
        <v>616</v>
      </c>
      <c r="F429" s="34" t="str">
        <f>IFERROR(VLOOKUP(VENTAS[[#This Row],[Código del producto Vendido]],STOCK[],5,FALSE),"-")</f>
        <v>Cinturón trenzado </v>
      </c>
      <c r="G429" s="34">
        <v>1</v>
      </c>
      <c r="H429" s="35">
        <v>10</v>
      </c>
      <c r="I429" s="35">
        <f>VENTAS[[#This Row],[Cantidad]]*VENTAS[[#This Row],[Precio Venta]]</f>
        <v>10</v>
      </c>
      <c r="J429" s="35">
        <f>IF(VENTAS[[#This Row],[Nombre del Gestor]]&gt;1,VENTAS[[#This Row],[Total]]*10%,0)</f>
        <v>0</v>
      </c>
      <c r="K429" s="35">
        <f>IFERROR(VLOOKUP(VENTAS[[#This Row],[Código del producto Vendido]],STOCK[],16,FALSE)*VENTAS[[#This Row],[Cantidad]]+VLOOKUP(VENTAS[[#This Row],[Código del producto Vendido]],STOCK[],19,FALSE)*VENTAS[[#This Row],[Cantidad]],VENTAS[[#This Row],[Total]])</f>
        <v>4.15</v>
      </c>
      <c r="L429" s="35">
        <f>VENTAS[[#This Row],[Total]]-VENTAS[[#This Row],[Comisión 10%]]-VENTAS[[#This Row],[Costo SIN Comision]]</f>
        <v>5.85</v>
      </c>
      <c r="M429" s="35"/>
    </row>
    <row r="430" ht="20" customHeight="1" spans="1:13">
      <c r="A430" s="64" t="s">
        <v>3387</v>
      </c>
      <c r="B430" s="30"/>
      <c r="C430" s="30" t="s">
        <v>3345</v>
      </c>
      <c r="D430" s="30"/>
      <c r="E430" s="30" t="s">
        <v>867</v>
      </c>
      <c r="F430" s="34" t="str">
        <f>IFERROR(VLOOKUP(VENTAS[[#This Row],[Código del producto Vendido]],STOCK[],5,FALSE),"-")</f>
        <v>Bikini push up</v>
      </c>
      <c r="G430" s="34">
        <v>1</v>
      </c>
      <c r="H430" s="35"/>
      <c r="I430" s="35">
        <f>VENTAS[[#This Row],[Cantidad]]*VENTAS[[#This Row],[Precio Venta]]</f>
        <v>0</v>
      </c>
      <c r="J430" s="35">
        <f>IF(VENTAS[[#This Row],[Nombre del Gestor]]&gt;1,VENTAS[[#This Row],[Total]]*10%,0)</f>
        <v>0</v>
      </c>
      <c r="K430" s="35">
        <f>IFERROR(VLOOKUP(VENTAS[[#This Row],[Código del producto Vendido]],STOCK[],16,FALSE)*VENTAS[[#This Row],[Cantidad]]+VLOOKUP(VENTAS[[#This Row],[Código del producto Vendido]],STOCK[],19,FALSE)*VENTAS[[#This Row],[Cantidad]],VENTAS[[#This Row],[Total]])</f>
        <v>10.3333333333333</v>
      </c>
      <c r="L430" s="35">
        <f>VENTAS[[#This Row],[Total]]-VENTAS[[#This Row],[Comisión 10%]]-VENTAS[[#This Row],[Costo SIN Comision]]</f>
        <v>-10.3333333333333</v>
      </c>
      <c r="M430" s="35"/>
    </row>
    <row r="431" ht="20" customHeight="1" spans="1:13">
      <c r="A431" s="64" t="s">
        <v>3388</v>
      </c>
      <c r="B431" s="30"/>
      <c r="C431" s="30" t="s">
        <v>3389</v>
      </c>
      <c r="D431" s="30"/>
      <c r="E431" s="30" t="s">
        <v>690</v>
      </c>
      <c r="F431" s="34" t="str">
        <f>IFERROR(VLOOKUP(VENTAS[[#This Row],[Código del producto Vendido]],STOCK[],5,FALSE),"-")</f>
        <v>Vestido con estampado de cereza</v>
      </c>
      <c r="G431" s="34">
        <v>1</v>
      </c>
      <c r="H431" s="35">
        <v>5</v>
      </c>
      <c r="I431" s="35">
        <f>VENTAS[[#This Row],[Cantidad]]*VENTAS[[#This Row],[Precio Venta]]</f>
        <v>5</v>
      </c>
      <c r="J431" s="35">
        <f>IF(VENTAS[[#This Row],[Nombre del Gestor]]&gt;1,VENTAS[[#This Row],[Total]]*10%,0)</f>
        <v>0</v>
      </c>
      <c r="K431" s="35">
        <f>IFERROR(VLOOKUP(VENTAS[[#This Row],[Código del producto Vendido]],STOCK[],16,FALSE)*VENTAS[[#This Row],[Cantidad]]+VLOOKUP(VENTAS[[#This Row],[Código del producto Vendido]],STOCK[],19,FALSE)*VENTAS[[#This Row],[Cantidad]],VENTAS[[#This Row],[Total]])</f>
        <v>6.88333333333333</v>
      </c>
      <c r="L431" s="35">
        <f>VENTAS[[#This Row],[Total]]-VENTAS[[#This Row],[Comisión 10%]]-VENTAS[[#This Row],[Costo SIN Comision]]</f>
        <v>-1.88333333333333</v>
      </c>
      <c r="M431" s="35"/>
    </row>
    <row r="432" ht="20" customHeight="1" spans="1:13">
      <c r="A432" s="65" t="s">
        <v>3388</v>
      </c>
      <c r="B432" s="30"/>
      <c r="C432" s="30" t="s">
        <v>3390</v>
      </c>
      <c r="D432" s="30"/>
      <c r="E432" s="30" t="s">
        <v>690</v>
      </c>
      <c r="F432" s="34" t="str">
        <f>IFERROR(VLOOKUP(VENTAS[[#This Row],[Código del producto Vendido]],STOCK[],5,FALSE),"-")</f>
        <v>Vestido con estampado de cereza</v>
      </c>
      <c r="G432" s="34">
        <v>1</v>
      </c>
      <c r="H432" s="35">
        <v>5</v>
      </c>
      <c r="I432" s="35">
        <f>VENTAS[[#This Row],[Cantidad]]*VENTAS[[#This Row],[Precio Venta]]</f>
        <v>5</v>
      </c>
      <c r="J432" s="35">
        <f>IF(VENTAS[[#This Row],[Nombre del Gestor]]&gt;1,VENTAS[[#This Row],[Total]]*10%,0)</f>
        <v>0</v>
      </c>
      <c r="K432" s="35">
        <f>IFERROR(VLOOKUP(VENTAS[[#This Row],[Código del producto Vendido]],STOCK[],16,FALSE)*VENTAS[[#This Row],[Cantidad]]+VLOOKUP(VENTAS[[#This Row],[Código del producto Vendido]],STOCK[],19,FALSE)*VENTAS[[#This Row],[Cantidad]],VENTAS[[#This Row],[Total]])</f>
        <v>6.88333333333333</v>
      </c>
      <c r="L432" s="35">
        <f>VENTAS[[#This Row],[Total]]-VENTAS[[#This Row],[Comisión 10%]]-VENTAS[[#This Row],[Costo SIN Comision]]</f>
        <v>-1.88333333333333</v>
      </c>
      <c r="M432" s="35"/>
    </row>
    <row r="433" ht="20" customHeight="1" spans="1:13">
      <c r="A433" s="64" t="s">
        <v>3388</v>
      </c>
      <c r="B433" s="30"/>
      <c r="C433" s="30" t="s">
        <v>3391</v>
      </c>
      <c r="D433" s="30"/>
      <c r="E433" s="30" t="s">
        <v>1291</v>
      </c>
      <c r="F433" s="34" t="str">
        <f>IFERROR(VLOOKUP(VENTAS[[#This Row],[Código del producto Vendido]],STOCK[],5,FALSE),"-")</f>
        <v>Jean skinny oscuro </v>
      </c>
      <c r="G433" s="34">
        <v>1</v>
      </c>
      <c r="H433" s="35">
        <v>35</v>
      </c>
      <c r="I433" s="35">
        <f>VENTAS[[#This Row],[Cantidad]]*VENTAS[[#This Row],[Precio Venta]]</f>
        <v>35</v>
      </c>
      <c r="J433" s="35">
        <f>IF(VENTAS[[#This Row],[Nombre del Gestor]]&gt;1,VENTAS[[#This Row],[Total]]*10%,0)</f>
        <v>0</v>
      </c>
      <c r="K433" s="35">
        <f>IFERROR(VLOOKUP(VENTAS[[#This Row],[Código del producto Vendido]],STOCK[],16,FALSE)*VENTAS[[#This Row],[Cantidad]]+VLOOKUP(VENTAS[[#This Row],[Código del producto Vendido]],STOCK[],19,FALSE)*VENTAS[[#This Row],[Cantidad]],VENTAS[[#This Row],[Total]])</f>
        <v>20.79</v>
      </c>
      <c r="L433" s="35">
        <f>VENTAS[[#This Row],[Total]]-VENTAS[[#This Row],[Comisión 10%]]-VENTAS[[#This Row],[Costo SIN Comision]]</f>
        <v>14.21</v>
      </c>
      <c r="M433" s="35"/>
    </row>
    <row r="434" ht="20" customHeight="1" spans="1:13">
      <c r="A434" s="65" t="s">
        <v>3388</v>
      </c>
      <c r="B434" s="30"/>
      <c r="C434" s="30" t="s">
        <v>3391</v>
      </c>
      <c r="D434" s="30"/>
      <c r="E434" s="30" t="s">
        <v>542</v>
      </c>
      <c r="F434" s="34" t="str">
        <f>IFERROR(VLOOKUP(VENTAS[[#This Row],[Código del producto Vendido]],STOCK[],5,FALSE),"-")</f>
        <v>Body de un hombro manga farol </v>
      </c>
      <c r="G434" s="34">
        <v>1</v>
      </c>
      <c r="H434" s="35">
        <v>14</v>
      </c>
      <c r="I434" s="35">
        <f>VENTAS[[#This Row],[Cantidad]]*VENTAS[[#This Row],[Precio Venta]]</f>
        <v>14</v>
      </c>
      <c r="J434" s="35">
        <f>IF(VENTAS[[#This Row],[Nombre del Gestor]]&gt;1,VENTAS[[#This Row],[Total]]*10%,0)</f>
        <v>0</v>
      </c>
      <c r="K434" s="35">
        <f>IFERROR(VLOOKUP(VENTAS[[#This Row],[Código del producto Vendido]],STOCK[],16,FALSE)*VENTAS[[#This Row],[Cantidad]]+VLOOKUP(VENTAS[[#This Row],[Código del producto Vendido]],STOCK[],19,FALSE)*VENTAS[[#This Row],[Cantidad]],VENTAS[[#This Row],[Total]])</f>
        <v>10.4044444444444</v>
      </c>
      <c r="L434" s="35">
        <f>VENTAS[[#This Row],[Total]]-VENTAS[[#This Row],[Comisión 10%]]-VENTAS[[#This Row],[Costo SIN Comision]]</f>
        <v>3.59555555555556</v>
      </c>
      <c r="M434" s="35"/>
    </row>
    <row r="435" ht="20" customHeight="1" spans="1:13">
      <c r="A435" s="64" t="s">
        <v>3388</v>
      </c>
      <c r="B435" s="30"/>
      <c r="C435" s="30" t="s">
        <v>3391</v>
      </c>
      <c r="D435" s="30"/>
      <c r="E435" s="30" t="s">
        <v>930</v>
      </c>
      <c r="F435" s="34" t="str">
        <f>IFERROR(VLOOKUP(VENTAS[[#This Row],[Código del producto Vendido]],STOCK[],5,FALSE),"-")</f>
        <v>Falda de trabajo</v>
      </c>
      <c r="G435" s="34">
        <v>1</v>
      </c>
      <c r="H435" s="35">
        <v>15</v>
      </c>
      <c r="I435" s="35">
        <f>VENTAS[[#This Row],[Cantidad]]*VENTAS[[#This Row],[Precio Venta]]</f>
        <v>15</v>
      </c>
      <c r="J435" s="35">
        <f>IF(VENTAS[[#This Row],[Nombre del Gestor]]&gt;1,VENTAS[[#This Row],[Total]]*10%,0)</f>
        <v>0</v>
      </c>
      <c r="K435" s="35">
        <f>IFERROR(VLOOKUP(VENTAS[[#This Row],[Código del producto Vendido]],STOCK[],16,FALSE)*VENTAS[[#This Row],[Cantidad]]+VLOOKUP(VENTAS[[#This Row],[Código del producto Vendido]],STOCK[],19,FALSE)*VENTAS[[#This Row],[Cantidad]],VENTAS[[#This Row],[Total]])</f>
        <v>7.83363636363636</v>
      </c>
      <c r="L435" s="35">
        <f>VENTAS[[#This Row],[Total]]-VENTAS[[#This Row],[Comisión 10%]]-VENTAS[[#This Row],[Costo SIN Comision]]</f>
        <v>7.16636363636364</v>
      </c>
      <c r="M435" s="35"/>
    </row>
    <row r="436" ht="20" customHeight="1" spans="1:13">
      <c r="A436" s="65" t="s">
        <v>3388</v>
      </c>
      <c r="B436" s="30"/>
      <c r="C436" s="30" t="s">
        <v>3391</v>
      </c>
      <c r="D436" s="30"/>
      <c r="E436" s="30" t="s">
        <v>739</v>
      </c>
      <c r="F436" s="34" t="str">
        <f>IFERROR(VLOOKUP(VENTAS[[#This Row],[Código del producto Vendido]],STOCK[],5,FALSE),"-")</f>
        <v>Sostén Push-up</v>
      </c>
      <c r="G436" s="34">
        <v>1</v>
      </c>
      <c r="H436" s="35">
        <v>15</v>
      </c>
      <c r="I436" s="35">
        <f>VENTAS[[#This Row],[Cantidad]]*VENTAS[[#This Row],[Precio Venta]]</f>
        <v>15</v>
      </c>
      <c r="J436" s="35">
        <f>IF(VENTAS[[#This Row],[Nombre del Gestor]]&gt;1,VENTAS[[#This Row],[Total]]*10%,0)</f>
        <v>0</v>
      </c>
      <c r="K436" s="35">
        <f>IFERROR(VLOOKUP(VENTAS[[#This Row],[Código del producto Vendido]],STOCK[],16,FALSE)*VENTAS[[#This Row],[Cantidad]]+VLOOKUP(VENTAS[[#This Row],[Código del producto Vendido]],STOCK[],19,FALSE)*VENTAS[[#This Row],[Cantidad]],VENTAS[[#This Row],[Total]])</f>
        <v>11.1333333333333</v>
      </c>
      <c r="L436" s="35">
        <f>VENTAS[[#This Row],[Total]]-VENTAS[[#This Row],[Comisión 10%]]-VENTAS[[#This Row],[Costo SIN Comision]]</f>
        <v>3.8666666666667</v>
      </c>
      <c r="M436" s="35"/>
    </row>
    <row r="437" ht="20" customHeight="1" spans="1:13">
      <c r="A437" s="64" t="s">
        <v>3388</v>
      </c>
      <c r="B437" s="30"/>
      <c r="C437" s="30" t="s">
        <v>3345</v>
      </c>
      <c r="D437" s="30"/>
      <c r="E437" s="30" t="s">
        <v>802</v>
      </c>
      <c r="F437" s="34" t="str">
        <f>IFERROR(VLOOKUP(VENTAS[[#This Row],[Código del producto Vendido]],STOCK[],5,FALSE),"-")</f>
        <v>Vestido slip satinado</v>
      </c>
      <c r="G437" s="34">
        <v>1</v>
      </c>
      <c r="H437" s="35">
        <v>0</v>
      </c>
      <c r="I437" s="35">
        <f>VENTAS[[#This Row],[Cantidad]]*VENTAS[[#This Row],[Precio Venta]]</f>
        <v>0</v>
      </c>
      <c r="J437" s="35">
        <f>IF(VENTAS[[#This Row],[Nombre del Gestor]]&gt;1,VENTAS[[#This Row],[Total]]*10%,0)</f>
        <v>0</v>
      </c>
      <c r="K437" s="35">
        <f>IFERROR(VLOOKUP(VENTAS[[#This Row],[Código del producto Vendido]],STOCK[],16,FALSE)*VENTAS[[#This Row],[Cantidad]]+VLOOKUP(VENTAS[[#This Row],[Código del producto Vendido]],STOCK[],19,FALSE)*VENTAS[[#This Row],[Cantidad]],VENTAS[[#This Row],[Total]])</f>
        <v>8.5</v>
      </c>
      <c r="L437" s="35">
        <f>VENTAS[[#This Row],[Total]]-VENTAS[[#This Row],[Comisión 10%]]-VENTAS[[#This Row],[Costo SIN Comision]]</f>
        <v>-8.5</v>
      </c>
      <c r="M437" s="35"/>
    </row>
    <row r="438" ht="20" customHeight="1" spans="1:13">
      <c r="A438" s="65" t="s">
        <v>3388</v>
      </c>
      <c r="B438" s="30"/>
      <c r="C438" s="30" t="s">
        <v>3345</v>
      </c>
      <c r="D438" s="30"/>
      <c r="E438" s="30" t="s">
        <v>641</v>
      </c>
      <c r="F438" s="34" t="str">
        <f>IFERROR(VLOOKUP(VENTAS[[#This Row],[Código del producto Vendido]],STOCK[],5,FALSE),"-")</f>
        <v>Vestido con estampado floral</v>
      </c>
      <c r="G438" s="34">
        <v>1</v>
      </c>
      <c r="H438" s="35">
        <v>15</v>
      </c>
      <c r="I438" s="35">
        <f>VENTAS[[#This Row],[Cantidad]]*VENTAS[[#This Row],[Precio Venta]]</f>
        <v>15</v>
      </c>
      <c r="J438" s="35">
        <f>IF(VENTAS[[#This Row],[Nombre del Gestor]]&gt;1,VENTAS[[#This Row],[Total]]*10%,0)</f>
        <v>0</v>
      </c>
      <c r="K438" s="35">
        <f>IFERROR(VLOOKUP(VENTAS[[#This Row],[Código del producto Vendido]],STOCK[],16,FALSE)*VENTAS[[#This Row],[Cantidad]]+VLOOKUP(VENTAS[[#This Row],[Código del producto Vendido]],STOCK[],19,FALSE)*VENTAS[[#This Row],[Cantidad]],VENTAS[[#This Row],[Total]])</f>
        <v>10.7222222222222</v>
      </c>
      <c r="L438" s="35">
        <f>VENTAS[[#This Row],[Total]]-VENTAS[[#This Row],[Comisión 10%]]-VENTAS[[#This Row],[Costo SIN Comision]]</f>
        <v>4.27777777777778</v>
      </c>
      <c r="M438" s="35"/>
    </row>
    <row r="439" ht="20" customHeight="1" spans="1:13">
      <c r="A439" s="64" t="s">
        <v>3388</v>
      </c>
      <c r="B439" s="30"/>
      <c r="C439" s="30" t="s">
        <v>3345</v>
      </c>
      <c r="D439" s="30"/>
      <c r="E439" s="30" t="s">
        <v>639</v>
      </c>
      <c r="F439" s="34" t="str">
        <f>IFERROR(VLOOKUP(VENTAS[[#This Row],[Código del producto Vendido]],STOCK[],5,FALSE),"-")</f>
        <v>Vestido con estampado floral</v>
      </c>
      <c r="G439" s="34">
        <v>3</v>
      </c>
      <c r="H439" s="35">
        <v>15</v>
      </c>
      <c r="I439" s="35">
        <f>VENTAS[[#This Row],[Cantidad]]*VENTAS[[#This Row],[Precio Venta]]</f>
        <v>45</v>
      </c>
      <c r="J439" s="35">
        <f>IF(VENTAS[[#This Row],[Nombre del Gestor]]&gt;1,VENTAS[[#This Row],[Total]]*10%,0)</f>
        <v>0</v>
      </c>
      <c r="K439" s="35">
        <f>IFERROR(VLOOKUP(VENTAS[[#This Row],[Código del producto Vendido]],STOCK[],16,FALSE)*VENTAS[[#This Row],[Cantidad]]+VLOOKUP(VENTAS[[#This Row],[Código del producto Vendido]],STOCK[],19,FALSE)*VENTAS[[#This Row],[Cantidad]],VENTAS[[#This Row],[Total]])</f>
        <v>32.1666666666667</v>
      </c>
      <c r="L439" s="35">
        <f>VENTAS[[#This Row],[Total]]-VENTAS[[#This Row],[Comisión 10%]]-VENTAS[[#This Row],[Costo SIN Comision]]</f>
        <v>12.8333333333333</v>
      </c>
      <c r="M439" s="35"/>
    </row>
    <row r="440" ht="20" customHeight="1" spans="1:13">
      <c r="A440" s="65" t="s">
        <v>3388</v>
      </c>
      <c r="B440" s="30"/>
      <c r="C440" s="30" t="s">
        <v>3345</v>
      </c>
      <c r="D440" s="30"/>
      <c r="E440" s="30" t="s">
        <v>633</v>
      </c>
      <c r="F440" s="34" t="str">
        <f>IFERROR(VLOOKUP(VENTAS[[#This Row],[Código del producto Vendido]],STOCK[],5,FALSE),"-")</f>
        <v>Vestido floral con abertura trasera</v>
      </c>
      <c r="G440" s="34">
        <v>3</v>
      </c>
      <c r="H440" s="35">
        <v>15</v>
      </c>
      <c r="I440" s="35">
        <f>VENTAS[[#This Row],[Cantidad]]*VENTAS[[#This Row],[Precio Venta]]</f>
        <v>45</v>
      </c>
      <c r="J440" s="35">
        <f>IF(VENTAS[[#This Row],[Nombre del Gestor]]&gt;1,VENTAS[[#This Row],[Total]]*10%,0)</f>
        <v>0</v>
      </c>
      <c r="K440" s="35">
        <f>IFERROR(VLOOKUP(VENTAS[[#This Row],[Código del producto Vendido]],STOCK[],16,FALSE)*VENTAS[[#This Row],[Cantidad]]+VLOOKUP(VENTAS[[#This Row],[Código del producto Vendido]],STOCK[],19,FALSE)*VENTAS[[#This Row],[Cantidad]],VENTAS[[#This Row],[Total]])</f>
        <v>32.1666666666667</v>
      </c>
      <c r="L440" s="35">
        <f>VENTAS[[#This Row],[Total]]-VENTAS[[#This Row],[Comisión 10%]]-VENTAS[[#This Row],[Costo SIN Comision]]</f>
        <v>12.8333333333333</v>
      </c>
      <c r="M440" s="35"/>
    </row>
    <row r="441" ht="20" customHeight="1" spans="1:13">
      <c r="A441" s="64" t="s">
        <v>3388</v>
      </c>
      <c r="B441" s="30"/>
      <c r="C441" s="30" t="s">
        <v>3345</v>
      </c>
      <c r="D441" s="30"/>
      <c r="E441" s="30" t="s">
        <v>630</v>
      </c>
      <c r="F441" s="34" t="str">
        <f>IFERROR(VLOOKUP(VENTAS[[#This Row],[Código del producto Vendido]],STOCK[],5,FALSE),"-")</f>
        <v>Vestido floral con abertura trasera</v>
      </c>
      <c r="G441" s="34">
        <v>2</v>
      </c>
      <c r="H441" s="35">
        <v>15</v>
      </c>
      <c r="I441" s="35">
        <f>VENTAS[[#This Row],[Cantidad]]*VENTAS[[#This Row],[Precio Venta]]</f>
        <v>30</v>
      </c>
      <c r="J441" s="35">
        <f>IF(VENTAS[[#This Row],[Nombre del Gestor]]&gt;1,VENTAS[[#This Row],[Total]]*10%,0)</f>
        <v>0</v>
      </c>
      <c r="K441" s="35">
        <f>IFERROR(VLOOKUP(VENTAS[[#This Row],[Código del producto Vendido]],STOCK[],16,FALSE)*VENTAS[[#This Row],[Cantidad]]+VLOOKUP(VENTAS[[#This Row],[Código del producto Vendido]],STOCK[],19,FALSE)*VENTAS[[#This Row],[Cantidad]],VENTAS[[#This Row],[Total]])</f>
        <v>21.4444444444444</v>
      </c>
      <c r="L441" s="35">
        <f>VENTAS[[#This Row],[Total]]-VENTAS[[#This Row],[Comisión 10%]]-VENTAS[[#This Row],[Costo SIN Comision]]</f>
        <v>8.55555555555556</v>
      </c>
      <c r="M441" s="35"/>
    </row>
    <row r="442" ht="20" customHeight="1" spans="1:13">
      <c r="A442" s="65" t="s">
        <v>3388</v>
      </c>
      <c r="B442" s="30"/>
      <c r="C442" s="30" t="s">
        <v>3345</v>
      </c>
      <c r="D442" s="30"/>
      <c r="E442" s="30" t="s">
        <v>634</v>
      </c>
      <c r="F442" s="34" t="str">
        <f>IFERROR(VLOOKUP(VENTAS[[#This Row],[Código del producto Vendido]],STOCK[],5,FALSE),"-")</f>
        <v>Vestido floral escote corazón</v>
      </c>
      <c r="G442" s="34">
        <v>2</v>
      </c>
      <c r="H442" s="35">
        <v>15</v>
      </c>
      <c r="I442" s="35">
        <f>VENTAS[[#This Row],[Cantidad]]*VENTAS[[#This Row],[Precio Venta]]</f>
        <v>30</v>
      </c>
      <c r="J442" s="35">
        <f>IF(VENTAS[[#This Row],[Nombre del Gestor]]&gt;1,VENTAS[[#This Row],[Total]]*10%,0)</f>
        <v>0</v>
      </c>
      <c r="K442" s="35">
        <f>IFERROR(VLOOKUP(VENTAS[[#This Row],[Código del producto Vendido]],STOCK[],16,FALSE)*VENTAS[[#This Row],[Cantidad]]+VLOOKUP(VENTAS[[#This Row],[Código del producto Vendido]],STOCK[],19,FALSE)*VENTAS[[#This Row],[Cantidad]],VENTAS[[#This Row],[Total]])</f>
        <v>21.4444444444444</v>
      </c>
      <c r="L442" s="35">
        <f>VENTAS[[#This Row],[Total]]-VENTAS[[#This Row],[Comisión 10%]]-VENTAS[[#This Row],[Costo SIN Comision]]</f>
        <v>8.55555555555556</v>
      </c>
      <c r="M442" s="35"/>
    </row>
    <row r="443" ht="20" customHeight="1" spans="1:13">
      <c r="A443" s="64" t="s">
        <v>3388</v>
      </c>
      <c r="B443" s="30"/>
      <c r="C443" s="30" t="s">
        <v>3345</v>
      </c>
      <c r="D443" s="30"/>
      <c r="E443" s="30" t="s">
        <v>636</v>
      </c>
      <c r="F443" s="34" t="str">
        <f>IFERROR(VLOOKUP(VENTAS[[#This Row],[Código del producto Vendido]],STOCK[],5,FALSE),"-")</f>
        <v>Vestido floral escote corazón</v>
      </c>
      <c r="G443" s="34">
        <v>1</v>
      </c>
      <c r="H443" s="35">
        <v>15</v>
      </c>
      <c r="I443" s="35">
        <f>VENTAS[[#This Row],[Cantidad]]*VENTAS[[#This Row],[Precio Venta]]</f>
        <v>15</v>
      </c>
      <c r="J443" s="35">
        <f>IF(VENTAS[[#This Row],[Nombre del Gestor]]&gt;1,VENTAS[[#This Row],[Total]]*10%,0)</f>
        <v>0</v>
      </c>
      <c r="K443" s="35">
        <f>IFERROR(VLOOKUP(VENTAS[[#This Row],[Código del producto Vendido]],STOCK[],16,FALSE)*VENTAS[[#This Row],[Cantidad]]+VLOOKUP(VENTAS[[#This Row],[Código del producto Vendido]],STOCK[],19,FALSE)*VENTAS[[#This Row],[Cantidad]],VENTAS[[#This Row],[Total]])</f>
        <v>10.7222222222222</v>
      </c>
      <c r="L443" s="35">
        <f>VENTAS[[#This Row],[Total]]-VENTAS[[#This Row],[Comisión 10%]]-VENTAS[[#This Row],[Costo SIN Comision]]</f>
        <v>4.27777777777778</v>
      </c>
      <c r="M443" s="35"/>
    </row>
    <row r="444" ht="20" customHeight="1" spans="1:13">
      <c r="A444" s="65" t="s">
        <v>3388</v>
      </c>
      <c r="B444" s="30"/>
      <c r="C444" s="30" t="s">
        <v>3345</v>
      </c>
      <c r="D444" s="30"/>
      <c r="E444" s="30" t="s">
        <v>604</v>
      </c>
      <c r="F444" s="34" t="str">
        <f>IFERROR(VLOOKUP(VENTAS[[#This Row],[Código del producto Vendido]],STOCK[],5,FALSE),"-")</f>
        <v>Vestido floral de mangas farol</v>
      </c>
      <c r="G444" s="34">
        <v>1</v>
      </c>
      <c r="H444" s="35">
        <v>20</v>
      </c>
      <c r="I444" s="35">
        <f>VENTAS[[#This Row],[Cantidad]]*VENTAS[[#This Row],[Precio Venta]]</f>
        <v>20</v>
      </c>
      <c r="J444" s="35">
        <f>IF(VENTAS[[#This Row],[Nombre del Gestor]]&gt;1,VENTAS[[#This Row],[Total]]*10%,0)</f>
        <v>0</v>
      </c>
      <c r="K444" s="35">
        <f>IFERROR(VLOOKUP(VENTAS[[#This Row],[Código del producto Vendido]],STOCK[],16,FALSE)*VENTAS[[#This Row],[Cantidad]]+VLOOKUP(VENTAS[[#This Row],[Código del producto Vendido]],STOCK[],19,FALSE)*VENTAS[[#This Row],[Cantidad]],VENTAS[[#This Row],[Total]])</f>
        <v>10.7222222222222</v>
      </c>
      <c r="L444" s="35">
        <f>VENTAS[[#This Row],[Total]]-VENTAS[[#This Row],[Comisión 10%]]-VENTAS[[#This Row],[Costo SIN Comision]]</f>
        <v>9.27777777777778</v>
      </c>
      <c r="M444" s="35"/>
    </row>
    <row r="445" ht="20" customHeight="1" spans="1:13">
      <c r="A445" s="64" t="s">
        <v>3388</v>
      </c>
      <c r="B445" s="30"/>
      <c r="C445" s="30" t="s">
        <v>3345</v>
      </c>
      <c r="D445" s="30"/>
      <c r="E445" s="66" t="s">
        <v>804</v>
      </c>
      <c r="F445" s="34" t="str">
        <f>IFERROR(VLOOKUP(VENTAS[[#This Row],[Código del producto Vendido]],STOCK[],5,FALSE),"-")</f>
        <v> Bañador espalda descubierta</v>
      </c>
      <c r="G445" s="34">
        <v>1</v>
      </c>
      <c r="H445" s="35">
        <v>20</v>
      </c>
      <c r="I445" s="35">
        <f>VENTAS[[#This Row],[Cantidad]]*VENTAS[[#This Row],[Precio Venta]]</f>
        <v>20</v>
      </c>
      <c r="J445" s="35">
        <f>IF(VENTAS[[#This Row],[Nombre del Gestor]]&gt;1,VENTAS[[#This Row],[Total]]*10%,0)</f>
        <v>0</v>
      </c>
      <c r="K445" s="35">
        <f>IFERROR(VLOOKUP(VENTAS[[#This Row],[Código del producto Vendido]],STOCK[],16,FALSE)*VENTAS[[#This Row],[Cantidad]]+VLOOKUP(VENTAS[[#This Row],[Código del producto Vendido]],STOCK[],19,FALSE)*VENTAS[[#This Row],[Cantidad]],VENTAS[[#This Row],[Total]])</f>
        <v>15.5555555555556</v>
      </c>
      <c r="L445" s="35">
        <f>VENTAS[[#This Row],[Total]]-VENTAS[[#This Row],[Comisión 10%]]-VENTAS[[#This Row],[Costo SIN Comision]]</f>
        <v>4.4444444444444</v>
      </c>
      <c r="M445" s="35"/>
    </row>
    <row r="446" ht="20" customHeight="1" spans="1:13">
      <c r="A446" s="65" t="s">
        <v>3388</v>
      </c>
      <c r="B446" s="30"/>
      <c r="C446" s="30" t="s">
        <v>3392</v>
      </c>
      <c r="D446" s="30"/>
      <c r="E446" s="30" t="s">
        <v>664</v>
      </c>
      <c r="F446" s="34" t="str">
        <f>IFERROR(VLOOKUP(VENTAS[[#This Row],[Código del producto Vendido]],STOCK[],5,FALSE),"-")</f>
        <v>Top Cruzado negro</v>
      </c>
      <c r="G446" s="34">
        <v>1</v>
      </c>
      <c r="H446" s="35">
        <v>9</v>
      </c>
      <c r="I446" s="35">
        <f>VENTAS[[#This Row],[Cantidad]]*VENTAS[[#This Row],[Precio Venta]]</f>
        <v>9</v>
      </c>
      <c r="J446" s="35">
        <f>IF(VENTAS[[#This Row],[Nombre del Gestor]]&gt;1,VENTAS[[#This Row],[Total]]*10%,0)</f>
        <v>0</v>
      </c>
      <c r="K446" s="35">
        <f>IFERROR(VLOOKUP(VENTAS[[#This Row],[Código del producto Vendido]],STOCK[],16,FALSE)*VENTAS[[#This Row],[Cantidad]]+VLOOKUP(VENTAS[[#This Row],[Código del producto Vendido]],STOCK[],19,FALSE)*VENTAS[[#This Row],[Cantidad]],VENTAS[[#This Row],[Total]])</f>
        <v>4.90166666666667</v>
      </c>
      <c r="L446" s="35">
        <f>VENTAS[[#This Row],[Total]]-VENTAS[[#This Row],[Comisión 10%]]-VENTAS[[#This Row],[Costo SIN Comision]]</f>
        <v>4.09833333333333</v>
      </c>
      <c r="M446" s="35"/>
    </row>
    <row r="447" ht="20" customHeight="1" spans="1:13">
      <c r="A447" s="65" t="s">
        <v>3388</v>
      </c>
      <c r="B447" s="30"/>
      <c r="C447" s="30" t="s">
        <v>3393</v>
      </c>
      <c r="D447" s="30"/>
      <c r="E447" s="30" t="s">
        <v>696</v>
      </c>
      <c r="F447" s="34" t="str">
        <f>IFERROR(VLOOKUP(VENTAS[[#This Row],[Código del producto Vendido]],STOCK[],5,FALSE),"-")</f>
        <v> Vestido ajustado con estampado de dragón</v>
      </c>
      <c r="G447" s="34">
        <v>1</v>
      </c>
      <c r="H447" s="35">
        <v>5</v>
      </c>
      <c r="I447" s="35">
        <f>VENTAS[[#This Row],[Cantidad]]*VENTAS[[#This Row],[Precio Venta]]</f>
        <v>5</v>
      </c>
      <c r="J447" s="35">
        <f>IF(VENTAS[[#This Row],[Nombre del Gestor]]&gt;1,VENTAS[[#This Row],[Total]]*10%,0)</f>
        <v>0</v>
      </c>
      <c r="K447" s="35">
        <f>IFERROR(VLOOKUP(VENTAS[[#This Row],[Código del producto Vendido]],STOCK[],16,FALSE)*VENTAS[[#This Row],[Cantidad]]+VLOOKUP(VENTAS[[#This Row],[Código del producto Vendido]],STOCK[],19,FALSE)*VENTAS[[#This Row],[Cantidad]],VENTAS[[#This Row],[Total]])</f>
        <v>7.10555555555556</v>
      </c>
      <c r="L447" s="35">
        <f>VENTAS[[#This Row],[Total]]-VENTAS[[#This Row],[Comisión 10%]]-VENTAS[[#This Row],[Costo SIN Comision]]</f>
        <v>-2.10555555555556</v>
      </c>
      <c r="M447" s="35"/>
    </row>
    <row r="448" ht="20" customHeight="1" spans="1:13">
      <c r="A448" s="64" t="s">
        <v>3388</v>
      </c>
      <c r="B448" s="30"/>
      <c r="C448" s="30" t="s">
        <v>3393</v>
      </c>
      <c r="D448" s="30"/>
      <c r="E448" s="30" t="s">
        <v>694</v>
      </c>
      <c r="F448" s="34" t="str">
        <f>IFERROR(VLOOKUP(VENTAS[[#This Row],[Código del producto Vendido]],STOCK[],5,FALSE),"-")</f>
        <v>Vestido slip cebra</v>
      </c>
      <c r="G448" s="34">
        <v>1</v>
      </c>
      <c r="H448" s="35">
        <v>5</v>
      </c>
      <c r="I448" s="35">
        <f>VENTAS[[#This Row],[Cantidad]]*VENTAS[[#This Row],[Precio Venta]]</f>
        <v>5</v>
      </c>
      <c r="J448" s="35">
        <f>IF(VENTAS[[#This Row],[Nombre del Gestor]]&gt;1,VENTAS[[#This Row],[Total]]*10%,0)</f>
        <v>0</v>
      </c>
      <c r="K448" s="35">
        <f>IFERROR(VLOOKUP(VENTAS[[#This Row],[Código del producto Vendido]],STOCK[],16,FALSE)*VENTAS[[#This Row],[Cantidad]]+VLOOKUP(VENTAS[[#This Row],[Código del producto Vendido]],STOCK[],19,FALSE)*VENTAS[[#This Row],[Cantidad]],VENTAS[[#This Row],[Total]])</f>
        <v>7.10555555555556</v>
      </c>
      <c r="L448" s="35">
        <f>VENTAS[[#This Row],[Total]]-VENTAS[[#This Row],[Comisión 10%]]-VENTAS[[#This Row],[Costo SIN Comision]]</f>
        <v>-2.10555555555556</v>
      </c>
      <c r="M448" s="35"/>
    </row>
    <row r="449" ht="20" customHeight="1" spans="1:13">
      <c r="A449" s="65" t="s">
        <v>3388</v>
      </c>
      <c r="B449" s="30"/>
      <c r="C449" s="30" t="s">
        <v>3390</v>
      </c>
      <c r="D449" s="30"/>
      <c r="E449" s="30" t="s">
        <v>692</v>
      </c>
      <c r="F449" s="34" t="str">
        <f>IFERROR(VLOOKUP(VENTAS[[#This Row],[Código del producto Vendido]],STOCK[],5,FALSE),"-")</f>
        <v>Vestido slip de rayas de cebra</v>
      </c>
      <c r="G449" s="34">
        <v>1</v>
      </c>
      <c r="H449" s="35">
        <v>5</v>
      </c>
      <c r="I449" s="35">
        <f>VENTAS[[#This Row],[Cantidad]]*VENTAS[[#This Row],[Precio Venta]]</f>
        <v>5</v>
      </c>
      <c r="J449" s="35">
        <f>IF(VENTAS[[#This Row],[Nombre del Gestor]]&gt;1,VENTAS[[#This Row],[Total]]*10%,0)</f>
        <v>0</v>
      </c>
      <c r="K449" s="35">
        <f>IFERROR(VLOOKUP(VENTAS[[#This Row],[Código del producto Vendido]],STOCK[],16,FALSE)*VENTAS[[#This Row],[Cantidad]]+VLOOKUP(VENTAS[[#This Row],[Código del producto Vendido]],STOCK[],19,FALSE)*VENTAS[[#This Row],[Cantidad]],VENTAS[[#This Row],[Total]])</f>
        <v>7.10555555555556</v>
      </c>
      <c r="L449" s="35">
        <f>VENTAS[[#This Row],[Total]]-VENTAS[[#This Row],[Comisión 10%]]-VENTAS[[#This Row],[Costo SIN Comision]]</f>
        <v>-2.10555555555556</v>
      </c>
      <c r="M449" s="35"/>
    </row>
    <row r="450" ht="20" customHeight="1" spans="1:13">
      <c r="A450" s="65" t="s">
        <v>3388</v>
      </c>
      <c r="B450" s="30"/>
      <c r="C450" s="30" t="s">
        <v>3394</v>
      </c>
      <c r="D450" s="30"/>
      <c r="E450" s="30" t="s">
        <v>3395</v>
      </c>
      <c r="F450" s="34" t="str">
        <f>IFERROR(VLOOKUP(VENTAS[[#This Row],[Código del producto Vendido]],STOCK[],5,FALSE),"-")</f>
        <v>-</v>
      </c>
      <c r="G450" s="34">
        <v>1</v>
      </c>
      <c r="H450" s="35">
        <v>20</v>
      </c>
      <c r="I450" s="35">
        <f>VENTAS[[#This Row],[Cantidad]]*VENTAS[[#This Row],[Precio Venta]]</f>
        <v>20</v>
      </c>
      <c r="J450" s="35">
        <f>IF(VENTAS[[#This Row],[Nombre del Gestor]]&gt;1,VENTAS[[#This Row],[Total]]*10%,0)</f>
        <v>0</v>
      </c>
      <c r="K450" s="35">
        <f>IFERROR(VLOOKUP(VENTAS[[#This Row],[Código del producto Vendido]],STOCK[],16,FALSE)*VENTAS[[#This Row],[Cantidad]]+VLOOKUP(VENTAS[[#This Row],[Código del producto Vendido]],STOCK[],19,FALSE)*VENTAS[[#This Row],[Cantidad]],VENTAS[[#This Row],[Total]])</f>
        <v>20</v>
      </c>
      <c r="L450" s="35">
        <f>VENTAS[[#This Row],[Total]]-VENTAS[[#This Row],[Comisión 10%]]-VENTAS[[#This Row],[Costo SIN Comision]]</f>
        <v>0</v>
      </c>
      <c r="M450" s="35"/>
    </row>
    <row r="451" ht="20" customHeight="1" spans="1:13">
      <c r="A451" s="64" t="s">
        <v>3388</v>
      </c>
      <c r="B451" s="30"/>
      <c r="C451" s="30" t="s">
        <v>3396</v>
      </c>
      <c r="D451" s="30"/>
      <c r="E451" s="30" t="s">
        <v>239</v>
      </c>
      <c r="F451" s="34" t="str">
        <f>IFERROR(VLOOKUP(VENTAS[[#This Row],[Código del producto Vendido]],STOCK[],5,FALSE),"-")</f>
        <v>Vestido tank tejido de canalé con cinturón</v>
      </c>
      <c r="G451" s="34">
        <v>1</v>
      </c>
      <c r="H451" s="35">
        <v>28</v>
      </c>
      <c r="I451" s="35">
        <f>VENTAS[[#This Row],[Cantidad]]*VENTAS[[#This Row],[Precio Venta]]</f>
        <v>28</v>
      </c>
      <c r="J451" s="35">
        <f>IF(VENTAS[[#This Row],[Nombre del Gestor]]&gt;1,VENTAS[[#This Row],[Total]]*10%,0)</f>
        <v>0</v>
      </c>
      <c r="K451" s="35">
        <f>IFERROR(VLOOKUP(VENTAS[[#This Row],[Código del producto Vendido]],STOCK[],16,FALSE)*VENTAS[[#This Row],[Cantidad]]+VLOOKUP(VENTAS[[#This Row],[Código del producto Vendido]],STOCK[],19,FALSE)*VENTAS[[#This Row],[Cantidad]],VENTAS[[#This Row],[Total]])</f>
        <v>17.6377777777778</v>
      </c>
      <c r="L451" s="35">
        <f>VENTAS[[#This Row],[Total]]-VENTAS[[#This Row],[Comisión 10%]]-VENTAS[[#This Row],[Costo SIN Comision]]</f>
        <v>10.3622222222222</v>
      </c>
      <c r="M451" s="35"/>
    </row>
    <row r="452" ht="20" customHeight="1" spans="1:13">
      <c r="A452" s="65" t="s">
        <v>3388</v>
      </c>
      <c r="B452" s="30"/>
      <c r="C452" s="30" t="s">
        <v>3389</v>
      </c>
      <c r="D452" s="30"/>
      <c r="E452" s="30" t="s">
        <v>716</v>
      </c>
      <c r="F452" s="34" t="str">
        <f>IFERROR(VLOOKUP(VENTAS[[#This Row],[Código del producto Vendido]],STOCK[],5,FALSE),"-")</f>
        <v>Vestido bodycon</v>
      </c>
      <c r="G452" s="34">
        <v>1</v>
      </c>
      <c r="H452" s="35">
        <v>5</v>
      </c>
      <c r="I452" s="35">
        <f>VENTAS[[#This Row],[Cantidad]]*VENTAS[[#This Row],[Precio Venta]]</f>
        <v>5</v>
      </c>
      <c r="J452" s="35">
        <f>IF(VENTAS[[#This Row],[Nombre del Gestor]]&gt;1,VENTAS[[#This Row],[Total]]*10%,0)</f>
        <v>0</v>
      </c>
      <c r="K452" s="35">
        <f>IFERROR(VLOOKUP(VENTAS[[#This Row],[Código del producto Vendido]],STOCK[],16,FALSE)*VENTAS[[#This Row],[Cantidad]]+VLOOKUP(VENTAS[[#This Row],[Código del producto Vendido]],STOCK[],19,FALSE)*VENTAS[[#This Row],[Cantidad]],VENTAS[[#This Row],[Total]])</f>
        <v>5.72222222222222</v>
      </c>
      <c r="L452" s="35">
        <f>VENTAS[[#This Row],[Total]]-VENTAS[[#This Row],[Comisión 10%]]-VENTAS[[#This Row],[Costo SIN Comision]]</f>
        <v>-0.72222222222222</v>
      </c>
      <c r="M452" s="35"/>
    </row>
    <row r="453" ht="20" customHeight="1" spans="1:13">
      <c r="A453" s="64" t="s">
        <v>3388</v>
      </c>
      <c r="B453" s="30"/>
      <c r="C453" s="30" t="s">
        <v>3397</v>
      </c>
      <c r="D453" s="30"/>
      <c r="E453" s="30" t="s">
        <v>692</v>
      </c>
      <c r="F453" s="34" t="str">
        <f>IFERROR(VLOOKUP(VENTAS[[#This Row],[Código del producto Vendido]],STOCK[],5,FALSE),"-")</f>
        <v>Vestido slip de rayas de cebra</v>
      </c>
      <c r="G453" s="34">
        <v>1</v>
      </c>
      <c r="H453" s="35">
        <v>5</v>
      </c>
      <c r="I453" s="35">
        <f>VENTAS[[#This Row],[Cantidad]]*VENTAS[[#This Row],[Precio Venta]]</f>
        <v>5</v>
      </c>
      <c r="J453" s="35">
        <f>IF(VENTAS[[#This Row],[Nombre del Gestor]]&gt;1,VENTAS[[#This Row],[Total]]*10%,0)</f>
        <v>0</v>
      </c>
      <c r="K453" s="35">
        <f>IFERROR(VLOOKUP(VENTAS[[#This Row],[Código del producto Vendido]],STOCK[],16,FALSE)*VENTAS[[#This Row],[Cantidad]]+VLOOKUP(VENTAS[[#This Row],[Código del producto Vendido]],STOCK[],19,FALSE)*VENTAS[[#This Row],[Cantidad]],VENTAS[[#This Row],[Total]])</f>
        <v>7.10555555555556</v>
      </c>
      <c r="L453" s="35">
        <f>VENTAS[[#This Row],[Total]]-VENTAS[[#This Row],[Comisión 10%]]-VENTAS[[#This Row],[Costo SIN Comision]]</f>
        <v>-2.10555555555556</v>
      </c>
      <c r="M453" s="35"/>
    </row>
    <row r="454" ht="20" customHeight="1" spans="1:13">
      <c r="A454" s="65" t="s">
        <v>3388</v>
      </c>
      <c r="B454" s="30"/>
      <c r="C454" s="30" t="s">
        <v>3397</v>
      </c>
      <c r="D454" s="30"/>
      <c r="E454" s="30" t="s">
        <v>696</v>
      </c>
      <c r="F454" s="34" t="str">
        <f>IFERROR(VLOOKUP(VENTAS[[#This Row],[Código del producto Vendido]],STOCK[],5,FALSE),"-")</f>
        <v> Vestido ajustado con estampado de dragón</v>
      </c>
      <c r="G454" s="34">
        <v>1</v>
      </c>
      <c r="H454" s="35">
        <v>5</v>
      </c>
      <c r="I454" s="35">
        <f>VENTAS[[#This Row],[Cantidad]]*VENTAS[[#This Row],[Precio Venta]]</f>
        <v>5</v>
      </c>
      <c r="J454" s="35">
        <f>IF(VENTAS[[#This Row],[Nombre del Gestor]]&gt;1,VENTAS[[#This Row],[Total]]*10%,0)</f>
        <v>0</v>
      </c>
      <c r="K454" s="35">
        <f>IFERROR(VLOOKUP(VENTAS[[#This Row],[Código del producto Vendido]],STOCK[],16,FALSE)*VENTAS[[#This Row],[Cantidad]]+VLOOKUP(VENTAS[[#This Row],[Código del producto Vendido]],STOCK[],19,FALSE)*VENTAS[[#This Row],[Cantidad]],VENTAS[[#This Row],[Total]])</f>
        <v>7.10555555555556</v>
      </c>
      <c r="L454" s="35">
        <f>VENTAS[[#This Row],[Total]]-VENTAS[[#This Row],[Comisión 10%]]-VENTAS[[#This Row],[Costo SIN Comision]]</f>
        <v>-2.10555555555556</v>
      </c>
      <c r="M454" s="35"/>
    </row>
    <row r="455" ht="20" customHeight="1" spans="1:13">
      <c r="A455" s="64">
        <v>45138</v>
      </c>
      <c r="B455" s="30"/>
      <c r="C455" s="30" t="s">
        <v>3390</v>
      </c>
      <c r="D455" s="30"/>
      <c r="E455" s="30" t="s">
        <v>719</v>
      </c>
      <c r="F455" s="34" t="str">
        <f>IFERROR(VLOOKUP(VENTAS[[#This Row],[Código del producto Vendido]],STOCK[],5,FALSE),"-")</f>
        <v>Top acanalado sin mangas</v>
      </c>
      <c r="G455" s="34">
        <v>1</v>
      </c>
      <c r="H455" s="35">
        <v>10</v>
      </c>
      <c r="I455" s="35">
        <f>VENTAS[[#This Row],[Cantidad]]*VENTAS[[#This Row],[Precio Venta]]</f>
        <v>10</v>
      </c>
      <c r="J455" s="35">
        <f>IF(VENTAS[[#This Row],[Nombre del Gestor]]&gt;1,VENTAS[[#This Row],[Total]]*10%,0)</f>
        <v>0</v>
      </c>
      <c r="K455" s="35">
        <f>IFERROR(VLOOKUP(VENTAS[[#This Row],[Código del producto Vendido]],STOCK[],16,FALSE)*VENTAS[[#This Row],[Cantidad]]+VLOOKUP(VENTAS[[#This Row],[Código del producto Vendido]],STOCK[],19,FALSE)*VENTAS[[#This Row],[Cantidad]],VENTAS[[#This Row],[Total]])</f>
        <v>5.02222222222222</v>
      </c>
      <c r="L455" s="35">
        <f>VENTAS[[#This Row],[Total]]-VENTAS[[#This Row],[Comisión 10%]]-VENTAS[[#This Row],[Costo SIN Comision]]</f>
        <v>4.97777777777778</v>
      </c>
      <c r="M455" s="35"/>
    </row>
    <row r="456" ht="20" customHeight="1" spans="1:13">
      <c r="A456" s="65"/>
      <c r="B456" s="30"/>
      <c r="C456" s="30"/>
      <c r="D456" s="30"/>
      <c r="E456" s="30" t="s">
        <v>409</v>
      </c>
      <c r="F456" s="34" t="str">
        <f>IFERROR(VLOOKUP(VENTAS[[#This Row],[Código del producto Vendido]],STOCK[],5,FALSE),"-")</f>
        <v>Bañador una pieza de color combinado </v>
      </c>
      <c r="G456" s="34">
        <v>1</v>
      </c>
      <c r="H456" s="35">
        <v>20</v>
      </c>
      <c r="I456" s="35">
        <f>VENTAS[[#This Row],[Cantidad]]*VENTAS[[#This Row],[Precio Venta]]</f>
        <v>20</v>
      </c>
      <c r="J456" s="35">
        <f>IF(VENTAS[[#This Row],[Nombre del Gestor]]&gt;1,VENTAS[[#This Row],[Total]]*10%,0)</f>
        <v>0</v>
      </c>
      <c r="K456" s="35">
        <f>IFERROR(VLOOKUP(VENTAS[[#This Row],[Código del producto Vendido]],STOCK[],16,FALSE)*VENTAS[[#This Row],[Cantidad]]+VLOOKUP(VENTAS[[#This Row],[Código del producto Vendido]],STOCK[],19,FALSE)*VENTAS[[#This Row],[Cantidad]],VENTAS[[#This Row],[Total]])</f>
        <v>9.66666666666667</v>
      </c>
      <c r="L456" s="35">
        <f>VENTAS[[#This Row],[Total]]-VENTAS[[#This Row],[Comisión 10%]]-VENTAS[[#This Row],[Costo SIN Comision]]</f>
        <v>10.3333333333333</v>
      </c>
      <c r="M456" s="35"/>
    </row>
    <row r="457" ht="20" customHeight="1" spans="1:13">
      <c r="A457" s="64" t="s">
        <v>3398</v>
      </c>
      <c r="B457" s="30"/>
      <c r="C457" s="30"/>
      <c r="D457" s="30"/>
      <c r="E457" s="30" t="s">
        <v>456</v>
      </c>
      <c r="F457" s="34" t="str">
        <f>IFERROR(VLOOKUP(VENTAS[[#This Row],[Código del producto Vendido]],STOCK[],5,FALSE),"-")</f>
        <v>Bolso pequeño guateado con perla artificial</v>
      </c>
      <c r="G457" s="34">
        <v>1</v>
      </c>
      <c r="H457" s="35">
        <v>15</v>
      </c>
      <c r="I457" s="35">
        <f>VENTAS[[#This Row],[Cantidad]]*VENTAS[[#This Row],[Precio Venta]]</f>
        <v>15</v>
      </c>
      <c r="J457" s="35">
        <f>IF(VENTAS[[#This Row],[Nombre del Gestor]]&gt;1,VENTAS[[#This Row],[Total]]*10%,0)</f>
        <v>0</v>
      </c>
      <c r="K457" s="35">
        <f>IFERROR(VLOOKUP(VENTAS[[#This Row],[Código del producto Vendido]],STOCK[],16,FALSE)*VENTAS[[#This Row],[Cantidad]]+VLOOKUP(VENTAS[[#This Row],[Código del producto Vendido]],STOCK[],19,FALSE)*VENTAS[[#This Row],[Cantidad]],VENTAS[[#This Row],[Total]])</f>
        <v>9.55</v>
      </c>
      <c r="L457" s="35">
        <f>VENTAS[[#This Row],[Total]]-VENTAS[[#This Row],[Comisión 10%]]-VENTAS[[#This Row],[Costo SIN Comision]]</f>
        <v>5.45</v>
      </c>
      <c r="M457" s="35"/>
    </row>
    <row r="458" ht="20" customHeight="1" spans="1:13">
      <c r="A458" s="65" t="s">
        <v>3399</v>
      </c>
      <c r="B458" s="30"/>
      <c r="C458" s="30" t="s">
        <v>3400</v>
      </c>
      <c r="D458" s="30"/>
      <c r="E458" s="30" t="s">
        <v>64</v>
      </c>
      <c r="F458" s="34" t="str">
        <f>IFERROR(VLOOKUP(VENTAS[[#This Row],[Código del producto Vendido]],STOCK[],5,FALSE),"-")</f>
        <v>Bañador Elegante con Lazo</v>
      </c>
      <c r="G458" s="34">
        <v>1</v>
      </c>
      <c r="H458" s="35">
        <v>20</v>
      </c>
      <c r="I458" s="35">
        <f>VENTAS[[#This Row],[Cantidad]]*VENTAS[[#This Row],[Precio Venta]]</f>
        <v>20</v>
      </c>
      <c r="J458" s="35">
        <f>IF(VENTAS[[#This Row],[Nombre del Gestor]]&gt;1,VENTAS[[#This Row],[Total]]*10%,0)</f>
        <v>0</v>
      </c>
      <c r="K458" s="35">
        <f>IFERROR(VLOOKUP(VENTAS[[#This Row],[Código del producto Vendido]],STOCK[],16,FALSE)*VENTAS[[#This Row],[Cantidad]]+VLOOKUP(VENTAS[[#This Row],[Código del producto Vendido]],STOCK[],19,FALSE)*VENTAS[[#This Row],[Cantidad]],VENTAS[[#This Row],[Total]])</f>
        <v>11.9716666666667</v>
      </c>
      <c r="L458" s="35">
        <f>VENTAS[[#This Row],[Total]]-VENTAS[[#This Row],[Comisión 10%]]-VENTAS[[#This Row],[Costo SIN Comision]]</f>
        <v>8.02833333333333</v>
      </c>
      <c r="M458" s="35"/>
    </row>
    <row r="459" ht="20" customHeight="1" spans="1:13">
      <c r="A459" s="64" t="s">
        <v>3399</v>
      </c>
      <c r="B459" s="30"/>
      <c r="C459" s="30" t="s">
        <v>3401</v>
      </c>
      <c r="D459" s="30"/>
      <c r="E459" s="30" t="s">
        <v>939</v>
      </c>
      <c r="F459" s="34" t="str">
        <f>IFERROR(VLOOKUP(VENTAS[[#This Row],[Código del producto Vendido]],STOCK[],5,FALSE),"-")</f>
        <v>Vestido Tropical</v>
      </c>
      <c r="G459" s="34">
        <v>1</v>
      </c>
      <c r="H459" s="35">
        <v>30</v>
      </c>
      <c r="I459" s="35">
        <f>VENTAS[[#This Row],[Cantidad]]*VENTAS[[#This Row],[Precio Venta]]</f>
        <v>30</v>
      </c>
      <c r="J459" s="35">
        <f>IF(VENTAS[[#This Row],[Nombre del Gestor]]&gt;1,VENTAS[[#This Row],[Total]]*10%,0)</f>
        <v>0</v>
      </c>
      <c r="K459" s="35">
        <f>IFERROR(VLOOKUP(VENTAS[[#This Row],[Código del producto Vendido]],STOCK[],16,FALSE)*VENTAS[[#This Row],[Cantidad]]+VLOOKUP(VENTAS[[#This Row],[Código del producto Vendido]],STOCK[],19,FALSE)*VENTAS[[#This Row],[Cantidad]],VENTAS[[#This Row],[Total]])</f>
        <v>19.0186363636364</v>
      </c>
      <c r="L459" s="35">
        <f>VENTAS[[#This Row],[Total]]-VENTAS[[#This Row],[Comisión 10%]]-VENTAS[[#This Row],[Costo SIN Comision]]</f>
        <v>10.9813636363636</v>
      </c>
      <c r="M459" s="35"/>
    </row>
    <row r="460" ht="20" customHeight="1" spans="1:13">
      <c r="A460" s="65" t="s">
        <v>3399</v>
      </c>
      <c r="B460" s="30"/>
      <c r="C460" s="30" t="s">
        <v>3401</v>
      </c>
      <c r="D460" s="30"/>
      <c r="E460" s="30" t="s">
        <v>529</v>
      </c>
      <c r="F460" s="34" t="str">
        <f>IFERROR(VLOOKUP(VENTAS[[#This Row],[Código del producto Vendido]],STOCK[],5,FALSE),"-")</f>
        <v>Esponja de maquillaje </v>
      </c>
      <c r="G460" s="34">
        <v>1</v>
      </c>
      <c r="H460" s="35">
        <v>1</v>
      </c>
      <c r="I460" s="35">
        <f>VENTAS[[#This Row],[Cantidad]]*VENTAS[[#This Row],[Precio Venta]]</f>
        <v>1</v>
      </c>
      <c r="J460" s="35">
        <f>IF(VENTAS[[#This Row],[Nombre del Gestor]]&gt;1,VENTAS[[#This Row],[Total]]*10%,0)</f>
        <v>0</v>
      </c>
      <c r="K460" s="35">
        <f>IFERROR(VLOOKUP(VENTAS[[#This Row],[Código del producto Vendido]],STOCK[],16,FALSE)*VENTAS[[#This Row],[Cantidad]]+VLOOKUP(VENTAS[[#This Row],[Código del producto Vendido]],STOCK[],19,FALSE)*VENTAS[[#This Row],[Cantidad]],VENTAS[[#This Row],[Total]])</f>
        <v>0.436111111111111</v>
      </c>
      <c r="L460" s="35">
        <f>VENTAS[[#This Row],[Total]]-VENTAS[[#This Row],[Comisión 10%]]-VENTAS[[#This Row],[Costo SIN Comision]]</f>
        <v>0.563888888888889</v>
      </c>
      <c r="M460" s="35"/>
    </row>
    <row r="461" ht="20" customHeight="1" spans="1:13">
      <c r="A461" s="64" t="s">
        <v>3402</v>
      </c>
      <c r="B461" s="30"/>
      <c r="C461" s="30" t="s">
        <v>3403</v>
      </c>
      <c r="D461" s="30"/>
      <c r="E461" s="30" t="s">
        <v>1185</v>
      </c>
      <c r="F461" s="34" t="str">
        <f>IFERROR(VLOOKUP(VENTAS[[#This Row],[Código del producto Vendido]],STOCK[],5,FALSE),"-")</f>
        <v>Top healter en capas color beige</v>
      </c>
      <c r="G461" s="34">
        <v>1</v>
      </c>
      <c r="H461" s="35">
        <v>17</v>
      </c>
      <c r="I461" s="35">
        <f>VENTAS[[#This Row],[Cantidad]]*VENTAS[[#This Row],[Precio Venta]]</f>
        <v>17</v>
      </c>
      <c r="J461" s="35">
        <f>IF(VENTAS[[#This Row],[Nombre del Gestor]]&gt;1,VENTAS[[#This Row],[Total]]*10%,0)</f>
        <v>0</v>
      </c>
      <c r="K461" s="35">
        <f>IFERROR(VLOOKUP(VENTAS[[#This Row],[Código del producto Vendido]],STOCK[],16,FALSE)*VENTAS[[#This Row],[Cantidad]]+VLOOKUP(VENTAS[[#This Row],[Código del producto Vendido]],STOCK[],19,FALSE)*VENTAS[[#This Row],[Cantidad]],VENTAS[[#This Row],[Total]])</f>
        <v>12.75</v>
      </c>
      <c r="L461" s="35">
        <f>VENTAS[[#This Row],[Total]]-VENTAS[[#This Row],[Comisión 10%]]-VENTAS[[#This Row],[Costo SIN Comision]]</f>
        <v>4.25</v>
      </c>
      <c r="M461" s="35"/>
    </row>
    <row r="462" ht="20" customHeight="1" spans="1:13">
      <c r="A462" s="65" t="s">
        <v>3402</v>
      </c>
      <c r="B462" s="30"/>
      <c r="C462" s="30" t="s">
        <v>3404</v>
      </c>
      <c r="D462" s="30"/>
      <c r="E462" s="30" t="s">
        <v>850</v>
      </c>
      <c r="F462" s="34" t="str">
        <f>IFERROR(VLOOKUP(VENTAS[[#This Row],[Código del producto Vendido]],STOCK[],5,FALSE),"-")</f>
        <v>Vestido esmeralda</v>
      </c>
      <c r="G462" s="34">
        <v>1</v>
      </c>
      <c r="H462" s="35">
        <v>20</v>
      </c>
      <c r="I462" s="35">
        <f>VENTAS[[#This Row],[Cantidad]]*VENTAS[[#This Row],[Precio Venta]]</f>
        <v>20</v>
      </c>
      <c r="J462" s="35">
        <f>IF(VENTAS[[#This Row],[Nombre del Gestor]]&gt;1,VENTAS[[#This Row],[Total]]*10%,0)</f>
        <v>0</v>
      </c>
      <c r="K462" s="35">
        <f>IFERROR(VLOOKUP(VENTAS[[#This Row],[Código del producto Vendido]],STOCK[],16,FALSE)*VENTAS[[#This Row],[Cantidad]]+VLOOKUP(VENTAS[[#This Row],[Código del producto Vendido]],STOCK[],19,FALSE)*VENTAS[[#This Row],[Cantidad]],VENTAS[[#This Row],[Total]])</f>
        <v>16.7777777777778</v>
      </c>
      <c r="L462" s="35">
        <f>VENTAS[[#This Row],[Total]]-VENTAS[[#This Row],[Comisión 10%]]-VENTAS[[#This Row],[Costo SIN Comision]]</f>
        <v>3.2222222222222</v>
      </c>
      <c r="M462" s="35"/>
    </row>
    <row r="463" ht="20" customHeight="1" spans="1:13">
      <c r="A463" s="64" t="s">
        <v>3405</v>
      </c>
      <c r="B463" s="30"/>
      <c r="C463" s="30" t="s">
        <v>3406</v>
      </c>
      <c r="D463" s="30"/>
      <c r="E463" s="30" t="s">
        <v>456</v>
      </c>
      <c r="F463" s="34" t="str">
        <f>IFERROR(VLOOKUP(VENTAS[[#This Row],[Código del producto Vendido]],STOCK[],5,FALSE),"-")</f>
        <v>Bolso pequeño guateado con perla artificial</v>
      </c>
      <c r="G463" s="34">
        <v>1</v>
      </c>
      <c r="H463" s="35">
        <v>15</v>
      </c>
      <c r="I463" s="35">
        <f>VENTAS[[#This Row],[Cantidad]]*VENTAS[[#This Row],[Precio Venta]]</f>
        <v>15</v>
      </c>
      <c r="J463" s="35">
        <f>IF(VENTAS[[#This Row],[Nombre del Gestor]]&gt;1,VENTAS[[#This Row],[Total]]*10%,0)</f>
        <v>0</v>
      </c>
      <c r="K463" s="35">
        <f>IFERROR(VLOOKUP(VENTAS[[#This Row],[Código del producto Vendido]],STOCK[],16,FALSE)*VENTAS[[#This Row],[Cantidad]]+VLOOKUP(VENTAS[[#This Row],[Código del producto Vendido]],STOCK[],19,FALSE)*VENTAS[[#This Row],[Cantidad]],VENTAS[[#This Row],[Total]])</f>
        <v>9.55</v>
      </c>
      <c r="L463" s="35">
        <f>VENTAS[[#This Row],[Total]]-VENTAS[[#This Row],[Comisión 10%]]-VENTAS[[#This Row],[Costo SIN Comision]]</f>
        <v>5.45</v>
      </c>
      <c r="M463" s="35"/>
    </row>
    <row r="464" ht="20" customHeight="1" spans="1:13">
      <c r="A464" s="65" t="s">
        <v>3405</v>
      </c>
      <c r="B464" s="30" t="s">
        <v>3407</v>
      </c>
      <c r="C464" s="30" t="s">
        <v>3328</v>
      </c>
      <c r="D464" s="30"/>
      <c r="E464" s="30" t="s">
        <v>903</v>
      </c>
      <c r="F464" s="34" t="str">
        <f>IFERROR(VLOOKUP(VENTAS[[#This Row],[Código del producto Vendido]],STOCK[],5,FALSE),"-")</f>
        <v>Maxi Vestido Fruncido</v>
      </c>
      <c r="G464" s="34">
        <v>1</v>
      </c>
      <c r="H464" s="35">
        <v>33</v>
      </c>
      <c r="I464" s="35">
        <f>VENTAS[[#This Row],[Cantidad]]*VENTAS[[#This Row],[Precio Venta]]</f>
        <v>33</v>
      </c>
      <c r="J464" s="35">
        <f>IF(VENTAS[[#This Row],[Nombre del Gestor]]&gt;1,VENTAS[[#This Row],[Total]]*10%,0)</f>
        <v>0</v>
      </c>
      <c r="K464" s="35">
        <f>IFERROR(VLOOKUP(VENTAS[[#This Row],[Código del producto Vendido]],STOCK[],16,FALSE)*VENTAS[[#This Row],[Cantidad]]+VLOOKUP(VENTAS[[#This Row],[Código del producto Vendido]],STOCK[],19,FALSE)*VENTAS[[#This Row],[Cantidad]],VENTAS[[#This Row],[Total]])</f>
        <v>21.4563636363636</v>
      </c>
      <c r="L464" s="35">
        <f>VENTAS[[#This Row],[Total]]-VENTAS[[#This Row],[Comisión 10%]]-VENTAS[[#This Row],[Costo SIN Comision]]</f>
        <v>11.5436363636364</v>
      </c>
      <c r="M464" s="35"/>
    </row>
    <row r="465" ht="20" customHeight="1" spans="1:13">
      <c r="A465" s="64" t="s">
        <v>3405</v>
      </c>
      <c r="B465" s="30" t="s">
        <v>3407</v>
      </c>
      <c r="C465" s="30" t="s">
        <v>3328</v>
      </c>
      <c r="D465" s="30"/>
      <c r="E465" s="30" t="s">
        <v>1011</v>
      </c>
      <c r="F465" s="34" t="str">
        <f>IFERROR(VLOOKUP(VENTAS[[#This Row],[Código del producto Vendido]],STOCK[],5,FALSE),"-")</f>
        <v>Maxi Vestido con Bolsillo</v>
      </c>
      <c r="G465" s="34">
        <v>1</v>
      </c>
      <c r="H465" s="35">
        <v>33</v>
      </c>
      <c r="I465" s="35">
        <f>VENTAS[[#This Row],[Cantidad]]*VENTAS[[#This Row],[Precio Venta]]</f>
        <v>33</v>
      </c>
      <c r="J465" s="35">
        <f>IF(VENTAS[[#This Row],[Nombre del Gestor]]&gt;1,VENTAS[[#This Row],[Total]]*10%,0)</f>
        <v>0</v>
      </c>
      <c r="K465" s="35">
        <f>IFERROR(VLOOKUP(VENTAS[[#This Row],[Código del producto Vendido]],STOCK[],16,FALSE)*VENTAS[[#This Row],[Cantidad]]+VLOOKUP(VENTAS[[#This Row],[Código del producto Vendido]],STOCK[],19,FALSE)*VENTAS[[#This Row],[Cantidad]],VENTAS[[#This Row],[Total]])</f>
        <v>22.1920454545455</v>
      </c>
      <c r="L465" s="35">
        <f>VENTAS[[#This Row],[Total]]-VENTAS[[#This Row],[Comisión 10%]]-VENTAS[[#This Row],[Costo SIN Comision]]</f>
        <v>10.8079545454545</v>
      </c>
      <c r="M465" s="35"/>
    </row>
    <row r="466" ht="20" customHeight="1" spans="1:13">
      <c r="A466" s="65" t="s">
        <v>3405</v>
      </c>
      <c r="B466" s="30"/>
      <c r="C466" s="30" t="s">
        <v>3408</v>
      </c>
      <c r="D466" s="30"/>
      <c r="E466" s="30" t="s">
        <v>716</v>
      </c>
      <c r="F466" s="34" t="str">
        <f>IFERROR(VLOOKUP(VENTAS[[#This Row],[Código del producto Vendido]],STOCK[],5,FALSE),"-")</f>
        <v>Vestido bodycon</v>
      </c>
      <c r="G466" s="34">
        <v>1</v>
      </c>
      <c r="H466" s="35">
        <v>12</v>
      </c>
      <c r="I466" s="35">
        <f>VENTAS[[#This Row],[Cantidad]]*VENTAS[[#This Row],[Precio Venta]]</f>
        <v>12</v>
      </c>
      <c r="J466" s="35">
        <f>IF(VENTAS[[#This Row],[Nombre del Gestor]]&gt;1,VENTAS[[#This Row],[Total]]*10%,0)</f>
        <v>0</v>
      </c>
      <c r="K466" s="35">
        <f>IFERROR(VLOOKUP(VENTAS[[#This Row],[Código del producto Vendido]],STOCK[],16,FALSE)*VENTAS[[#This Row],[Cantidad]]+VLOOKUP(VENTAS[[#This Row],[Código del producto Vendido]],STOCK[],19,FALSE)*VENTAS[[#This Row],[Cantidad]],VENTAS[[#This Row],[Total]])</f>
        <v>5.72222222222222</v>
      </c>
      <c r="L466" s="35">
        <f>VENTAS[[#This Row],[Total]]-VENTAS[[#This Row],[Comisión 10%]]-VENTAS[[#This Row],[Costo SIN Comision]]</f>
        <v>6.27777777777778</v>
      </c>
      <c r="M466" s="35"/>
    </row>
    <row r="467" ht="20" customHeight="1" spans="1:13">
      <c r="A467" s="64" t="s">
        <v>3405</v>
      </c>
      <c r="B467" s="30" t="s">
        <v>3409</v>
      </c>
      <c r="C467" s="30" t="s">
        <v>3410</v>
      </c>
      <c r="D467" s="30"/>
      <c r="E467" s="30" t="s">
        <v>29</v>
      </c>
      <c r="F467" s="34" t="str">
        <f>IFERROR(VLOOKUP(VENTAS[[#This Row],[Código del producto Vendido]],STOCK[],5,FALSE),"-")</f>
        <v>Pareo falda </v>
      </c>
      <c r="G467" s="34">
        <v>1</v>
      </c>
      <c r="H467" s="35">
        <v>6</v>
      </c>
      <c r="I467" s="35">
        <f>VENTAS[[#This Row],[Cantidad]]*VENTAS[[#This Row],[Precio Venta]]</f>
        <v>6</v>
      </c>
      <c r="J467" s="35">
        <f>IF(VENTAS[[#This Row],[Nombre del Gestor]]&gt;1,VENTAS[[#This Row],[Total]]*10%,0)</f>
        <v>0</v>
      </c>
      <c r="K467" s="35">
        <f>IFERROR(VLOOKUP(VENTAS[[#This Row],[Código del producto Vendido]],STOCK[],16,FALSE)*VENTAS[[#This Row],[Cantidad]]+VLOOKUP(VENTAS[[#This Row],[Código del producto Vendido]],STOCK[],19,FALSE)*VENTAS[[#This Row],[Cantidad]],VENTAS[[#This Row],[Total]])</f>
        <v>4.33722222222222</v>
      </c>
      <c r="L467" s="35">
        <f>VENTAS[[#This Row],[Total]]-VENTAS[[#This Row],[Comisión 10%]]-VENTAS[[#This Row],[Costo SIN Comision]]</f>
        <v>1.66277777777778</v>
      </c>
      <c r="M467" s="35"/>
    </row>
    <row r="468" ht="20" customHeight="1" spans="1:13">
      <c r="A468" s="65" t="s">
        <v>3405</v>
      </c>
      <c r="B468" s="30"/>
      <c r="C468" s="30" t="s">
        <v>3410</v>
      </c>
      <c r="D468" s="30"/>
      <c r="E468" s="30" t="s">
        <v>73</v>
      </c>
      <c r="F468" s="34" t="str">
        <f>IFERROR(VLOOKUP(VENTAS[[#This Row],[Código del producto Vendido]],STOCK[],5,FALSE),"-")</f>
        <v>Bañador floral </v>
      </c>
      <c r="G468" s="34">
        <v>1</v>
      </c>
      <c r="H468" s="35">
        <v>28</v>
      </c>
      <c r="I468" s="35">
        <f>VENTAS[[#This Row],[Cantidad]]*VENTAS[[#This Row],[Precio Venta]]</f>
        <v>28</v>
      </c>
      <c r="J468" s="35">
        <f>IF(VENTAS[[#This Row],[Nombre del Gestor]]&gt;1,VENTAS[[#This Row],[Total]]*10%,0)</f>
        <v>0</v>
      </c>
      <c r="K468" s="35">
        <f>IFERROR(VLOOKUP(VENTAS[[#This Row],[Código del producto Vendido]],STOCK[],16,FALSE)*VENTAS[[#This Row],[Cantidad]]+VLOOKUP(VENTAS[[#This Row],[Código del producto Vendido]],STOCK[],19,FALSE)*VENTAS[[#This Row],[Cantidad]],VENTAS[[#This Row],[Total]])</f>
        <v>18.0538888888889</v>
      </c>
      <c r="L468" s="35">
        <f>VENTAS[[#This Row],[Total]]-VENTAS[[#This Row],[Comisión 10%]]-VENTAS[[#This Row],[Costo SIN Comision]]</f>
        <v>9.9461111111111</v>
      </c>
      <c r="M468" s="35"/>
    </row>
    <row r="469" ht="20" customHeight="1" spans="1:13">
      <c r="A469" s="64" t="s">
        <v>3405</v>
      </c>
      <c r="B469" s="30"/>
      <c r="C469" s="30" t="s">
        <v>3410</v>
      </c>
      <c r="D469" s="30"/>
      <c r="E469" s="30" t="s">
        <v>804</v>
      </c>
      <c r="F469" s="34" t="str">
        <f>IFERROR(VLOOKUP(VENTAS[[#This Row],[Código del producto Vendido]],STOCK[],5,FALSE),"-")</f>
        <v> Bañador espalda descubierta</v>
      </c>
      <c r="G469" s="34">
        <v>1</v>
      </c>
      <c r="H469" s="35">
        <v>20</v>
      </c>
      <c r="I469" s="35">
        <f>VENTAS[[#This Row],[Cantidad]]*VENTAS[[#This Row],[Precio Venta]]</f>
        <v>20</v>
      </c>
      <c r="J469" s="35">
        <f>IF(VENTAS[[#This Row],[Nombre del Gestor]]&gt;1,VENTAS[[#This Row],[Total]]*10%,0)</f>
        <v>0</v>
      </c>
      <c r="K469" s="35">
        <f>IFERROR(VLOOKUP(VENTAS[[#This Row],[Código del producto Vendido]],STOCK[],16,FALSE)*VENTAS[[#This Row],[Cantidad]]+VLOOKUP(VENTAS[[#This Row],[Código del producto Vendido]],STOCK[],19,FALSE)*VENTAS[[#This Row],[Cantidad]],VENTAS[[#This Row],[Total]])</f>
        <v>15.5555555555556</v>
      </c>
      <c r="L469" s="35">
        <f>VENTAS[[#This Row],[Total]]-VENTAS[[#This Row],[Comisión 10%]]-VENTAS[[#This Row],[Costo SIN Comision]]</f>
        <v>4.4444444444444</v>
      </c>
      <c r="M469" s="35"/>
    </row>
    <row r="470" ht="20" customHeight="1" spans="1:13">
      <c r="A470" s="65" t="s">
        <v>3405</v>
      </c>
      <c r="B470" s="30"/>
      <c r="C470" s="30" t="s">
        <v>3411</v>
      </c>
      <c r="D470" s="30"/>
      <c r="E470" s="30" t="s">
        <v>100</v>
      </c>
      <c r="F470" s="34" t="str">
        <f>IFERROR(VLOOKUP(VENTAS[[#This Row],[Código del producto Vendido]],STOCK[],5,FALSE),"-")</f>
        <v>Pareo pantalón de malla</v>
      </c>
      <c r="G470" s="34">
        <v>1</v>
      </c>
      <c r="H470" s="35">
        <v>15</v>
      </c>
      <c r="I470" s="35">
        <f>VENTAS[[#This Row],[Cantidad]]*VENTAS[[#This Row],[Precio Venta]]</f>
        <v>15</v>
      </c>
      <c r="J470" s="35">
        <f>IF(VENTAS[[#This Row],[Nombre del Gestor]]&gt;1,VENTAS[[#This Row],[Total]]*10%,0)</f>
        <v>0</v>
      </c>
      <c r="K470" s="35">
        <f>IFERROR(VLOOKUP(VENTAS[[#This Row],[Código del producto Vendido]],STOCK[],16,FALSE)*VENTAS[[#This Row],[Cantidad]]+VLOOKUP(VENTAS[[#This Row],[Código del producto Vendido]],STOCK[],19,FALSE)*VENTAS[[#This Row],[Cantidad]],VENTAS[[#This Row],[Total]])</f>
        <v>9.78555555555556</v>
      </c>
      <c r="L470" s="35">
        <f>VENTAS[[#This Row],[Total]]-VENTAS[[#This Row],[Comisión 10%]]-VENTAS[[#This Row],[Costo SIN Comision]]</f>
        <v>5.21444444444444</v>
      </c>
      <c r="M470" s="35"/>
    </row>
    <row r="471" ht="20" customHeight="1" spans="1:13">
      <c r="A471" s="64" t="s">
        <v>3405</v>
      </c>
      <c r="B471" s="30"/>
      <c r="C471" s="30" t="s">
        <v>3412</v>
      </c>
      <c r="D471" s="30"/>
      <c r="E471" s="30" t="s">
        <v>634</v>
      </c>
      <c r="F471" s="34" t="str">
        <f>IFERROR(VLOOKUP(VENTAS[[#This Row],[Código del producto Vendido]],STOCK[],5,FALSE),"-")</f>
        <v>Vestido floral escote corazón</v>
      </c>
      <c r="G471" s="34">
        <v>1</v>
      </c>
      <c r="H471" s="35">
        <v>18</v>
      </c>
      <c r="I471" s="35">
        <f>VENTAS[[#This Row],[Cantidad]]*VENTAS[[#This Row],[Precio Venta]]</f>
        <v>18</v>
      </c>
      <c r="J471" s="35">
        <f>IF(VENTAS[[#This Row],[Nombre del Gestor]]&gt;1,VENTAS[[#This Row],[Total]]*10%,0)</f>
        <v>0</v>
      </c>
      <c r="K471" s="35">
        <f>IFERROR(VLOOKUP(VENTAS[[#This Row],[Código del producto Vendido]],STOCK[],16,FALSE)*VENTAS[[#This Row],[Cantidad]]+VLOOKUP(VENTAS[[#This Row],[Código del producto Vendido]],STOCK[],19,FALSE)*VENTAS[[#This Row],[Cantidad]],VENTAS[[#This Row],[Total]])</f>
        <v>10.7222222222222</v>
      </c>
      <c r="L471" s="35">
        <f>VENTAS[[#This Row],[Total]]-VENTAS[[#This Row],[Comisión 10%]]-VENTAS[[#This Row],[Costo SIN Comision]]</f>
        <v>7.27777777777778</v>
      </c>
      <c r="M471" s="35"/>
    </row>
    <row r="472" ht="20" customHeight="1" spans="1:13">
      <c r="A472" s="65" t="s">
        <v>3413</v>
      </c>
      <c r="B472" s="30"/>
      <c r="C472" s="30" t="s">
        <v>3414</v>
      </c>
      <c r="D472" s="30"/>
      <c r="E472" s="30" t="s">
        <v>1283</v>
      </c>
      <c r="F472" s="34" t="str">
        <f>IFERROR(VLOOKUP(VENTAS[[#This Row],[Código del producto Vendido]],STOCK[],5,FALSE),"-")</f>
        <v>Pantalón de corte recto</v>
      </c>
      <c r="G472" s="34">
        <v>1</v>
      </c>
      <c r="H472" s="35">
        <v>30</v>
      </c>
      <c r="I472" s="35">
        <f>VENTAS[[#This Row],[Cantidad]]*VENTAS[[#This Row],[Precio Venta]]</f>
        <v>30</v>
      </c>
      <c r="J472" s="35">
        <f>IF(VENTAS[[#This Row],[Nombre del Gestor]]&gt;1,VENTAS[[#This Row],[Total]]*10%,0)</f>
        <v>0</v>
      </c>
      <c r="K472" s="35">
        <f>IFERROR(VLOOKUP(VENTAS[[#This Row],[Código del producto Vendido]],STOCK[],16,FALSE)*VENTAS[[#This Row],[Cantidad]]+VLOOKUP(VENTAS[[#This Row],[Código del producto Vendido]],STOCK[],19,FALSE)*VENTAS[[#This Row],[Cantidad]],VENTAS[[#This Row],[Total]])</f>
        <v>20.78</v>
      </c>
      <c r="L472" s="35">
        <f>VENTAS[[#This Row],[Total]]-VENTAS[[#This Row],[Comisión 10%]]-VENTAS[[#This Row],[Costo SIN Comision]]</f>
        <v>9.22</v>
      </c>
      <c r="M472" s="35"/>
    </row>
    <row r="473" ht="20" customHeight="1" spans="1:13">
      <c r="A473" s="64" t="s">
        <v>3413</v>
      </c>
      <c r="B473" s="30"/>
      <c r="C473" s="30" t="s">
        <v>3415</v>
      </c>
      <c r="D473" s="30"/>
      <c r="E473" s="30" t="s">
        <v>1295</v>
      </c>
      <c r="F473" s="34" t="str">
        <f>IFERROR(VLOOKUP(VENTAS[[#This Row],[Código del producto Vendido]],STOCK[],5,FALSE),"-")</f>
        <v>Pantaloneta con cinturón</v>
      </c>
      <c r="G473" s="34">
        <v>1</v>
      </c>
      <c r="H473" s="35">
        <v>26</v>
      </c>
      <c r="I473" s="35">
        <f>VENTAS[[#This Row],[Cantidad]]*VENTAS[[#This Row],[Precio Venta]]</f>
        <v>26</v>
      </c>
      <c r="J473" s="35">
        <f>IF(VENTAS[[#This Row],[Nombre del Gestor]]&gt;1,VENTAS[[#This Row],[Total]]*10%,0)</f>
        <v>0</v>
      </c>
      <c r="K473" s="35">
        <f>IFERROR(VLOOKUP(VENTAS[[#This Row],[Código del producto Vendido]],STOCK[],16,FALSE)*VENTAS[[#This Row],[Cantidad]]+VLOOKUP(VENTAS[[#This Row],[Código del producto Vendido]],STOCK[],19,FALSE)*VENTAS[[#This Row],[Cantidad]],VENTAS[[#This Row],[Total]])</f>
        <v>18</v>
      </c>
      <c r="L473" s="35">
        <f>VENTAS[[#This Row],[Total]]-VENTAS[[#This Row],[Comisión 10%]]-VENTAS[[#This Row],[Costo SIN Comision]]</f>
        <v>8</v>
      </c>
      <c r="M473" s="35"/>
    </row>
    <row r="474" ht="20" customHeight="1" spans="1:13">
      <c r="A474" s="65" t="s">
        <v>3413</v>
      </c>
      <c r="B474" s="30"/>
      <c r="C474" s="30" t="s">
        <v>3415</v>
      </c>
      <c r="D474" s="30"/>
      <c r="E474" s="30" t="s">
        <v>1216</v>
      </c>
      <c r="F474" s="34" t="str">
        <f>IFERROR(VLOOKUP(VENTAS[[#This Row],[Código del producto Vendido]],STOCK[],5,FALSE),"-")</f>
        <v>Pullover negro cuello redondo</v>
      </c>
      <c r="G474" s="34">
        <v>1</v>
      </c>
      <c r="H474" s="35">
        <v>13</v>
      </c>
      <c r="I474" s="35">
        <f>VENTAS[[#This Row],[Cantidad]]*VENTAS[[#This Row],[Precio Venta]]</f>
        <v>13</v>
      </c>
      <c r="J474" s="35">
        <f>IF(VENTAS[[#This Row],[Nombre del Gestor]]&gt;1,VENTAS[[#This Row],[Total]]*10%,0)</f>
        <v>0</v>
      </c>
      <c r="K474" s="35">
        <f>IFERROR(VLOOKUP(VENTAS[[#This Row],[Código del producto Vendido]],STOCK[],16,FALSE)*VENTAS[[#This Row],[Cantidad]]+VLOOKUP(VENTAS[[#This Row],[Código del producto Vendido]],STOCK[],19,FALSE)*VENTAS[[#This Row],[Cantidad]],VENTAS[[#This Row],[Total]])</f>
        <v>8.53</v>
      </c>
      <c r="L474" s="35">
        <f>VENTAS[[#This Row],[Total]]-VENTAS[[#This Row],[Comisión 10%]]-VENTAS[[#This Row],[Costo SIN Comision]]</f>
        <v>4.47</v>
      </c>
      <c r="M474" s="35"/>
    </row>
    <row r="475" ht="20" customHeight="1" spans="1:13">
      <c r="A475" s="64" t="s">
        <v>3416</v>
      </c>
      <c r="B475" s="30"/>
      <c r="C475" s="30" t="s">
        <v>3417</v>
      </c>
      <c r="D475" s="30"/>
      <c r="E475" s="30" t="s">
        <v>1110</v>
      </c>
      <c r="F475" s="34" t="str">
        <f>IFERROR(VLOOKUP(VENTAS[[#This Row],[Código del producto Vendido]],STOCK[],5,FALSE),"-")</f>
        <v>Jumpsuit culotte</v>
      </c>
      <c r="G475" s="34">
        <v>1</v>
      </c>
      <c r="H475" s="35">
        <v>22</v>
      </c>
      <c r="I475" s="35">
        <f>VENTAS[[#This Row],[Cantidad]]*VENTAS[[#This Row],[Precio Venta]]</f>
        <v>22</v>
      </c>
      <c r="J475" s="35">
        <f>IF(VENTAS[[#This Row],[Nombre del Gestor]]&gt;1,VENTAS[[#This Row],[Total]]*10%,0)</f>
        <v>0</v>
      </c>
      <c r="K475" s="35">
        <f>IFERROR(VLOOKUP(VENTAS[[#This Row],[Código del producto Vendido]],STOCK[],16,FALSE)*VENTAS[[#This Row],[Cantidad]]+VLOOKUP(VENTAS[[#This Row],[Código del producto Vendido]],STOCK[],19,FALSE)*VENTAS[[#This Row],[Cantidad]],VENTAS[[#This Row],[Total]])</f>
        <v>18.4279411764706</v>
      </c>
      <c r="L475" s="35">
        <f>VENTAS[[#This Row],[Total]]-VENTAS[[#This Row],[Comisión 10%]]-VENTAS[[#This Row],[Costo SIN Comision]]</f>
        <v>3.5720588235294</v>
      </c>
      <c r="M475" s="35"/>
    </row>
    <row r="476" ht="20" customHeight="1" spans="1:13">
      <c r="A476" s="65" t="s">
        <v>3416</v>
      </c>
      <c r="B476" s="30"/>
      <c r="C476" s="30" t="s">
        <v>3417</v>
      </c>
      <c r="D476" s="30"/>
      <c r="E476" s="30" t="s">
        <v>1104</v>
      </c>
      <c r="F476" s="34" t="str">
        <f>IFERROR(VLOOKUP(VENTAS[[#This Row],[Código del producto Vendido]],STOCK[],5,FALSE),"-")</f>
        <v>Mono Oblicuo con bolsillo</v>
      </c>
      <c r="G476" s="34">
        <v>1</v>
      </c>
      <c r="H476" s="35">
        <v>19</v>
      </c>
      <c r="I476" s="35">
        <f>VENTAS[[#This Row],[Cantidad]]*VENTAS[[#This Row],[Precio Venta]]</f>
        <v>19</v>
      </c>
      <c r="J476" s="35">
        <f>IF(VENTAS[[#This Row],[Nombre del Gestor]]&gt;1,VENTAS[[#This Row],[Total]]*10%,0)</f>
        <v>0</v>
      </c>
      <c r="K476" s="35">
        <f>IFERROR(VLOOKUP(VENTAS[[#This Row],[Código del producto Vendido]],STOCK[],16,FALSE)*VENTAS[[#This Row],[Cantidad]]+VLOOKUP(VENTAS[[#This Row],[Código del producto Vendido]],STOCK[],19,FALSE)*VENTAS[[#This Row],[Cantidad]],VENTAS[[#This Row],[Total]])</f>
        <v>14.5485294117647</v>
      </c>
      <c r="L476" s="35">
        <f>VENTAS[[#This Row],[Total]]-VENTAS[[#This Row],[Comisión 10%]]-VENTAS[[#This Row],[Costo SIN Comision]]</f>
        <v>4.45147058823529</v>
      </c>
      <c r="M476" s="35"/>
    </row>
    <row r="477" ht="20" customHeight="1" spans="1:13">
      <c r="A477" s="64" t="s">
        <v>3416</v>
      </c>
      <c r="B477" s="30"/>
      <c r="C477" s="30" t="s">
        <v>3342</v>
      </c>
      <c r="D477" s="30"/>
      <c r="E477" s="30" t="s">
        <v>1255</v>
      </c>
      <c r="F477" s="34" t="str">
        <f>IFERROR(VLOOKUP(VENTAS[[#This Row],[Código del producto Vendido]],STOCK[],5,FALSE),"-")</f>
        <v>Maxi vestido playero rojo</v>
      </c>
      <c r="G477" s="34">
        <v>1</v>
      </c>
      <c r="H477" s="35">
        <v>35</v>
      </c>
      <c r="I477" s="35">
        <f>VENTAS[[#This Row],[Cantidad]]*VENTAS[[#This Row],[Precio Venta]]</f>
        <v>35</v>
      </c>
      <c r="J477" s="35">
        <f>IF(VENTAS[[#This Row],[Nombre del Gestor]]&gt;1,VENTAS[[#This Row],[Total]]*10%,0)</f>
        <v>0</v>
      </c>
      <c r="K477" s="35">
        <f>IFERROR(VLOOKUP(VENTAS[[#This Row],[Código del producto Vendido]],STOCK[],16,FALSE)*VENTAS[[#This Row],[Cantidad]]+VLOOKUP(VENTAS[[#This Row],[Código del producto Vendido]],STOCK[],19,FALSE)*VENTAS[[#This Row],[Cantidad]],VENTAS[[#This Row],[Total]])</f>
        <v>23.42</v>
      </c>
      <c r="L477" s="35">
        <f>VENTAS[[#This Row],[Total]]-VENTAS[[#This Row],[Comisión 10%]]-VENTAS[[#This Row],[Costo SIN Comision]]</f>
        <v>11.58</v>
      </c>
      <c r="M477" s="35"/>
    </row>
    <row r="478" ht="20" customHeight="1" spans="1:13">
      <c r="A478" s="65" t="s">
        <v>3416</v>
      </c>
      <c r="B478" s="30"/>
      <c r="C478" s="30" t="s">
        <v>3415</v>
      </c>
      <c r="D478" s="30"/>
      <c r="E478" s="30" t="s">
        <v>218</v>
      </c>
      <c r="F478" s="34" t="str">
        <f>IFERROR(VLOOKUP(VENTAS[[#This Row],[Código del producto Vendido]],STOCK[],5,FALSE),"-")</f>
        <v>Camisetaen contraste tejido canalé</v>
      </c>
      <c r="G478" s="34">
        <v>1</v>
      </c>
      <c r="H478" s="35">
        <v>14</v>
      </c>
      <c r="I478" s="35">
        <f>VENTAS[[#This Row],[Cantidad]]*VENTAS[[#This Row],[Precio Venta]]</f>
        <v>14</v>
      </c>
      <c r="J478" s="35">
        <f>IF(VENTAS[[#This Row],[Nombre del Gestor]]&gt;1,VENTAS[[#This Row],[Total]]*10%,0)</f>
        <v>0</v>
      </c>
      <c r="K478" s="35">
        <f>IFERROR(VLOOKUP(VENTAS[[#This Row],[Código del producto Vendido]],STOCK[],16,FALSE)*VENTAS[[#This Row],[Cantidad]]+VLOOKUP(VENTAS[[#This Row],[Código del producto Vendido]],STOCK[],19,FALSE)*VENTAS[[#This Row],[Cantidad]],VENTAS[[#This Row],[Total]])</f>
        <v>8.85777777777778</v>
      </c>
      <c r="L478" s="35">
        <f>VENTAS[[#This Row],[Total]]-VENTAS[[#This Row],[Comisión 10%]]-VENTAS[[#This Row],[Costo SIN Comision]]</f>
        <v>5.14222222222222</v>
      </c>
      <c r="M478" s="35"/>
    </row>
    <row r="479" ht="20" customHeight="1" spans="1:13">
      <c r="A479" s="64" t="s">
        <v>3416</v>
      </c>
      <c r="B479" s="30"/>
      <c r="C479" s="30" t="s">
        <v>3418</v>
      </c>
      <c r="D479" s="30"/>
      <c r="E479" s="30" t="s">
        <v>29</v>
      </c>
      <c r="F479" s="34" t="str">
        <f>IFERROR(VLOOKUP(VENTAS[[#This Row],[Código del producto Vendido]],STOCK[],5,FALSE),"-")</f>
        <v>Pareo falda </v>
      </c>
      <c r="G479" s="34">
        <v>1</v>
      </c>
      <c r="H479" s="35">
        <v>8</v>
      </c>
      <c r="I479" s="35">
        <f>VENTAS[[#This Row],[Cantidad]]*VENTAS[[#This Row],[Precio Venta]]</f>
        <v>8</v>
      </c>
      <c r="J479" s="35">
        <f>IF(VENTAS[[#This Row],[Nombre del Gestor]]&gt;1,VENTAS[[#This Row],[Total]]*10%,0)</f>
        <v>0</v>
      </c>
      <c r="K479" s="35">
        <f>IFERROR(VLOOKUP(VENTAS[[#This Row],[Código del producto Vendido]],STOCK[],16,FALSE)*VENTAS[[#This Row],[Cantidad]]+VLOOKUP(VENTAS[[#This Row],[Código del producto Vendido]],STOCK[],19,FALSE)*VENTAS[[#This Row],[Cantidad]],VENTAS[[#This Row],[Total]])</f>
        <v>4.33722222222222</v>
      </c>
      <c r="L479" s="35">
        <f>VENTAS[[#This Row],[Total]]-VENTAS[[#This Row],[Comisión 10%]]-VENTAS[[#This Row],[Costo SIN Comision]]</f>
        <v>3.66277777777778</v>
      </c>
      <c r="M479" s="35"/>
    </row>
    <row r="480" ht="20" customHeight="1" spans="1:13">
      <c r="A480" s="65" t="s">
        <v>3419</v>
      </c>
      <c r="B480" s="30"/>
      <c r="C480" s="30" t="s">
        <v>3420</v>
      </c>
      <c r="D480" s="30"/>
      <c r="E480" s="30" t="s">
        <v>1203</v>
      </c>
      <c r="F480" s="34" t="str">
        <f>IFERROR(VLOOKUP(VENTAS[[#This Row],[Código del producto Vendido]],STOCK[],5,FALSE),"-")</f>
        <v>Camisa Blanca</v>
      </c>
      <c r="G480" s="34">
        <v>1</v>
      </c>
      <c r="H480" s="35">
        <v>20</v>
      </c>
      <c r="I480" s="35">
        <f>VENTAS[[#This Row],[Cantidad]]*VENTAS[[#This Row],[Precio Venta]]</f>
        <v>20</v>
      </c>
      <c r="J480" s="35">
        <f>IF(VENTAS[[#This Row],[Nombre del Gestor]]&gt;1,VENTAS[[#This Row],[Total]]*10%,0)</f>
        <v>0</v>
      </c>
      <c r="K480" s="35">
        <f>IFERROR(VLOOKUP(VENTAS[[#This Row],[Código del producto Vendido]],STOCK[],16,FALSE)*VENTAS[[#This Row],[Cantidad]]+VLOOKUP(VENTAS[[#This Row],[Código del producto Vendido]],STOCK[],19,FALSE)*VENTAS[[#This Row],[Cantidad]],VENTAS[[#This Row],[Total]])</f>
        <v>12.9</v>
      </c>
      <c r="L480" s="35">
        <f>VENTAS[[#This Row],[Total]]-VENTAS[[#This Row],[Comisión 10%]]-VENTAS[[#This Row],[Costo SIN Comision]]</f>
        <v>7.1</v>
      </c>
      <c r="M480" s="35"/>
    </row>
    <row r="481" ht="20" customHeight="1" spans="1:13">
      <c r="A481" s="64" t="s">
        <v>3419</v>
      </c>
      <c r="B481" s="30"/>
      <c r="C481" s="30" t="s">
        <v>3421</v>
      </c>
      <c r="D481" s="30"/>
      <c r="E481" s="30" t="s">
        <v>245</v>
      </c>
      <c r="F481" s="34" t="str">
        <f>IFERROR(VLOOKUP(VENTAS[[#This Row],[Código del producto Vendido]],STOCK[],5,FALSE),"-")</f>
        <v>Top de mangas anchas y lentejuelas amarillo</v>
      </c>
      <c r="G481" s="34">
        <v>0</v>
      </c>
      <c r="H481" s="35">
        <v>0</v>
      </c>
      <c r="I481" s="35">
        <f>VENTAS[[#This Row],[Cantidad]]*VENTAS[[#This Row],[Precio Venta]]</f>
        <v>0</v>
      </c>
      <c r="J481" s="35">
        <f>IF(VENTAS[[#This Row],[Nombre del Gestor]]&gt;1,VENTAS[[#This Row],[Total]]*10%,0)</f>
        <v>0</v>
      </c>
      <c r="K481" s="35">
        <f>IFERROR(VLOOKUP(VENTAS[[#This Row],[Código del producto Vendido]],STOCK[],16,FALSE)*VENTAS[[#This Row],[Cantidad]]+VLOOKUP(VENTAS[[#This Row],[Código del producto Vendido]],STOCK[],19,FALSE)*VENTAS[[#This Row],[Cantidad]],VENTAS[[#This Row],[Total]])</f>
        <v>0</v>
      </c>
      <c r="L481" s="35">
        <f>VENTAS[[#This Row],[Total]]-VENTAS[[#This Row],[Comisión 10%]]-VENTAS[[#This Row],[Costo SIN Comision]]</f>
        <v>0</v>
      </c>
      <c r="M481" s="35"/>
    </row>
    <row r="482" ht="20" customHeight="1" spans="1:13">
      <c r="A482" s="65" t="s">
        <v>3419</v>
      </c>
      <c r="B482" s="30"/>
      <c r="C482" s="30" t="s">
        <v>3326</v>
      </c>
      <c r="D482" s="30"/>
      <c r="E482" s="30" t="s">
        <v>449</v>
      </c>
      <c r="F482" s="34" t="str">
        <f>IFERROR(VLOOKUP(VENTAS[[#This Row],[Código del producto Vendido]],STOCK[],5,FALSE),"-")</f>
        <v>Bañador estampado de planta</v>
      </c>
      <c r="G482" s="34">
        <v>1</v>
      </c>
      <c r="H482" s="35">
        <v>25</v>
      </c>
      <c r="I482" s="35">
        <f>VENTAS[[#This Row],[Cantidad]]*VENTAS[[#This Row],[Precio Venta]]</f>
        <v>25</v>
      </c>
      <c r="J482" s="35">
        <f>IF(VENTAS[[#This Row],[Nombre del Gestor]]&gt;1,VENTAS[[#This Row],[Total]]*10%,0)</f>
        <v>0</v>
      </c>
      <c r="K482" s="35">
        <f>IFERROR(VLOOKUP(VENTAS[[#This Row],[Código del producto Vendido]],STOCK[],16,FALSE)*VENTAS[[#This Row],[Cantidad]]+VLOOKUP(VENTAS[[#This Row],[Código del producto Vendido]],STOCK[],19,FALSE)*VENTAS[[#This Row],[Cantidad]],VENTAS[[#This Row],[Total]])</f>
        <v>13.4166666666667</v>
      </c>
      <c r="L482" s="35">
        <f>VENTAS[[#This Row],[Total]]-VENTAS[[#This Row],[Comisión 10%]]-VENTAS[[#This Row],[Costo SIN Comision]]</f>
        <v>11.5833333333333</v>
      </c>
      <c r="M482" s="35"/>
    </row>
    <row r="483" ht="20" customHeight="1" spans="1:13">
      <c r="A483" s="64" t="s">
        <v>3419</v>
      </c>
      <c r="B483" s="30"/>
      <c r="C483" s="30" t="s">
        <v>3422</v>
      </c>
      <c r="D483" s="30"/>
      <c r="E483" s="30" t="s">
        <v>755</v>
      </c>
      <c r="F483" s="34" t="str">
        <f>IFERROR(VLOOKUP(VENTAS[[#This Row],[Código del producto Vendido]],STOCK[],5,FALSE),"-")</f>
        <v>Sandalias Trenzadas</v>
      </c>
      <c r="G483" s="34">
        <v>1</v>
      </c>
      <c r="H483" s="35">
        <v>35</v>
      </c>
      <c r="I483" s="35">
        <f>VENTAS[[#This Row],[Cantidad]]*VENTAS[[#This Row],[Precio Venta]]</f>
        <v>35</v>
      </c>
      <c r="J483" s="35">
        <f>IF(VENTAS[[#This Row],[Nombre del Gestor]]&gt;1,VENTAS[[#This Row],[Total]]*10%,0)</f>
        <v>0</v>
      </c>
      <c r="K483" s="35">
        <f>IFERROR(VLOOKUP(VENTAS[[#This Row],[Código del producto Vendido]],STOCK[],16,FALSE)*VENTAS[[#This Row],[Cantidad]]+VLOOKUP(VENTAS[[#This Row],[Código del producto Vendido]],STOCK[],19,FALSE)*VENTAS[[#This Row],[Cantidad]],VENTAS[[#This Row],[Total]])</f>
        <v>27</v>
      </c>
      <c r="L483" s="35">
        <f>VENTAS[[#This Row],[Total]]-VENTAS[[#This Row],[Comisión 10%]]-VENTAS[[#This Row],[Costo SIN Comision]]</f>
        <v>8</v>
      </c>
      <c r="M483" s="35"/>
    </row>
    <row r="484" ht="20" customHeight="1" spans="1:13">
      <c r="A484" s="65" t="s">
        <v>3419</v>
      </c>
      <c r="B484" s="30"/>
      <c r="C484" s="30" t="s">
        <v>3415</v>
      </c>
      <c r="D484" s="30"/>
      <c r="E484" s="30" t="s">
        <v>1242</v>
      </c>
      <c r="F484" s="34" t="str">
        <f>IFERROR(VLOOKUP(VENTAS[[#This Row],[Código del producto Vendido]],STOCK[],5,FALSE),"-")</f>
        <v>Pantalón Corte Recto</v>
      </c>
      <c r="G484" s="34">
        <v>1</v>
      </c>
      <c r="H484" s="35">
        <v>30</v>
      </c>
      <c r="I484" s="35">
        <f>VENTAS[[#This Row],[Cantidad]]*VENTAS[[#This Row],[Precio Venta]]</f>
        <v>30</v>
      </c>
      <c r="J484" s="35">
        <f>IF(VENTAS[[#This Row],[Nombre del Gestor]]&gt;1,VENTAS[[#This Row],[Total]]*10%,0)</f>
        <v>0</v>
      </c>
      <c r="K484" s="35">
        <f>IFERROR(VLOOKUP(VENTAS[[#This Row],[Código del producto Vendido]],STOCK[],16,FALSE)*VENTAS[[#This Row],[Cantidad]]+VLOOKUP(VENTAS[[#This Row],[Código del producto Vendido]],STOCK[],19,FALSE)*VENTAS[[#This Row],[Cantidad]],VENTAS[[#This Row],[Total]])</f>
        <v>20.78</v>
      </c>
      <c r="L484" s="35">
        <f>VENTAS[[#This Row],[Total]]-VENTAS[[#This Row],[Comisión 10%]]-VENTAS[[#This Row],[Costo SIN Comision]]</f>
        <v>9.22</v>
      </c>
      <c r="M484" s="35"/>
    </row>
    <row r="485" ht="20" customHeight="1" spans="1:13">
      <c r="A485" s="64" t="s">
        <v>3419</v>
      </c>
      <c r="B485" s="30"/>
      <c r="C485" s="30" t="s">
        <v>3423</v>
      </c>
      <c r="D485" s="30"/>
      <c r="E485" s="30" t="s">
        <v>1023</v>
      </c>
      <c r="F485" s="34" t="str">
        <f>IFERROR(VLOOKUP(VENTAS[[#This Row],[Código del producto Vendido]],STOCK[],5,FALSE),"-")</f>
        <v>Falda Margarita</v>
      </c>
      <c r="G485" s="34">
        <v>1</v>
      </c>
      <c r="H485" s="35">
        <v>20</v>
      </c>
      <c r="I485" s="35">
        <f>VENTAS[[#This Row],[Cantidad]]*VENTAS[[#This Row],[Precio Venta]]</f>
        <v>20</v>
      </c>
      <c r="J485" s="35">
        <f>IF(VENTAS[[#This Row],[Nombre del Gestor]]&gt;1,VENTAS[[#This Row],[Total]]*10%,0)</f>
        <v>0</v>
      </c>
      <c r="K485" s="35">
        <f>IFERROR(VLOOKUP(VENTAS[[#This Row],[Código del producto Vendido]],STOCK[],16,FALSE)*VENTAS[[#This Row],[Cantidad]]+VLOOKUP(VENTAS[[#This Row],[Código del producto Vendido]],STOCK[],19,FALSE)*VENTAS[[#This Row],[Cantidad]],VENTAS[[#This Row],[Total]])</f>
        <v>8.105</v>
      </c>
      <c r="L485" s="35">
        <f>VENTAS[[#This Row],[Total]]-VENTAS[[#This Row],[Comisión 10%]]-VENTAS[[#This Row],[Costo SIN Comision]]</f>
        <v>11.895</v>
      </c>
      <c r="M485" s="35"/>
    </row>
    <row r="486" ht="20" customHeight="1" spans="1:13">
      <c r="A486" s="65" t="s">
        <v>3419</v>
      </c>
      <c r="B486" s="30"/>
      <c r="C486" s="30" t="s">
        <v>3424</v>
      </c>
      <c r="D486" s="30"/>
      <c r="E486" s="30" t="s">
        <v>1019</v>
      </c>
      <c r="F486" s="34" t="str">
        <f>IFERROR(VLOOKUP(VENTAS[[#This Row],[Código del producto Vendido]],STOCK[],5,FALSE),"-")</f>
        <v>Falda margarita de corte A</v>
      </c>
      <c r="G486" s="34">
        <v>1</v>
      </c>
      <c r="H486" s="35">
        <v>20</v>
      </c>
      <c r="I486" s="35">
        <f>VENTAS[[#This Row],[Cantidad]]*VENTAS[[#This Row],[Precio Venta]]</f>
        <v>20</v>
      </c>
      <c r="J486" s="35">
        <f>IF(VENTAS[[#This Row],[Nombre del Gestor]]&gt;1,VENTAS[[#This Row],[Total]]*10%,0)</f>
        <v>0</v>
      </c>
      <c r="K486" s="35">
        <f>IFERROR(VLOOKUP(VENTAS[[#This Row],[Código del producto Vendido]],STOCK[],16,FALSE)*VENTAS[[#This Row],[Cantidad]]+VLOOKUP(VENTAS[[#This Row],[Código del producto Vendido]],STOCK[],19,FALSE)*VENTAS[[#This Row],[Cantidad]],VENTAS[[#This Row],[Total]])</f>
        <v>8.105</v>
      </c>
      <c r="L486" s="35">
        <f>VENTAS[[#This Row],[Total]]-VENTAS[[#This Row],[Comisión 10%]]-VENTAS[[#This Row],[Costo SIN Comision]]</f>
        <v>11.895</v>
      </c>
      <c r="M486" s="35"/>
    </row>
    <row r="487" ht="20" customHeight="1" spans="1:13">
      <c r="A487" s="64" t="s">
        <v>3419</v>
      </c>
      <c r="B487" s="30"/>
      <c r="C487" s="30" t="s">
        <v>3424</v>
      </c>
      <c r="D487" s="30"/>
      <c r="E487" s="30" t="s">
        <v>1281</v>
      </c>
      <c r="F487" s="34" t="str">
        <f>IFERROR(VLOOKUP(VENTAS[[#This Row],[Código del producto Vendido]],STOCK[],5,FALSE),"-")</f>
        <v>Pantalón beige de pierna ancha</v>
      </c>
      <c r="G487" s="34">
        <v>1</v>
      </c>
      <c r="H487" s="35">
        <v>30</v>
      </c>
      <c r="I487" s="35">
        <f>VENTAS[[#This Row],[Cantidad]]*VENTAS[[#This Row],[Precio Venta]]</f>
        <v>30</v>
      </c>
      <c r="J487" s="35">
        <f>IF(VENTAS[[#This Row],[Nombre del Gestor]]&gt;1,VENTAS[[#This Row],[Total]]*10%,0)</f>
        <v>0</v>
      </c>
      <c r="K487" s="35">
        <f>IFERROR(VLOOKUP(VENTAS[[#This Row],[Código del producto Vendido]],STOCK[],16,FALSE)*VENTAS[[#This Row],[Cantidad]]+VLOOKUP(VENTAS[[#This Row],[Código del producto Vendido]],STOCK[],19,FALSE)*VENTAS[[#This Row],[Cantidad]],VENTAS[[#This Row],[Total]])</f>
        <v>20.78</v>
      </c>
      <c r="L487" s="35">
        <f>VENTAS[[#This Row],[Total]]-VENTAS[[#This Row],[Comisión 10%]]-VENTAS[[#This Row],[Costo SIN Comision]]</f>
        <v>9.22</v>
      </c>
      <c r="M487" s="35"/>
    </row>
    <row r="488" ht="20" customHeight="1" spans="1:13">
      <c r="A488" s="65" t="s">
        <v>3419</v>
      </c>
      <c r="B488" s="30"/>
      <c r="C488" s="30" t="s">
        <v>3424</v>
      </c>
      <c r="D488" s="30"/>
      <c r="E488" s="30" t="s">
        <v>1271</v>
      </c>
      <c r="F488" s="34" t="str">
        <f>IFERROR(VLOOKUP(VENTAS[[#This Row],[Código del producto Vendido]],STOCK[],5,FALSE),"-")</f>
        <v>Top blanco cuello V con encaje</v>
      </c>
      <c r="G488" s="34">
        <v>1</v>
      </c>
      <c r="H488" s="35">
        <v>12</v>
      </c>
      <c r="I488" s="35">
        <f>VENTAS[[#This Row],[Cantidad]]*VENTAS[[#This Row],[Precio Venta]]</f>
        <v>12</v>
      </c>
      <c r="J488" s="35">
        <f>IF(VENTAS[[#This Row],[Nombre del Gestor]]&gt;1,VENTAS[[#This Row],[Total]]*10%,0)</f>
        <v>0</v>
      </c>
      <c r="K488" s="35">
        <f>IFERROR(VLOOKUP(VENTAS[[#This Row],[Código del producto Vendido]],STOCK[],16,FALSE)*VENTAS[[#This Row],[Cantidad]]+VLOOKUP(VENTAS[[#This Row],[Código del producto Vendido]],STOCK[],19,FALSE)*VENTAS[[#This Row],[Cantidad]],VENTAS[[#This Row],[Total]])</f>
        <v>7.97</v>
      </c>
      <c r="L488" s="35">
        <f>VENTAS[[#This Row],[Total]]-VENTAS[[#This Row],[Comisión 10%]]-VENTAS[[#This Row],[Costo SIN Comision]]</f>
        <v>4.03</v>
      </c>
      <c r="M488" s="35"/>
    </row>
    <row r="489" ht="20" customHeight="1" spans="1:13">
      <c r="A489" s="64" t="s">
        <v>3425</v>
      </c>
      <c r="B489" s="30"/>
      <c r="C489" s="30" t="s">
        <v>3324</v>
      </c>
      <c r="D489" s="30"/>
      <c r="E489" s="30" t="s">
        <v>1196</v>
      </c>
      <c r="F489" s="34" t="str">
        <f>IFERROR(VLOOKUP(VENTAS[[#This Row],[Código del producto Vendido]],STOCK[],5,FALSE),"-")</f>
        <v>Conjunto blanco top healter y falda cruzada</v>
      </c>
      <c r="G489" s="34">
        <v>1</v>
      </c>
      <c r="H489" s="35">
        <v>40</v>
      </c>
      <c r="I489" s="35">
        <f>VENTAS[[#This Row],[Cantidad]]*VENTAS[[#This Row],[Precio Venta]]</f>
        <v>40</v>
      </c>
      <c r="J489" s="35">
        <f>IF(VENTAS[[#This Row],[Nombre del Gestor]]&gt;1,VENTAS[[#This Row],[Total]]*10%,0)</f>
        <v>0</v>
      </c>
      <c r="K489" s="35">
        <f>IFERROR(VLOOKUP(VENTAS[[#This Row],[Código del producto Vendido]],STOCK[],16,FALSE)*VENTAS[[#This Row],[Cantidad]]+VLOOKUP(VENTAS[[#This Row],[Código del producto Vendido]],STOCK[],19,FALSE)*VENTAS[[#This Row],[Cantidad]],VENTAS[[#This Row],[Total]])</f>
        <v>27.82</v>
      </c>
      <c r="L489" s="35">
        <f>VENTAS[[#This Row],[Total]]-VENTAS[[#This Row],[Comisión 10%]]-VENTAS[[#This Row],[Costo SIN Comision]]</f>
        <v>12.18</v>
      </c>
      <c r="M489" s="35"/>
    </row>
    <row r="490" ht="20" customHeight="1" spans="1:13">
      <c r="A490" s="65" t="s">
        <v>3425</v>
      </c>
      <c r="B490" s="30"/>
      <c r="C490" s="30" t="s">
        <v>3426</v>
      </c>
      <c r="D490" s="30"/>
      <c r="E490" s="30" t="s">
        <v>1297</v>
      </c>
      <c r="F490" s="34" t="str">
        <f>IFERROR(VLOOKUP(VENTAS[[#This Row],[Código del producto Vendido]],STOCK[],5,FALSE),"-")</f>
        <v>Sandalias rosadas Forever21</v>
      </c>
      <c r="G490" s="34">
        <v>1</v>
      </c>
      <c r="H490" s="35">
        <v>15</v>
      </c>
      <c r="I490" s="35">
        <f>VENTAS[[#This Row],[Cantidad]]*VENTAS[[#This Row],[Precio Venta]]</f>
        <v>15</v>
      </c>
      <c r="J490" s="35">
        <f>IF(VENTAS[[#This Row],[Nombre del Gestor]]&gt;1,VENTAS[[#This Row],[Total]]*10%,0)</f>
        <v>0</v>
      </c>
      <c r="K490" s="35">
        <f>IFERROR(VLOOKUP(VENTAS[[#This Row],[Código del producto Vendido]],STOCK[],16,FALSE)*VENTAS[[#This Row],[Cantidad]]+VLOOKUP(VENTAS[[#This Row],[Código del producto Vendido]],STOCK[],19,FALSE)*VENTAS[[#This Row],[Cantidad]],VENTAS[[#This Row],[Total]])</f>
        <v>19.49</v>
      </c>
      <c r="L490" s="35">
        <f>VENTAS[[#This Row],[Total]]-VENTAS[[#This Row],[Comisión 10%]]-VENTAS[[#This Row],[Costo SIN Comision]]</f>
        <v>-4.49</v>
      </c>
      <c r="M490" s="35"/>
    </row>
    <row r="491" ht="20" customHeight="1" spans="1:13">
      <c r="A491" s="64" t="s">
        <v>3425</v>
      </c>
      <c r="B491" s="30"/>
      <c r="C491" s="30" t="s">
        <v>3427</v>
      </c>
      <c r="D491" s="30"/>
      <c r="E491" s="30" t="s">
        <v>777</v>
      </c>
      <c r="F491" s="34" t="str">
        <f>IFERROR(VLOOKUP(VENTAS[[#This Row],[Código del producto Vendido]],STOCK[],5,FALSE),"-")</f>
        <v>Top berry en tela de algodón</v>
      </c>
      <c r="G491" s="34">
        <v>1</v>
      </c>
      <c r="H491" s="35">
        <v>10</v>
      </c>
      <c r="I491" s="35">
        <f>VENTAS[[#This Row],[Cantidad]]*VENTAS[[#This Row],[Precio Venta]]</f>
        <v>10</v>
      </c>
      <c r="J491" s="35">
        <f>IF(VENTAS[[#This Row],[Nombre del Gestor]]&gt;1,VENTAS[[#This Row],[Total]]*10%,0)</f>
        <v>0</v>
      </c>
      <c r="K491" s="35">
        <f>IFERROR(VLOOKUP(VENTAS[[#This Row],[Código del producto Vendido]],STOCK[],16,FALSE)*VENTAS[[#This Row],[Cantidad]]+VLOOKUP(VENTAS[[#This Row],[Código del producto Vendido]],STOCK[],19,FALSE)*VENTAS[[#This Row],[Cantidad]],VENTAS[[#This Row],[Total]])</f>
        <v>6.05555555555556</v>
      </c>
      <c r="L491" s="35">
        <f>VENTAS[[#This Row],[Total]]-VENTAS[[#This Row],[Comisión 10%]]-VENTAS[[#This Row],[Costo SIN Comision]]</f>
        <v>3.94444444444444</v>
      </c>
      <c r="M491" s="35"/>
    </row>
    <row r="492" ht="20" customHeight="1" spans="1:13">
      <c r="A492" s="65" t="s">
        <v>3428</v>
      </c>
      <c r="B492" s="30"/>
      <c r="C492" s="30" t="s">
        <v>3429</v>
      </c>
      <c r="D492" s="30"/>
      <c r="E492" s="30" t="s">
        <v>187</v>
      </c>
      <c r="F492" s="34" t="str">
        <f>IFERROR(VLOOKUP(VENTAS[[#This Row],[Código del producto Vendido]],STOCK[],5,FALSE),"-")</f>
        <v> Top de espalda cruzada</v>
      </c>
      <c r="G492" s="34">
        <v>1</v>
      </c>
      <c r="H492" s="35">
        <v>14</v>
      </c>
      <c r="I492" s="35">
        <f>VENTAS[[#This Row],[Cantidad]]*VENTAS[[#This Row],[Precio Venta]]</f>
        <v>14</v>
      </c>
      <c r="J492" s="35">
        <f>IF(VENTAS[[#This Row],[Nombre del Gestor]]&gt;1,VENTAS[[#This Row],[Total]]*10%,0)</f>
        <v>0</v>
      </c>
      <c r="K492" s="35">
        <f>IFERROR(VLOOKUP(VENTAS[[#This Row],[Código del producto Vendido]],STOCK[],16,FALSE)*VENTAS[[#This Row],[Cantidad]]+VLOOKUP(VENTAS[[#This Row],[Código del producto Vendido]],STOCK[],19,FALSE)*VENTAS[[#This Row],[Cantidad]],VENTAS[[#This Row],[Total]])</f>
        <v>8.89777777777778</v>
      </c>
      <c r="L492" s="35">
        <f>VENTAS[[#This Row],[Total]]-VENTAS[[#This Row],[Comisión 10%]]-VENTAS[[#This Row],[Costo SIN Comision]]</f>
        <v>5.10222222222222</v>
      </c>
      <c r="M492" s="35"/>
    </row>
    <row r="493" ht="20" customHeight="1" spans="1:13">
      <c r="A493" s="64" t="s">
        <v>3428</v>
      </c>
      <c r="B493" s="30"/>
      <c r="C493" s="30" t="s">
        <v>3429</v>
      </c>
      <c r="D493" s="30"/>
      <c r="E493" s="30" t="s">
        <v>255</v>
      </c>
      <c r="F493" s="34" t="str">
        <f>IFERROR(VLOOKUP(VENTAS[[#This Row],[Código del producto Vendido]],STOCK[],5,FALSE),"-")</f>
        <v>Top de espalda cruzada</v>
      </c>
      <c r="G493" s="34">
        <v>1</v>
      </c>
      <c r="H493" s="35">
        <v>14</v>
      </c>
      <c r="I493" s="35">
        <f>VENTAS[[#This Row],[Cantidad]]*VENTAS[[#This Row],[Precio Venta]]</f>
        <v>14</v>
      </c>
      <c r="J493" s="35">
        <f>IF(VENTAS[[#This Row],[Nombre del Gestor]]&gt;1,VENTAS[[#This Row],[Total]]*10%,0)</f>
        <v>0</v>
      </c>
      <c r="K493" s="35">
        <f>IFERROR(VLOOKUP(VENTAS[[#This Row],[Código del producto Vendido]],STOCK[],16,FALSE)*VENTAS[[#This Row],[Cantidad]]+VLOOKUP(VENTAS[[#This Row],[Código del producto Vendido]],STOCK[],19,FALSE)*VENTAS[[#This Row],[Cantidad]],VENTAS[[#This Row],[Total]])</f>
        <v>8.34222222222222</v>
      </c>
      <c r="L493" s="35">
        <f>VENTAS[[#This Row],[Total]]-VENTAS[[#This Row],[Comisión 10%]]-VENTAS[[#This Row],[Costo SIN Comision]]</f>
        <v>5.65777777777778</v>
      </c>
      <c r="M493" s="35"/>
    </row>
    <row r="494" ht="20" customHeight="1" spans="1:13">
      <c r="A494" s="65" t="s">
        <v>3428</v>
      </c>
      <c r="B494" s="30"/>
      <c r="C494" s="30" t="s">
        <v>3429</v>
      </c>
      <c r="D494" s="30"/>
      <c r="E494" s="30" t="s">
        <v>988</v>
      </c>
      <c r="F494" s="34" t="str">
        <f>IFERROR(VLOOKUP(VENTAS[[#This Row],[Código del producto Vendido]],STOCK[],5,FALSE),"-")</f>
        <v> Top Básico Business Negro</v>
      </c>
      <c r="G494" s="34">
        <v>1</v>
      </c>
      <c r="H494" s="35">
        <v>12</v>
      </c>
      <c r="I494" s="35">
        <f>VENTAS[[#This Row],[Cantidad]]*VENTAS[[#This Row],[Precio Venta]]</f>
        <v>12</v>
      </c>
      <c r="J494" s="35">
        <f>IF(VENTAS[[#This Row],[Nombre del Gestor]]&gt;1,VENTAS[[#This Row],[Total]]*10%,0)</f>
        <v>0</v>
      </c>
      <c r="K494" s="35">
        <f>IFERROR(VLOOKUP(VENTAS[[#This Row],[Código del producto Vendido]],STOCK[],16,FALSE)*VENTAS[[#This Row],[Cantidad]]+VLOOKUP(VENTAS[[#This Row],[Código del producto Vendido]],STOCK[],19,FALSE)*VENTAS[[#This Row],[Cantidad]],VENTAS[[#This Row],[Total]])</f>
        <v>7.63454545454545</v>
      </c>
      <c r="L494" s="35">
        <f>VENTAS[[#This Row],[Total]]-VENTAS[[#This Row],[Comisión 10%]]-VENTAS[[#This Row],[Costo SIN Comision]]</f>
        <v>4.36545454545455</v>
      </c>
      <c r="M494" s="35"/>
    </row>
    <row r="495" ht="20" customHeight="1" spans="1:13">
      <c r="A495" s="64" t="s">
        <v>3428</v>
      </c>
      <c r="B495" s="30"/>
      <c r="C495" s="30" t="s">
        <v>3429</v>
      </c>
      <c r="D495" s="30"/>
      <c r="E495" s="30" t="s">
        <v>1263</v>
      </c>
      <c r="F495" s="34" t="str">
        <f>IFERROR(VLOOKUP(VENTAS[[#This Row],[Código del producto Vendido]],STOCK[],5,FALSE),"-")</f>
        <v>Pantaloneta negra con abertura</v>
      </c>
      <c r="G495" s="34">
        <v>1</v>
      </c>
      <c r="H495" s="35">
        <v>23</v>
      </c>
      <c r="I495" s="35">
        <f>VENTAS[[#This Row],[Cantidad]]*VENTAS[[#This Row],[Precio Venta]]</f>
        <v>23</v>
      </c>
      <c r="J495" s="35">
        <f>IF(VENTAS[[#This Row],[Nombre del Gestor]]&gt;1,VENTAS[[#This Row],[Total]]*10%,0)</f>
        <v>0</v>
      </c>
      <c r="K495" s="35">
        <f>IFERROR(VLOOKUP(VENTAS[[#This Row],[Código del producto Vendido]],STOCK[],16,FALSE)*VENTAS[[#This Row],[Cantidad]]+VLOOKUP(VENTAS[[#This Row],[Código del producto Vendido]],STOCK[],19,FALSE)*VENTAS[[#This Row],[Cantidad]],VENTAS[[#This Row],[Total]])</f>
        <v>15.22</v>
      </c>
      <c r="L495" s="35">
        <f>VENTAS[[#This Row],[Total]]-VENTAS[[#This Row],[Comisión 10%]]-VENTAS[[#This Row],[Costo SIN Comision]]</f>
        <v>7.78</v>
      </c>
      <c r="M495" s="35"/>
    </row>
    <row r="496" ht="20" customHeight="1" spans="1:13">
      <c r="A496" s="65" t="s">
        <v>3430</v>
      </c>
      <c r="B496" s="30"/>
      <c r="C496" s="30" t="s">
        <v>3397</v>
      </c>
      <c r="D496" s="30"/>
      <c r="E496" s="30" t="s">
        <v>1043</v>
      </c>
      <c r="F496" s="34" t="str">
        <f>IFERROR(VLOOKUP(VENTAS[[#This Row],[Código del producto Vendido]],STOCK[],5,FALSE),"-")</f>
        <v>Jeans Ajustados Claro</v>
      </c>
      <c r="G496" s="34">
        <v>1</v>
      </c>
      <c r="H496" s="35">
        <v>32</v>
      </c>
      <c r="I496" s="35">
        <f>VENTAS[[#This Row],[Cantidad]]*VENTAS[[#This Row],[Precio Venta]]</f>
        <v>32</v>
      </c>
      <c r="J496" s="35">
        <f>IF(VENTAS[[#This Row],[Nombre del Gestor]]&gt;1,VENTAS[[#This Row],[Total]]*10%,0)</f>
        <v>0</v>
      </c>
      <c r="K496" s="35">
        <f>IFERROR(VLOOKUP(VENTAS[[#This Row],[Código del producto Vendido]],STOCK[],16,FALSE)*VENTAS[[#This Row],[Cantidad]]+VLOOKUP(VENTAS[[#This Row],[Código del producto Vendido]],STOCK[],19,FALSE)*VENTAS[[#This Row],[Cantidad]],VENTAS[[#This Row],[Total]])</f>
        <v>25.8181818181818</v>
      </c>
      <c r="L496" s="35">
        <f>VENTAS[[#This Row],[Total]]-VENTAS[[#This Row],[Comisión 10%]]-VENTAS[[#This Row],[Costo SIN Comision]]</f>
        <v>6.1818181818182</v>
      </c>
      <c r="M496" s="35"/>
    </row>
    <row r="497" ht="20" customHeight="1" spans="1:13">
      <c r="A497" s="64" t="s">
        <v>3430</v>
      </c>
      <c r="B497" s="30"/>
      <c r="C497" s="30" t="s">
        <v>3397</v>
      </c>
      <c r="D497" s="30"/>
      <c r="E497" s="30" t="s">
        <v>1304</v>
      </c>
      <c r="F497" s="34" t="str">
        <f>IFERROR(VLOOKUP(VENTAS[[#This Row],[Código del producto Vendido]],STOCK[],5,FALSE),"-")</f>
        <v>Jean ajustado claro</v>
      </c>
      <c r="G497" s="34">
        <v>1</v>
      </c>
      <c r="H497" s="35">
        <v>32</v>
      </c>
      <c r="I497" s="35">
        <f>VENTAS[[#This Row],[Cantidad]]*VENTAS[[#This Row],[Precio Venta]]</f>
        <v>32</v>
      </c>
      <c r="J497" s="35">
        <f>IF(VENTAS[[#This Row],[Nombre del Gestor]]&gt;1,VENTAS[[#This Row],[Total]]*10%,0)</f>
        <v>0</v>
      </c>
      <c r="K497" s="35">
        <f>IFERROR(VLOOKUP(VENTAS[[#This Row],[Código del producto Vendido]],STOCK[],16,FALSE)*VENTAS[[#This Row],[Cantidad]]+VLOOKUP(VENTAS[[#This Row],[Código del producto Vendido]],STOCK[],19,FALSE)*VENTAS[[#This Row],[Cantidad]],VENTAS[[#This Row],[Total]])</f>
        <v>23.79</v>
      </c>
      <c r="L497" s="35">
        <f>VENTAS[[#This Row],[Total]]-VENTAS[[#This Row],[Comisión 10%]]-VENTAS[[#This Row],[Costo SIN Comision]]</f>
        <v>8.21</v>
      </c>
      <c r="M497" s="35"/>
    </row>
    <row r="498" ht="20" customHeight="1" spans="1:13">
      <c r="A498" s="65" t="s">
        <v>3430</v>
      </c>
      <c r="B498" s="30"/>
      <c r="C498" s="30" t="s">
        <v>3431</v>
      </c>
      <c r="D498" s="30"/>
      <c r="E498" s="30" t="s">
        <v>1299</v>
      </c>
      <c r="F498" s="34" t="str">
        <f>IFERROR(VLOOKUP(VENTAS[[#This Row],[Código del producto Vendido]],STOCK[],5,FALSE),"-")</f>
        <v>Sandalias negras de hebilla </v>
      </c>
      <c r="G498" s="34">
        <v>1</v>
      </c>
      <c r="H498" s="35">
        <v>18</v>
      </c>
      <c r="I498" s="35">
        <f>VENTAS[[#This Row],[Cantidad]]*VENTAS[[#This Row],[Precio Venta]]</f>
        <v>18</v>
      </c>
      <c r="J498" s="35">
        <f>IF(VENTAS[[#This Row],[Nombre del Gestor]]&gt;1,VENTAS[[#This Row],[Total]]*10%,0)</f>
        <v>0</v>
      </c>
      <c r="K498" s="35">
        <f>IFERROR(VLOOKUP(VENTAS[[#This Row],[Código del producto Vendido]],STOCK[],16,FALSE)*VENTAS[[#This Row],[Cantidad]]+VLOOKUP(VENTAS[[#This Row],[Código del producto Vendido]],STOCK[],19,FALSE)*VENTAS[[#This Row],[Cantidad]],VENTAS[[#This Row],[Total]])</f>
        <v>12</v>
      </c>
      <c r="L498" s="35">
        <f>VENTAS[[#This Row],[Total]]-VENTAS[[#This Row],[Comisión 10%]]-VENTAS[[#This Row],[Costo SIN Comision]]</f>
        <v>6</v>
      </c>
      <c r="M498" s="35"/>
    </row>
    <row r="499" ht="20" customHeight="1" spans="1:13">
      <c r="A499" s="64" t="s">
        <v>3430</v>
      </c>
      <c r="B499" s="30"/>
      <c r="C499" s="30" t="s">
        <v>3431</v>
      </c>
      <c r="D499" s="30"/>
      <c r="E499" s="30" t="s">
        <v>406</v>
      </c>
      <c r="F499" s="34" t="str">
        <f>IFERROR(VLOOKUP(VENTAS[[#This Row],[Código del producto Vendido]],STOCK[],5,FALSE),"-")</f>
        <v>Bañador una pieza de color combinado </v>
      </c>
      <c r="G499" s="34">
        <v>1</v>
      </c>
      <c r="H499" s="35">
        <v>20</v>
      </c>
      <c r="I499" s="35">
        <f>VENTAS[[#This Row],[Cantidad]]*VENTAS[[#This Row],[Precio Venta]]</f>
        <v>20</v>
      </c>
      <c r="J499" s="35">
        <f>IF(VENTAS[[#This Row],[Nombre del Gestor]]&gt;1,VENTAS[[#This Row],[Total]]*10%,0)</f>
        <v>0</v>
      </c>
      <c r="K499" s="35">
        <f>IFERROR(VLOOKUP(VENTAS[[#This Row],[Código del producto Vendido]],STOCK[],16,FALSE)*VENTAS[[#This Row],[Cantidad]]+VLOOKUP(VENTAS[[#This Row],[Código del producto Vendido]],STOCK[],19,FALSE)*VENTAS[[#This Row],[Cantidad]],VENTAS[[#This Row],[Total]])</f>
        <v>9.66666666666667</v>
      </c>
      <c r="L499" s="35">
        <f>VENTAS[[#This Row],[Total]]-VENTAS[[#This Row],[Comisión 10%]]-VENTAS[[#This Row],[Costo SIN Comision]]</f>
        <v>10.3333333333333</v>
      </c>
      <c r="M499" s="35"/>
    </row>
    <row r="500" ht="20" customHeight="1" spans="1:13">
      <c r="A500" s="65" t="s">
        <v>3432</v>
      </c>
      <c r="B500" s="30"/>
      <c r="C500" s="30" t="s">
        <v>3433</v>
      </c>
      <c r="D500" s="30"/>
      <c r="E500" s="30" t="s">
        <v>1062</v>
      </c>
      <c r="F500" s="34" t="str">
        <f>IFERROR(VLOOKUP(VENTAS[[#This Row],[Código del producto Vendido]],STOCK[],5,FALSE),"-")</f>
        <v>Top cami carrera</v>
      </c>
      <c r="G500" s="34">
        <v>1</v>
      </c>
      <c r="H500" s="35">
        <v>10</v>
      </c>
      <c r="I500" s="35">
        <f>VENTAS[[#This Row],[Cantidad]]*VENTAS[[#This Row],[Precio Venta]]</f>
        <v>10</v>
      </c>
      <c r="J500" s="35">
        <f>IF(VENTAS[[#This Row],[Nombre del Gestor]]&gt;1,VENTAS[[#This Row],[Total]]*10%,0)</f>
        <v>0</v>
      </c>
      <c r="K500" s="35">
        <f>IFERROR(VLOOKUP(VENTAS[[#This Row],[Código del producto Vendido]],STOCK[],16,FALSE)*VENTAS[[#This Row],[Cantidad]]+VLOOKUP(VENTAS[[#This Row],[Código del producto Vendido]],STOCK[],19,FALSE)*VENTAS[[#This Row],[Cantidad]],VENTAS[[#This Row],[Total]])</f>
        <v>4.99264705882353</v>
      </c>
      <c r="L500" s="35">
        <f>VENTAS[[#This Row],[Total]]-VENTAS[[#This Row],[Comisión 10%]]-VENTAS[[#This Row],[Costo SIN Comision]]</f>
        <v>5.00735294117647</v>
      </c>
      <c r="M500" s="35"/>
    </row>
    <row r="501" ht="20" customHeight="1" spans="1:13">
      <c r="A501" s="64" t="s">
        <v>3434</v>
      </c>
      <c r="B501" s="30"/>
      <c r="C501" s="30" t="s">
        <v>3435</v>
      </c>
      <c r="D501" s="30"/>
      <c r="E501" s="30" t="s">
        <v>224</v>
      </c>
      <c r="F501" s="34" t="str">
        <f>IFERROR(VLOOKUP(VENTAS[[#This Row],[Código del producto Vendido]],STOCK[],5,FALSE),"-")</f>
        <v>Vestido de manga farol con cordón delantero</v>
      </c>
      <c r="G501" s="34">
        <v>1</v>
      </c>
      <c r="H501" s="35">
        <v>22</v>
      </c>
      <c r="I501" s="35">
        <f>VENTAS[[#This Row],[Cantidad]]*VENTAS[[#This Row],[Precio Venta]]</f>
        <v>22</v>
      </c>
      <c r="J501" s="35">
        <f>IF(VENTAS[[#This Row],[Nombre del Gestor]]&gt;1,VENTAS[[#This Row],[Total]]*10%,0)</f>
        <v>0</v>
      </c>
      <c r="K501" s="35">
        <f>IFERROR(VLOOKUP(VENTAS[[#This Row],[Código del producto Vendido]],STOCK[],16,FALSE)*VENTAS[[#This Row],[Cantidad]]+VLOOKUP(VENTAS[[#This Row],[Código del producto Vendido]],STOCK[],19,FALSE)*VENTAS[[#This Row],[Cantidad]],VENTAS[[#This Row],[Total]])</f>
        <v>12.8711111111111</v>
      </c>
      <c r="L501" s="35">
        <f>VENTAS[[#This Row],[Total]]-VENTAS[[#This Row],[Comisión 10%]]-VENTAS[[#This Row],[Costo SIN Comision]]</f>
        <v>9.1288888888889</v>
      </c>
      <c r="M501" s="35"/>
    </row>
    <row r="502" ht="20" customHeight="1" spans="1:13">
      <c r="A502" s="65" t="s">
        <v>3434</v>
      </c>
      <c r="B502" s="30"/>
      <c r="C502" s="30" t="s">
        <v>3436</v>
      </c>
      <c r="D502" s="30"/>
      <c r="E502" s="30" t="s">
        <v>561</v>
      </c>
      <c r="F502" s="34" t="str">
        <f>IFERROR(VLOOKUP(VENTAS[[#This Row],[Código del producto Vendido]],STOCK[],5,FALSE),"-")</f>
        <v>Vestido de muslo con abertura .</v>
      </c>
      <c r="G502" s="34">
        <v>1</v>
      </c>
      <c r="H502" s="35">
        <v>40</v>
      </c>
      <c r="I502" s="35">
        <f>VENTAS[[#This Row],[Cantidad]]*VENTAS[[#This Row],[Precio Venta]]</f>
        <v>40</v>
      </c>
      <c r="J502" s="35">
        <f>IF(VENTAS[[#This Row],[Nombre del Gestor]]&gt;1,VENTAS[[#This Row],[Total]]*10%,0)</f>
        <v>0</v>
      </c>
      <c r="K502" s="35">
        <f>IFERROR(VLOOKUP(VENTAS[[#This Row],[Código del producto Vendido]],STOCK[],16,FALSE)*VENTAS[[#This Row],[Cantidad]]+VLOOKUP(VENTAS[[#This Row],[Código del producto Vendido]],STOCK[],19,FALSE)*VENTAS[[#This Row],[Cantidad]],VENTAS[[#This Row],[Total]])</f>
        <v>38.5716666666667</v>
      </c>
      <c r="L502" s="35">
        <f>VENTAS[[#This Row],[Total]]-VENTAS[[#This Row],[Comisión 10%]]-VENTAS[[#This Row],[Costo SIN Comision]]</f>
        <v>1.4283333333333</v>
      </c>
      <c r="M502" s="35"/>
    </row>
    <row r="503" ht="20" customHeight="1" spans="1:13">
      <c r="A503" s="64" t="s">
        <v>3434</v>
      </c>
      <c r="B503" s="30"/>
      <c r="C503" s="30" t="s">
        <v>3437</v>
      </c>
      <c r="D503" s="30"/>
      <c r="E503" s="30" t="s">
        <v>848</v>
      </c>
      <c r="F503" s="34" t="str">
        <f>IFERROR(VLOOKUP(VENTAS[[#This Row],[Código del producto Vendido]],STOCK[],5,FALSE),"-")</f>
        <v>Kimono Maxi elegante</v>
      </c>
      <c r="G503" s="34">
        <v>1</v>
      </c>
      <c r="H503" s="35">
        <v>30</v>
      </c>
      <c r="I503" s="35">
        <f>VENTAS[[#This Row],[Cantidad]]*VENTAS[[#This Row],[Precio Venta]]</f>
        <v>30</v>
      </c>
      <c r="J503" s="35">
        <f>IF(VENTAS[[#This Row],[Nombre del Gestor]]&gt;1,VENTAS[[#This Row],[Total]]*10%,0)</f>
        <v>0</v>
      </c>
      <c r="K503" s="35">
        <f>IFERROR(VLOOKUP(VENTAS[[#This Row],[Código del producto Vendido]],STOCK[],16,FALSE)*VENTAS[[#This Row],[Cantidad]]+VLOOKUP(VENTAS[[#This Row],[Código del producto Vendido]],STOCK[],19,FALSE)*VENTAS[[#This Row],[Cantidad]],VENTAS[[#This Row],[Total]])</f>
        <v>20.0555555555556</v>
      </c>
      <c r="L503" s="35">
        <f>VENTAS[[#This Row],[Total]]-VENTAS[[#This Row],[Comisión 10%]]-VENTAS[[#This Row],[Costo SIN Comision]]</f>
        <v>9.9444444444444</v>
      </c>
      <c r="M503" s="35"/>
    </row>
    <row r="504" ht="20" customHeight="1" spans="1:13">
      <c r="A504" s="65" t="s">
        <v>3438</v>
      </c>
      <c r="B504" s="30"/>
      <c r="C504" s="30" t="s">
        <v>3415</v>
      </c>
      <c r="D504" s="30"/>
      <c r="E504" s="30" t="s">
        <v>3439</v>
      </c>
      <c r="F504" s="34" t="str">
        <f>IFERROR(VLOOKUP(VENTAS[[#This Row],[Código del producto Vendido]],STOCK[],5,FALSE),"-")</f>
        <v>-</v>
      </c>
      <c r="G504" s="34">
        <v>1</v>
      </c>
      <c r="H504" s="35">
        <v>23</v>
      </c>
      <c r="I504" s="35">
        <f>VENTAS[[#This Row],[Cantidad]]*VENTAS[[#This Row],[Precio Venta]]</f>
        <v>23</v>
      </c>
      <c r="J504" s="35">
        <f>IF(VENTAS[[#This Row],[Nombre del Gestor]]&gt;1,VENTAS[[#This Row],[Total]]*10%,0)</f>
        <v>0</v>
      </c>
      <c r="K504" s="35">
        <f>IFERROR(VLOOKUP(VENTAS[[#This Row],[Código del producto Vendido]],STOCK[],16,FALSE)*VENTAS[[#This Row],[Cantidad]]+VLOOKUP(VENTAS[[#This Row],[Código del producto Vendido]],STOCK[],19,FALSE)*VENTAS[[#This Row],[Cantidad]],VENTAS[[#This Row],[Total]])</f>
        <v>23</v>
      </c>
      <c r="L504" s="35">
        <f>VENTAS[[#This Row],[Total]]-VENTAS[[#This Row],[Comisión 10%]]-VENTAS[[#This Row],[Costo SIN Comision]]</f>
        <v>0</v>
      </c>
      <c r="M504" s="35"/>
    </row>
    <row r="505" ht="20" customHeight="1" spans="1:13">
      <c r="A505" s="64" t="s">
        <v>3438</v>
      </c>
      <c r="B505" s="30"/>
      <c r="C505" s="30" t="s">
        <v>3415</v>
      </c>
      <c r="D505" s="30"/>
      <c r="E505" s="30" t="s">
        <v>895</v>
      </c>
      <c r="F505" s="34" t="str">
        <f>IFERROR(VLOOKUP(VENTAS[[#This Row],[Código del producto Vendido]],STOCK[],5,FALSE),"-")</f>
        <v>Top Cisne Blanco</v>
      </c>
      <c r="G505" s="34">
        <v>1</v>
      </c>
      <c r="H505" s="35">
        <v>12</v>
      </c>
      <c r="I505" s="35">
        <f>VENTAS[[#This Row],[Cantidad]]*VENTAS[[#This Row],[Precio Venta]]</f>
        <v>12</v>
      </c>
      <c r="J505" s="35">
        <f>IF(VENTAS[[#This Row],[Nombre del Gestor]]&gt;1,VENTAS[[#This Row],[Total]]*10%,0)</f>
        <v>0</v>
      </c>
      <c r="K505" s="35">
        <f>IFERROR(VLOOKUP(VENTAS[[#This Row],[Código del producto Vendido]],STOCK[],16,FALSE)*VENTAS[[#This Row],[Cantidad]]+VLOOKUP(VENTAS[[#This Row],[Código del producto Vendido]],STOCK[],19,FALSE)*VENTAS[[#This Row],[Cantidad]],VENTAS[[#This Row],[Total]])</f>
        <v>7.97318181818182</v>
      </c>
      <c r="L505" s="35">
        <f>VENTAS[[#This Row],[Total]]-VENTAS[[#This Row],[Comisión 10%]]-VENTAS[[#This Row],[Costo SIN Comision]]</f>
        <v>4.02681818181818</v>
      </c>
      <c r="M505" s="35"/>
    </row>
    <row r="506" ht="20" customHeight="1" spans="1:13">
      <c r="A506" s="65" t="s">
        <v>3438</v>
      </c>
      <c r="B506" s="30"/>
      <c r="C506" s="30" t="s">
        <v>3353</v>
      </c>
      <c r="D506" s="30"/>
      <c r="E506" s="30" t="s">
        <v>1159</v>
      </c>
      <c r="F506" s="34" t="str">
        <f>IFERROR(VLOOKUP(VENTAS[[#This Row],[Código del producto Vendido]],STOCK[],5,FALSE),"-")</f>
        <v>Pezoneras de silicona</v>
      </c>
      <c r="G506" s="34">
        <v>1</v>
      </c>
      <c r="H506" s="35">
        <v>6</v>
      </c>
      <c r="I506" s="35">
        <f>VENTAS[[#This Row],[Cantidad]]*VENTAS[[#This Row],[Precio Venta]]</f>
        <v>6</v>
      </c>
      <c r="J506" s="35">
        <f>IF(VENTAS[[#This Row],[Nombre del Gestor]]&gt;1,VENTAS[[#This Row],[Total]]*10%,0)</f>
        <v>0</v>
      </c>
      <c r="K506" s="35">
        <f>IFERROR(VLOOKUP(VENTAS[[#This Row],[Código del producto Vendido]],STOCK[],16,FALSE)*VENTAS[[#This Row],[Cantidad]]+VLOOKUP(VENTAS[[#This Row],[Código del producto Vendido]],STOCK[],19,FALSE)*VENTAS[[#This Row],[Cantidad]],VENTAS[[#This Row],[Total]])</f>
        <v>2.03</v>
      </c>
      <c r="L506" s="35">
        <f>VENTAS[[#This Row],[Total]]-VENTAS[[#This Row],[Comisión 10%]]-VENTAS[[#This Row],[Costo SIN Comision]]</f>
        <v>3.97</v>
      </c>
      <c r="M506" s="35"/>
    </row>
    <row r="507" ht="20" customHeight="1" spans="1:13">
      <c r="A507" s="64" t="s">
        <v>3438</v>
      </c>
      <c r="B507" s="30"/>
      <c r="C507" s="30" t="s">
        <v>3353</v>
      </c>
      <c r="D507" s="30"/>
      <c r="E507" s="30" t="s">
        <v>521</v>
      </c>
      <c r="F507" s="34" t="str">
        <f>IFERROR(VLOOKUP(VENTAS[[#This Row],[Código del producto Vendido]],STOCK[],5,FALSE),"-")</f>
        <v>Almohadilla de maquillaje </v>
      </c>
      <c r="G507" s="34">
        <v>2</v>
      </c>
      <c r="H507" s="35">
        <v>1</v>
      </c>
      <c r="I507" s="35">
        <f>VENTAS[[#This Row],[Cantidad]]*VENTAS[[#This Row],[Precio Venta]]</f>
        <v>2</v>
      </c>
      <c r="J507" s="35">
        <f>IF(VENTAS[[#This Row],[Nombre del Gestor]]&gt;1,VENTAS[[#This Row],[Total]]*10%,0)</f>
        <v>0</v>
      </c>
      <c r="K507" s="35">
        <f>IFERROR(VLOOKUP(VENTAS[[#This Row],[Código del producto Vendido]],STOCK[],16,FALSE)*VENTAS[[#This Row],[Cantidad]]+VLOOKUP(VENTAS[[#This Row],[Código del producto Vendido]],STOCK[],19,FALSE)*VENTAS[[#This Row],[Cantidad]],VENTAS[[#This Row],[Total]])</f>
        <v>0.482777777777778</v>
      </c>
      <c r="L507" s="35">
        <f>VENTAS[[#This Row],[Total]]-VENTAS[[#This Row],[Comisión 10%]]-VENTAS[[#This Row],[Costo SIN Comision]]</f>
        <v>1.51722222222222</v>
      </c>
      <c r="M507" s="35"/>
    </row>
    <row r="508" ht="20" customHeight="1" spans="1:13">
      <c r="A508" s="65" t="s">
        <v>3438</v>
      </c>
      <c r="B508" s="30"/>
      <c r="C508" s="30" t="s">
        <v>3353</v>
      </c>
      <c r="D508" s="30"/>
      <c r="E508" s="30" t="s">
        <v>529</v>
      </c>
      <c r="F508" s="34" t="str">
        <f>IFERROR(VLOOKUP(VENTAS[[#This Row],[Código del producto Vendido]],STOCK[],5,FALSE),"-")</f>
        <v>Esponja de maquillaje </v>
      </c>
      <c r="G508" s="34">
        <v>2</v>
      </c>
      <c r="H508" s="35">
        <v>1</v>
      </c>
      <c r="I508" s="35">
        <f>VENTAS[[#This Row],[Cantidad]]*VENTAS[[#This Row],[Precio Venta]]</f>
        <v>2</v>
      </c>
      <c r="J508" s="35">
        <f>IF(VENTAS[[#This Row],[Nombre del Gestor]]&gt;1,VENTAS[[#This Row],[Total]]*10%,0)</f>
        <v>0</v>
      </c>
      <c r="K508" s="35">
        <f>IFERROR(VLOOKUP(VENTAS[[#This Row],[Código del producto Vendido]],STOCK[],16,FALSE)*VENTAS[[#This Row],[Cantidad]]+VLOOKUP(VENTAS[[#This Row],[Código del producto Vendido]],STOCK[],19,FALSE)*VENTAS[[#This Row],[Cantidad]],VENTAS[[#This Row],[Total]])</f>
        <v>0.872222222222222</v>
      </c>
      <c r="L508" s="35">
        <f>VENTAS[[#This Row],[Total]]-VENTAS[[#This Row],[Comisión 10%]]-VENTAS[[#This Row],[Costo SIN Comision]]</f>
        <v>1.12777777777778</v>
      </c>
      <c r="M508" s="35"/>
    </row>
    <row r="509" ht="20" customHeight="1" spans="1:13">
      <c r="A509" s="65">
        <v>45171</v>
      </c>
      <c r="B509" s="30"/>
      <c r="C509" s="30" t="s">
        <v>3440</v>
      </c>
      <c r="D509" s="30"/>
      <c r="E509" s="67" t="s">
        <v>1128</v>
      </c>
      <c r="F509" s="30" t="str">
        <f>IFERROR(VLOOKUP(VENTAS[[#This Row],[Código del producto Vendido]],STOCK[],5,FALSE),"-")</f>
        <v>Maxi vestido floreado con abertura</v>
      </c>
      <c r="G509" s="34">
        <v>1</v>
      </c>
      <c r="H509" s="35">
        <v>30</v>
      </c>
      <c r="I509" s="35">
        <f>VENTAS[[#This Row],[Cantidad]]*VENTAS[[#This Row],[Precio Venta]]</f>
        <v>30</v>
      </c>
      <c r="J509" s="35">
        <f>IF(VENTAS[[#This Row],[Nombre del Gestor]]&gt;1,VENTAS[[#This Row],[Total]]*10%,0)</f>
        <v>0</v>
      </c>
      <c r="K509" s="35">
        <f>IFERROR(VLOOKUP(VENTAS[[#This Row],[Código del producto Vendido]],STOCK[],16,FALSE)*VENTAS[[#This Row],[Cantidad]]+VLOOKUP(VENTAS[[#This Row],[Código del producto Vendido]],STOCK[],19,FALSE)*VENTAS[[#This Row],[Cantidad]],VENTAS[[#This Row],[Total]])</f>
        <v>23.6544117647059</v>
      </c>
      <c r="L509" s="35">
        <f>VENTAS[[#This Row],[Total]]-VENTAS[[#This Row],[Comisión 10%]]-VENTAS[[#This Row],[Costo SIN Comision]]</f>
        <v>6.3455882352941</v>
      </c>
      <c r="M509" s="35"/>
    </row>
    <row r="510" ht="20" customHeight="1" spans="1:13">
      <c r="A510" s="64">
        <v>45171</v>
      </c>
      <c r="B510" s="30"/>
      <c r="C510" s="30" t="s">
        <v>3440</v>
      </c>
      <c r="D510" s="30"/>
      <c r="E510" s="30" t="s">
        <v>1194</v>
      </c>
      <c r="F510" s="34" t="str">
        <f>IFERROR(VLOOKUP(VENTAS[[#This Row],[Código del producto Vendido]],STOCK[],5,FALSE),"-")</f>
        <v>Conjunto de top y falda cruzada</v>
      </c>
      <c r="G510" s="34">
        <v>1</v>
      </c>
      <c r="H510" s="35">
        <v>40</v>
      </c>
      <c r="I510" s="35">
        <f>VENTAS[[#This Row],[Cantidad]]*VENTAS[[#This Row],[Precio Venta]]</f>
        <v>40</v>
      </c>
      <c r="J510" s="35">
        <f>IF(VENTAS[[#This Row],[Nombre del Gestor]]&gt;1,VENTAS[[#This Row],[Total]]*10%,0)</f>
        <v>0</v>
      </c>
      <c r="K510" s="35">
        <f>IFERROR(VLOOKUP(VENTAS[[#This Row],[Código del producto Vendido]],STOCK[],16,FALSE)*VENTAS[[#This Row],[Cantidad]]+VLOOKUP(VENTAS[[#This Row],[Código del producto Vendido]],STOCK[],19,FALSE)*VENTAS[[#This Row],[Cantidad]],VENTAS[[#This Row],[Total]])</f>
        <v>27.82</v>
      </c>
      <c r="L510" s="35">
        <f>VENTAS[[#This Row],[Total]]-VENTAS[[#This Row],[Comisión 10%]]-VENTAS[[#This Row],[Costo SIN Comision]]</f>
        <v>12.18</v>
      </c>
      <c r="M510" s="35"/>
    </row>
    <row r="511" ht="20" customHeight="1" spans="1:13">
      <c r="A511" s="65">
        <v>45171</v>
      </c>
      <c r="B511" s="30"/>
      <c r="C511" s="30" t="s">
        <v>3440</v>
      </c>
      <c r="D511" s="30"/>
      <c r="E511" s="30" t="s">
        <v>1260</v>
      </c>
      <c r="F511" s="34" t="str">
        <f>IFERROR(VLOOKUP(VENTAS[[#This Row],[Código del producto Vendido]],STOCK[],5,FALSE),"-")</f>
        <v>Maxi vestido playero naranja quemada</v>
      </c>
      <c r="G511" s="34">
        <v>1</v>
      </c>
      <c r="H511" s="35">
        <v>30</v>
      </c>
      <c r="I511" s="35">
        <f>VENTAS[[#This Row],[Cantidad]]*VENTAS[[#This Row],[Precio Venta]]</f>
        <v>30</v>
      </c>
      <c r="J511" s="35">
        <f>IF(VENTAS[[#This Row],[Nombre del Gestor]]&gt;1,VENTAS[[#This Row],[Total]]*10%,0)</f>
        <v>0</v>
      </c>
      <c r="K511" s="35">
        <f>IFERROR(VLOOKUP(VENTAS[[#This Row],[Código del producto Vendido]],STOCK[],16,FALSE)*VENTAS[[#This Row],[Cantidad]]+VLOOKUP(VENTAS[[#This Row],[Código del producto Vendido]],STOCK[],19,FALSE)*VENTAS[[#This Row],[Cantidad]],VENTAS[[#This Row],[Total]])</f>
        <v>23.95</v>
      </c>
      <c r="L511" s="35">
        <f>VENTAS[[#This Row],[Total]]-VENTAS[[#This Row],[Comisión 10%]]-VENTAS[[#This Row],[Costo SIN Comision]]</f>
        <v>6.05</v>
      </c>
      <c r="M511" s="35"/>
    </row>
    <row r="512" ht="20" customHeight="1" spans="1:13">
      <c r="A512" s="64">
        <v>45171</v>
      </c>
      <c r="B512" s="30"/>
      <c r="C512" s="30" t="s">
        <v>3441</v>
      </c>
      <c r="D512" s="30"/>
      <c r="E512" s="30" t="s">
        <v>529</v>
      </c>
      <c r="F512" s="34" t="str">
        <f>IFERROR(VLOOKUP(VENTAS[[#This Row],[Código del producto Vendido]],STOCK[],5,FALSE),"-")</f>
        <v>Esponja de maquillaje </v>
      </c>
      <c r="G512" s="34">
        <v>1</v>
      </c>
      <c r="H512" s="35">
        <v>1</v>
      </c>
      <c r="I512" s="35">
        <f>VENTAS[[#This Row],[Cantidad]]*VENTAS[[#This Row],[Precio Venta]]</f>
        <v>1</v>
      </c>
      <c r="J512" s="35">
        <f>IF(VENTAS[[#This Row],[Nombre del Gestor]]&gt;1,VENTAS[[#This Row],[Total]]*10%,0)</f>
        <v>0</v>
      </c>
      <c r="K512" s="35">
        <f>IFERROR(VLOOKUP(VENTAS[[#This Row],[Código del producto Vendido]],STOCK[],16,FALSE)*VENTAS[[#This Row],[Cantidad]]+VLOOKUP(VENTAS[[#This Row],[Código del producto Vendido]],STOCK[],19,FALSE)*VENTAS[[#This Row],[Cantidad]],VENTAS[[#This Row],[Total]])</f>
        <v>0.436111111111111</v>
      </c>
      <c r="L512" s="35">
        <f>VENTAS[[#This Row],[Total]]-VENTAS[[#This Row],[Comisión 10%]]-VENTAS[[#This Row],[Costo SIN Comision]]</f>
        <v>0.563888888888889</v>
      </c>
      <c r="M512" s="35"/>
    </row>
    <row r="513" ht="20" customHeight="1" spans="1:13">
      <c r="A513" s="65">
        <v>45171</v>
      </c>
      <c r="B513" s="30"/>
      <c r="C513" s="30" t="s">
        <v>3401</v>
      </c>
      <c r="D513" s="30"/>
      <c r="E513" s="30" t="s">
        <v>1306</v>
      </c>
      <c r="F513" s="34" t="str">
        <f>IFERROR(VLOOKUP(VENTAS[[#This Row],[Código del producto Vendido]],STOCK[],5,FALSE),"-")</f>
        <v>Sandalias rosadas Forever21</v>
      </c>
      <c r="G513" s="34">
        <v>1</v>
      </c>
      <c r="H513" s="35">
        <v>15</v>
      </c>
      <c r="I513" s="35">
        <f>VENTAS[[#This Row],[Cantidad]]*VENTAS[[#This Row],[Precio Venta]]</f>
        <v>15</v>
      </c>
      <c r="J513" s="35">
        <f>IF(VENTAS[[#This Row],[Nombre del Gestor]]&gt;1,VENTAS[[#This Row],[Total]]*10%,0)</f>
        <v>0</v>
      </c>
      <c r="K513" s="35">
        <f>IFERROR(VLOOKUP(VENTAS[[#This Row],[Código del producto Vendido]],STOCK[],16,FALSE)*VENTAS[[#This Row],[Cantidad]]+VLOOKUP(VENTAS[[#This Row],[Código del producto Vendido]],STOCK[],19,FALSE)*VENTAS[[#This Row],[Cantidad]],VENTAS[[#This Row],[Total]])</f>
        <v>19.49</v>
      </c>
      <c r="L513" s="35">
        <f>VENTAS[[#This Row],[Total]]-VENTAS[[#This Row],[Comisión 10%]]-VENTAS[[#This Row],[Costo SIN Comision]]</f>
        <v>-4.49</v>
      </c>
      <c r="M513" s="35"/>
    </row>
    <row r="514" ht="20" customHeight="1" spans="1:13">
      <c r="A514" s="64">
        <v>45171</v>
      </c>
      <c r="B514" s="30"/>
      <c r="C514" s="30" t="s">
        <v>3442</v>
      </c>
      <c r="D514" s="30"/>
      <c r="E514" s="30" t="s">
        <v>1307</v>
      </c>
      <c r="F514" s="34" t="str">
        <f>IFERROR(VLOOKUP(VENTAS[[#This Row],[Código del producto Vendido]],STOCK[],5,FALSE),"-")</f>
        <v>Sandalias blancas</v>
      </c>
      <c r="G514" s="34">
        <v>1</v>
      </c>
      <c r="H514" s="35">
        <v>15</v>
      </c>
      <c r="I514" s="35">
        <f>VENTAS[[#This Row],[Cantidad]]*VENTAS[[#This Row],[Precio Venta]]</f>
        <v>15</v>
      </c>
      <c r="J514" s="35">
        <f>IF(VENTAS[[#This Row],[Nombre del Gestor]]&gt;1,VENTAS[[#This Row],[Total]]*10%,0)</f>
        <v>0</v>
      </c>
      <c r="K514" s="35">
        <f>IFERROR(VLOOKUP(VENTAS[[#This Row],[Código del producto Vendido]],STOCK[],16,FALSE)*VENTAS[[#This Row],[Cantidad]]+VLOOKUP(VENTAS[[#This Row],[Código del producto Vendido]],STOCK[],19,FALSE)*VENTAS[[#This Row],[Cantidad]],VENTAS[[#This Row],[Total]])</f>
        <v>12.49</v>
      </c>
      <c r="L514" s="35">
        <f>VENTAS[[#This Row],[Total]]-VENTAS[[#This Row],[Comisión 10%]]-VENTAS[[#This Row],[Costo SIN Comision]]</f>
        <v>2.51</v>
      </c>
      <c r="M514" s="35"/>
    </row>
    <row r="515" ht="20" customHeight="1" spans="1:13">
      <c r="A515" s="65">
        <v>45171</v>
      </c>
      <c r="B515" s="30"/>
      <c r="C515" s="30" t="s">
        <v>3351</v>
      </c>
      <c r="D515" s="30"/>
      <c r="E515" s="30" t="s">
        <v>1309</v>
      </c>
      <c r="F515" s="34" t="str">
        <f>IFERROR(VLOOKUP(VENTAS[[#This Row],[Código del producto Vendido]],STOCK[],5,FALSE),"-")</f>
        <v>Short de mezclilla suave con cinturón</v>
      </c>
      <c r="G515" s="34">
        <v>1</v>
      </c>
      <c r="H515" s="35">
        <v>20</v>
      </c>
      <c r="I515" s="35">
        <f>VENTAS[[#This Row],[Cantidad]]*VENTAS[[#This Row],[Precio Venta]]</f>
        <v>20</v>
      </c>
      <c r="J515" s="35">
        <f>IF(VENTAS[[#This Row],[Nombre del Gestor]]&gt;1,VENTAS[[#This Row],[Total]]*10%,0)</f>
        <v>0</v>
      </c>
      <c r="K515" s="35">
        <f>IFERROR(VLOOKUP(VENTAS[[#This Row],[Código del producto Vendido]],STOCK[],16,FALSE)*VENTAS[[#This Row],[Cantidad]]+VLOOKUP(VENTAS[[#This Row],[Código del producto Vendido]],STOCK[],19,FALSE)*VENTAS[[#This Row],[Cantidad]],VENTAS[[#This Row],[Total]])</f>
        <v>11</v>
      </c>
      <c r="L515" s="35">
        <f>VENTAS[[#This Row],[Total]]-VENTAS[[#This Row],[Comisión 10%]]-VENTAS[[#This Row],[Costo SIN Comision]]</f>
        <v>9</v>
      </c>
      <c r="M515" s="35"/>
    </row>
    <row r="516" ht="20" customHeight="1" spans="1:13">
      <c r="A516" s="64">
        <v>45173</v>
      </c>
      <c r="B516" s="30"/>
      <c r="C516" s="30" t="s">
        <v>3443</v>
      </c>
      <c r="D516" s="30"/>
      <c r="E516" s="30" t="s">
        <v>1281</v>
      </c>
      <c r="F516" s="34" t="str">
        <f>IFERROR(VLOOKUP(VENTAS[[#This Row],[Código del producto Vendido]],STOCK[],5,FALSE),"-")</f>
        <v>Pantalón beige de pierna ancha</v>
      </c>
      <c r="G516" s="34">
        <v>1</v>
      </c>
      <c r="H516" s="35">
        <v>30</v>
      </c>
      <c r="I516" s="35">
        <f>VENTAS[[#This Row],[Cantidad]]*VENTAS[[#This Row],[Precio Venta]]</f>
        <v>30</v>
      </c>
      <c r="J516" s="35">
        <f>IF(VENTAS[[#This Row],[Nombre del Gestor]]&gt;1,VENTAS[[#This Row],[Total]]*10%,0)</f>
        <v>0</v>
      </c>
      <c r="K516" s="35">
        <f>IFERROR(VLOOKUP(VENTAS[[#This Row],[Código del producto Vendido]],STOCK[],16,FALSE)*VENTAS[[#This Row],[Cantidad]]+VLOOKUP(VENTAS[[#This Row],[Código del producto Vendido]],STOCK[],19,FALSE)*VENTAS[[#This Row],[Cantidad]],VENTAS[[#This Row],[Total]])</f>
        <v>20.78</v>
      </c>
      <c r="L516" s="35">
        <f>VENTAS[[#This Row],[Total]]-VENTAS[[#This Row],[Comisión 10%]]-VENTAS[[#This Row],[Costo SIN Comision]]</f>
        <v>9.22</v>
      </c>
      <c r="M516" s="35"/>
    </row>
    <row r="517" ht="20" customHeight="1" spans="1:13">
      <c r="A517" s="64">
        <v>45173</v>
      </c>
      <c r="B517" s="30"/>
      <c r="C517" s="30" t="s">
        <v>3415</v>
      </c>
      <c r="D517" s="30"/>
      <c r="E517" s="30" t="s">
        <v>999</v>
      </c>
      <c r="F517" s="34" t="str">
        <f>IFERROR(VLOOKUP(VENTAS[[#This Row],[Código del producto Vendido]],STOCK[],5,FALSE),"-")</f>
        <v>Top cisne acanalado</v>
      </c>
      <c r="G517" s="34">
        <v>1</v>
      </c>
      <c r="H517" s="35">
        <v>12</v>
      </c>
      <c r="I517" s="35">
        <f>VENTAS[[#This Row],[Cantidad]]*VENTAS[[#This Row],[Precio Venta]]</f>
        <v>12</v>
      </c>
      <c r="J517" s="35">
        <f>IF(VENTAS[[#This Row],[Nombre del Gestor]]&gt;1,VENTAS[[#This Row],[Total]]*10%,0)</f>
        <v>0</v>
      </c>
      <c r="K517" s="35">
        <f>IFERROR(VLOOKUP(VENTAS[[#This Row],[Código del producto Vendido]],STOCK[],16,FALSE)*VENTAS[[#This Row],[Cantidad]]+VLOOKUP(VENTAS[[#This Row],[Código del producto Vendido]],STOCK[],19,FALSE)*VENTAS[[#This Row],[Cantidad]],VENTAS[[#This Row],[Total]])</f>
        <v>9.28</v>
      </c>
      <c r="L517" s="35">
        <f>VENTAS[[#This Row],[Total]]-VENTAS[[#This Row],[Comisión 10%]]-VENTAS[[#This Row],[Costo SIN Comision]]</f>
        <v>2.72</v>
      </c>
      <c r="M517" s="35"/>
    </row>
    <row r="518" ht="20" customHeight="1" spans="1:13">
      <c r="A518" s="29">
        <v>45180</v>
      </c>
      <c r="B518" s="30"/>
      <c r="C518" s="30" t="s">
        <v>3392</v>
      </c>
      <c r="D518" s="30"/>
      <c r="E518" s="30" t="s">
        <v>181</v>
      </c>
      <c r="F518" s="34" t="str">
        <f>IFERROR(VLOOKUP(VENTAS[[#This Row],[Código del producto Vendido]],STOCK[],5,FALSE),"-")</f>
        <v>Top de manga farol con abertura en espalda</v>
      </c>
      <c r="G518" s="34">
        <v>1</v>
      </c>
      <c r="H518" s="35">
        <v>14</v>
      </c>
      <c r="I518" s="35">
        <f>VENTAS[[#This Row],[Cantidad]]*VENTAS[[#This Row],[Precio Venta]]</f>
        <v>14</v>
      </c>
      <c r="J518" s="35">
        <f>IF(VENTAS[[#This Row],[Nombre del Gestor]]&gt;1,VENTAS[[#This Row],[Total]]*10%,0)</f>
        <v>0</v>
      </c>
      <c r="K518" s="35">
        <f>IFERROR(VLOOKUP(VENTAS[[#This Row],[Código del producto Vendido]],STOCK[],16,FALSE)*VENTAS[[#This Row],[Cantidad]]+VLOOKUP(VENTAS[[#This Row],[Código del producto Vendido]],STOCK[],19,FALSE)*VENTAS[[#This Row],[Cantidad]],VENTAS[[#This Row],[Total]])</f>
        <v>8.89777777777778</v>
      </c>
      <c r="L518" s="35">
        <f>VENTAS[[#This Row],[Total]]-VENTAS[[#This Row],[Comisión 10%]]-VENTAS[[#This Row],[Costo SIN Comision]]</f>
        <v>5.10222222222222</v>
      </c>
      <c r="M518" s="35"/>
    </row>
    <row r="519" ht="20" customHeight="1" spans="1:13">
      <c r="A519" s="29">
        <v>45180</v>
      </c>
      <c r="B519" s="30"/>
      <c r="C519" s="30" t="s">
        <v>3346</v>
      </c>
      <c r="D519" s="30"/>
      <c r="E519" s="30" t="s">
        <v>425</v>
      </c>
      <c r="F519" s="34" t="str">
        <f>IFERROR(VLOOKUP(VENTAS[[#This Row],[Código del producto Vendido]],STOCK[],5,FALSE),"-")</f>
        <v>Mono Bohemiocon cinturón </v>
      </c>
      <c r="G519" s="34">
        <v>1</v>
      </c>
      <c r="H519" s="35">
        <v>14.7</v>
      </c>
      <c r="I519" s="35">
        <f>VENTAS[[#This Row],[Cantidad]]*VENTAS[[#This Row],[Precio Venta]]</f>
        <v>14.7</v>
      </c>
      <c r="J519" s="35">
        <f>IF(VENTAS[[#This Row],[Nombre del Gestor]]&gt;1,VENTAS[[#This Row],[Total]]*10%,0)</f>
        <v>0</v>
      </c>
      <c r="K519" s="35">
        <f>IFERROR(VLOOKUP(VENTAS[[#This Row],[Código del producto Vendido]],STOCK[],16,FALSE)*VENTAS[[#This Row],[Cantidad]]+VLOOKUP(VENTAS[[#This Row],[Código del producto Vendido]],STOCK[],19,FALSE)*VENTAS[[#This Row],[Cantidad]],VENTAS[[#This Row],[Total]])</f>
        <v>14.7022222222222</v>
      </c>
      <c r="L519" s="35">
        <f>VENTAS[[#This Row],[Total]]-VENTAS[[#This Row],[Comisión 10%]]-VENTAS[[#This Row],[Costo SIN Comision]]</f>
        <v>-0.00222222222220125</v>
      </c>
      <c r="M519" s="35"/>
    </row>
    <row r="520" ht="20" customHeight="1" spans="1:13">
      <c r="A520" s="29">
        <v>45180</v>
      </c>
      <c r="B520" s="30"/>
      <c r="C520" s="30" t="s">
        <v>3346</v>
      </c>
      <c r="D520" s="30"/>
      <c r="E520" s="66" t="s">
        <v>1142</v>
      </c>
      <c r="F520" s="34" t="str">
        <f>IFERROR(VLOOKUP(VENTAS[[#This Row],[Código del producto Vendido]],STOCK[],5,FALSE),"-")</f>
        <v>Short de playa </v>
      </c>
      <c r="G520" s="34">
        <v>1</v>
      </c>
      <c r="H520" s="35">
        <v>16.27</v>
      </c>
      <c r="I520" s="35">
        <f>VENTAS[[#This Row],[Cantidad]]*VENTAS[[#This Row],[Precio Venta]]</f>
        <v>16.27</v>
      </c>
      <c r="J520" s="35">
        <f>IF(VENTAS[[#This Row],[Nombre del Gestor]]&gt;1,VENTAS[[#This Row],[Total]]*10%,0)</f>
        <v>0</v>
      </c>
      <c r="K520" s="35">
        <f>IFERROR(VLOOKUP(VENTAS[[#This Row],[Código del producto Vendido]],STOCK[],16,FALSE)*VENTAS[[#This Row],[Cantidad]]+VLOOKUP(VENTAS[[#This Row],[Código del producto Vendido]],STOCK[],19,FALSE)*VENTAS[[#This Row],[Cantidad]],VENTAS[[#This Row],[Total]])</f>
        <v>16.2705882352941</v>
      </c>
      <c r="L520" s="35">
        <f>VENTAS[[#This Row],[Total]]-VENTAS[[#This Row],[Comisión 10%]]-VENTAS[[#This Row],[Costo SIN Comision]]</f>
        <v>-0.000588235294099348</v>
      </c>
      <c r="M520" s="35"/>
    </row>
    <row r="521" ht="20" customHeight="1" spans="1:13">
      <c r="A521" s="29">
        <v>45174</v>
      </c>
      <c r="B521" s="30"/>
      <c r="C521" s="30" t="s">
        <v>3444</v>
      </c>
      <c r="D521" s="30"/>
      <c r="E521" s="66" t="s">
        <v>1134</v>
      </c>
      <c r="F521" s="34" t="str">
        <f>IFERROR(VLOOKUP(VENTAS[[#This Row],[Código del producto Vendido]],STOCK[],5,FALSE),"-")</f>
        <v>Vestido ajustado Mora</v>
      </c>
      <c r="G521" s="34">
        <v>1</v>
      </c>
      <c r="H521" s="35">
        <v>30</v>
      </c>
      <c r="I521" s="35">
        <f>VENTAS[[#This Row],[Cantidad]]*VENTAS[[#This Row],[Precio Venta]]</f>
        <v>30</v>
      </c>
      <c r="J521" s="35">
        <f>IF(VENTAS[[#This Row],[Nombre del Gestor]]&gt;1,VENTAS[[#This Row],[Total]]*10%,0)</f>
        <v>0</v>
      </c>
      <c r="K521" s="35">
        <f>IFERROR(VLOOKUP(VENTAS[[#This Row],[Código del producto Vendido]],STOCK[],16,FALSE)*VENTAS[[#This Row],[Cantidad]]+VLOOKUP(VENTAS[[#This Row],[Código del producto Vendido]],STOCK[],19,FALSE)*VENTAS[[#This Row],[Cantidad]],VENTAS[[#This Row],[Total]])</f>
        <v>22.0147058823529</v>
      </c>
      <c r="L521" s="35">
        <f>VENTAS[[#This Row],[Total]]-VENTAS[[#This Row],[Comisión 10%]]-VENTAS[[#This Row],[Costo SIN Comision]]</f>
        <v>7.9852941176471</v>
      </c>
      <c r="M521" s="35"/>
    </row>
    <row r="522" ht="20" customHeight="1" spans="1:13">
      <c r="A522" s="29">
        <v>45174</v>
      </c>
      <c r="B522" s="30"/>
      <c r="C522" s="30" t="s">
        <v>3444</v>
      </c>
      <c r="D522" s="30"/>
      <c r="E522" s="66" t="s">
        <v>1050</v>
      </c>
      <c r="F522" s="34" t="str">
        <f>IFERROR(VLOOKUP(VENTAS[[#This Row],[Código del producto Vendido]],STOCK[],5,FALSE),"-")</f>
        <v>Pantaloneta Camel</v>
      </c>
      <c r="G522" s="34">
        <v>1</v>
      </c>
      <c r="H522" s="35">
        <v>30</v>
      </c>
      <c r="I522" s="35">
        <f>VENTAS[[#This Row],[Cantidad]]*VENTAS[[#This Row],[Precio Venta]]</f>
        <v>30</v>
      </c>
      <c r="J522" s="35">
        <f>IF(VENTAS[[#This Row],[Nombre del Gestor]]&gt;1,VENTAS[[#This Row],[Total]]*10%,0)</f>
        <v>0</v>
      </c>
      <c r="K522" s="35">
        <f>IFERROR(VLOOKUP(VENTAS[[#This Row],[Código del producto Vendido]],STOCK[],16,FALSE)*VENTAS[[#This Row],[Cantidad]]+VLOOKUP(VENTAS[[#This Row],[Código del producto Vendido]],STOCK[],19,FALSE)*VENTAS[[#This Row],[Cantidad]],VENTAS[[#This Row],[Total]])</f>
        <v>18.6477272727273</v>
      </c>
      <c r="L522" s="35">
        <f>VENTAS[[#This Row],[Total]]-VENTAS[[#This Row],[Comisión 10%]]-VENTAS[[#This Row],[Costo SIN Comision]]</f>
        <v>11.3522727272727</v>
      </c>
      <c r="M522" s="35"/>
    </row>
    <row r="523" ht="20" customHeight="1" spans="1:13">
      <c r="A523" s="29">
        <v>45174</v>
      </c>
      <c r="B523" s="30" t="s">
        <v>3445</v>
      </c>
      <c r="C523" s="30" t="s">
        <v>3444</v>
      </c>
      <c r="D523" s="30"/>
      <c r="E523" s="66" t="s">
        <v>248</v>
      </c>
      <c r="F523" s="34" t="str">
        <f>IFERROR(VLOOKUP(VENTAS[[#This Row],[Código del producto Vendido]],STOCK[],5,FALSE),"-")</f>
        <v>Vestido con abertura con botón floral de margarita</v>
      </c>
      <c r="G523" s="34">
        <v>1</v>
      </c>
      <c r="H523" s="35">
        <v>20</v>
      </c>
      <c r="I523" s="35">
        <f>VENTAS[[#This Row],[Cantidad]]*VENTAS[[#This Row],[Precio Venta]]</f>
        <v>20</v>
      </c>
      <c r="J523" s="35">
        <f>IF(VENTAS[[#This Row],[Nombre del Gestor]]&gt;1,VENTAS[[#This Row],[Total]]*10%,0)</f>
        <v>0</v>
      </c>
      <c r="K523" s="35">
        <f>IFERROR(VLOOKUP(VENTAS[[#This Row],[Código del producto Vendido]],STOCK[],16,FALSE)*VENTAS[[#This Row],[Cantidad]]+VLOOKUP(VENTAS[[#This Row],[Código del producto Vendido]],STOCK[],19,FALSE)*VENTAS[[#This Row],[Cantidad]],VENTAS[[#This Row],[Total]])</f>
        <v>17.2</v>
      </c>
      <c r="L523" s="35">
        <f>VENTAS[[#This Row],[Total]]-VENTAS[[#This Row],[Comisión 10%]]-VENTAS[[#This Row],[Costo SIN Comision]]</f>
        <v>2.8</v>
      </c>
      <c r="M523" s="35"/>
    </row>
    <row r="524" ht="20" customHeight="1" spans="1:13">
      <c r="A524" s="29">
        <v>45174</v>
      </c>
      <c r="B524" s="30"/>
      <c r="C524" s="30" t="s">
        <v>3444</v>
      </c>
      <c r="D524" s="30"/>
      <c r="E524" s="66" t="s">
        <v>45</v>
      </c>
      <c r="F524" s="34" t="str">
        <f>IFERROR(VLOOKUP(VENTAS[[#This Row],[Código del producto Vendido]],STOCK[],5,FALSE),"-")</f>
        <v>Vestido Camisero Elegante</v>
      </c>
      <c r="G524" s="34">
        <v>1</v>
      </c>
      <c r="H524" s="35">
        <v>30</v>
      </c>
      <c r="I524" s="35">
        <f>VENTAS[[#This Row],[Cantidad]]*VENTAS[[#This Row],[Precio Venta]]</f>
        <v>30</v>
      </c>
      <c r="J524" s="35">
        <f>IF(VENTAS[[#This Row],[Nombre del Gestor]]&gt;1,VENTAS[[#This Row],[Total]]*10%,0)</f>
        <v>0</v>
      </c>
      <c r="K524" s="35">
        <f>IFERROR(VLOOKUP(VENTAS[[#This Row],[Código del producto Vendido]],STOCK[],16,FALSE)*VENTAS[[#This Row],[Cantidad]]+VLOOKUP(VENTAS[[#This Row],[Código del producto Vendido]],STOCK[],19,FALSE)*VENTAS[[#This Row],[Cantidad]],VENTAS[[#This Row],[Total]])</f>
        <v>19.0022222222222</v>
      </c>
      <c r="L524" s="35">
        <f>VENTAS[[#This Row],[Total]]-VENTAS[[#This Row],[Comisión 10%]]-VENTAS[[#This Row],[Costo SIN Comision]]</f>
        <v>10.9977777777778</v>
      </c>
      <c r="M524" s="35"/>
    </row>
    <row r="525" ht="20" customHeight="1" spans="1:13">
      <c r="A525" s="29">
        <v>45181</v>
      </c>
      <c r="B525" s="30"/>
      <c r="C525" s="30" t="s">
        <v>3446</v>
      </c>
      <c r="D525" s="30"/>
      <c r="E525" s="66" t="s">
        <v>1260</v>
      </c>
      <c r="F525" s="34" t="str">
        <f>IFERROR(VLOOKUP(VENTAS[[#This Row],[Código del producto Vendido]],STOCK[],5,FALSE),"-")</f>
        <v>Maxi vestido playero naranja quemada</v>
      </c>
      <c r="G525" s="34">
        <v>1</v>
      </c>
      <c r="H525" s="35">
        <v>35</v>
      </c>
      <c r="I525" s="35">
        <f>VENTAS[[#This Row],[Cantidad]]*VENTAS[[#This Row],[Precio Venta]]</f>
        <v>35</v>
      </c>
      <c r="J525" s="35">
        <f>IF(VENTAS[[#This Row],[Nombre del Gestor]]&gt;1,VENTAS[[#This Row],[Total]]*10%,0)</f>
        <v>0</v>
      </c>
      <c r="K525" s="35">
        <f>IFERROR(VLOOKUP(VENTAS[[#This Row],[Código del producto Vendido]],STOCK[],16,FALSE)*VENTAS[[#This Row],[Cantidad]]+VLOOKUP(VENTAS[[#This Row],[Código del producto Vendido]],STOCK[],19,FALSE)*VENTAS[[#This Row],[Cantidad]],VENTAS[[#This Row],[Total]])</f>
        <v>23.95</v>
      </c>
      <c r="L525" s="35">
        <f>VENTAS[[#This Row],[Total]]-VENTAS[[#This Row],[Comisión 10%]]-VENTAS[[#This Row],[Costo SIN Comision]]</f>
        <v>11.05</v>
      </c>
      <c r="M525" s="35"/>
    </row>
    <row r="526" ht="20" customHeight="1" spans="1:13">
      <c r="A526" s="29">
        <v>45181</v>
      </c>
      <c r="B526" s="30"/>
      <c r="C526" s="30" t="s">
        <v>3447</v>
      </c>
      <c r="D526" s="30"/>
      <c r="E526" s="66" t="s">
        <v>1254</v>
      </c>
      <c r="F526" s="34" t="str">
        <f>IFERROR(VLOOKUP(VENTAS[[#This Row],[Código del producto Vendido]],STOCK[],5,FALSE),"-")</f>
        <v>Pantaloneta verde</v>
      </c>
      <c r="G526" s="34">
        <v>1</v>
      </c>
      <c r="H526" s="35">
        <v>25</v>
      </c>
      <c r="I526" s="35">
        <f>VENTAS[[#This Row],[Cantidad]]*VENTAS[[#This Row],[Precio Venta]]</f>
        <v>25</v>
      </c>
      <c r="J526" s="35">
        <f>IF(VENTAS[[#This Row],[Nombre del Gestor]]&gt;1,VENTAS[[#This Row],[Total]]*10%,0)</f>
        <v>0</v>
      </c>
      <c r="K526" s="35">
        <f>IFERROR(VLOOKUP(VENTAS[[#This Row],[Código del producto Vendido]],STOCK[],16,FALSE)*VENTAS[[#This Row],[Cantidad]]+VLOOKUP(VENTAS[[#This Row],[Código del producto Vendido]],STOCK[],19,FALSE)*VENTAS[[#This Row],[Cantidad]],VENTAS[[#This Row],[Total]])</f>
        <v>18.3</v>
      </c>
      <c r="L526" s="35">
        <f>VENTAS[[#This Row],[Total]]-VENTAS[[#This Row],[Comisión 10%]]-VENTAS[[#This Row],[Costo SIN Comision]]</f>
        <v>6.7</v>
      </c>
      <c r="M526" s="35"/>
    </row>
    <row r="527" ht="20" customHeight="1" spans="1:13">
      <c r="A527" s="29">
        <v>45181</v>
      </c>
      <c r="B527" s="30"/>
      <c r="C527" s="30" t="s">
        <v>3447</v>
      </c>
      <c r="D527" s="30"/>
      <c r="E527" s="66" t="s">
        <v>1272</v>
      </c>
      <c r="F527" s="34" t="str">
        <f>IFERROR(VLOOKUP(VENTAS[[#This Row],[Código del producto Vendido]],STOCK[],5,FALSE),"-")</f>
        <v>Top de cuello V con encaje</v>
      </c>
      <c r="G527" s="34">
        <v>1</v>
      </c>
      <c r="H527" s="35">
        <v>12</v>
      </c>
      <c r="I527" s="35">
        <f>VENTAS[[#This Row],[Cantidad]]*VENTAS[[#This Row],[Precio Venta]]</f>
        <v>12</v>
      </c>
      <c r="J527" s="35">
        <f>IF(VENTAS[[#This Row],[Nombre del Gestor]]&gt;1,VENTAS[[#This Row],[Total]]*10%,0)</f>
        <v>0</v>
      </c>
      <c r="K527" s="35">
        <f>IFERROR(VLOOKUP(VENTAS[[#This Row],[Código del producto Vendido]],STOCK[],16,FALSE)*VENTAS[[#This Row],[Cantidad]]+VLOOKUP(VENTAS[[#This Row],[Código del producto Vendido]],STOCK[],19,FALSE)*VENTAS[[#This Row],[Cantidad]],VENTAS[[#This Row],[Total]])</f>
        <v>7.97</v>
      </c>
      <c r="L527" s="35">
        <f>VENTAS[[#This Row],[Total]]-VENTAS[[#This Row],[Comisión 10%]]-VENTAS[[#This Row],[Costo SIN Comision]]</f>
        <v>4.03</v>
      </c>
      <c r="M527" s="35"/>
    </row>
    <row r="528" ht="20" customHeight="1" spans="1:13">
      <c r="A528" s="29">
        <v>45182</v>
      </c>
      <c r="B528" s="30"/>
      <c r="C528" s="30" t="s">
        <v>3448</v>
      </c>
      <c r="D528" s="30"/>
      <c r="E528" s="66"/>
      <c r="F528" s="34" t="str">
        <f>IFERROR(VLOOKUP(VENTAS[[#This Row],[Código del producto Vendido]],STOCK[],5,FALSE),"-")</f>
        <v>-</v>
      </c>
      <c r="G528" s="34">
        <v>0</v>
      </c>
      <c r="H528" s="35">
        <v>0</v>
      </c>
      <c r="I528" s="35">
        <f>VENTAS[[#This Row],[Cantidad]]*VENTAS[[#This Row],[Precio Venta]]</f>
        <v>0</v>
      </c>
      <c r="J528" s="35">
        <f>IF(VENTAS[[#This Row],[Nombre del Gestor]]&gt;1,VENTAS[[#This Row],[Total]]*10%,0)</f>
        <v>0</v>
      </c>
      <c r="K528" s="35">
        <f>IFERROR(VLOOKUP(VENTAS[[#This Row],[Código del producto Vendido]],STOCK[],16,FALSE)*VENTAS[[#This Row],[Cantidad]]+VLOOKUP(VENTAS[[#This Row],[Código del producto Vendido]],STOCK[],19,FALSE)*VENTAS[[#This Row],[Cantidad]],VENTAS[[#This Row],[Total]])</f>
        <v>0</v>
      </c>
      <c r="L528" s="35">
        <f>VENTAS[[#This Row],[Total]]-VENTAS[[#This Row],[Comisión 10%]]-VENTAS[[#This Row],[Costo SIN Comision]]</f>
        <v>0</v>
      </c>
      <c r="M528" s="35"/>
    </row>
    <row r="529" ht="20" customHeight="1" spans="1:13">
      <c r="A529" s="29" t="s">
        <v>3449</v>
      </c>
      <c r="B529" s="30"/>
      <c r="C529" s="30"/>
      <c r="D529" s="30"/>
      <c r="E529" s="66" t="s">
        <v>895</v>
      </c>
      <c r="F529" s="34" t="str">
        <f>IFERROR(VLOOKUP(VENTAS[[#This Row],[Código del producto Vendido]],STOCK[],5,FALSE),"-")</f>
        <v>Top Cisne Blanco</v>
      </c>
      <c r="G529" s="34">
        <v>1</v>
      </c>
      <c r="H529" s="35">
        <v>14</v>
      </c>
      <c r="I529" s="35">
        <f>VENTAS[[#This Row],[Cantidad]]*VENTAS[[#This Row],[Precio Venta]]</f>
        <v>14</v>
      </c>
      <c r="J529" s="35">
        <f>IF(VENTAS[[#This Row],[Nombre del Gestor]]&gt;1,VENTAS[[#This Row],[Total]]*10%,0)</f>
        <v>0</v>
      </c>
      <c r="K529" s="35">
        <f>IFERROR(VLOOKUP(VENTAS[[#This Row],[Código del producto Vendido]],STOCK[],16,FALSE)*VENTAS[[#This Row],[Cantidad]]+VLOOKUP(VENTAS[[#This Row],[Código del producto Vendido]],STOCK[],19,FALSE)*VENTAS[[#This Row],[Cantidad]],VENTAS[[#This Row],[Total]])</f>
        <v>7.97318181818182</v>
      </c>
      <c r="L529" s="35">
        <f>VENTAS[[#This Row],[Total]]-VENTAS[[#This Row],[Comisión 10%]]-VENTAS[[#This Row],[Costo SIN Comision]]</f>
        <v>6.02681818181818</v>
      </c>
      <c r="M529" s="35"/>
    </row>
    <row r="530" ht="20" customHeight="1" spans="1:13">
      <c r="A530" s="29" t="s">
        <v>3449</v>
      </c>
      <c r="B530" s="30"/>
      <c r="C530" s="30"/>
      <c r="D530" s="30"/>
      <c r="E530" s="66" t="s">
        <v>892</v>
      </c>
      <c r="F530" s="34" t="str">
        <f>IFERROR(VLOOKUP(VENTAS[[#This Row],[Código del producto Vendido]],STOCK[],5,FALSE),"-")</f>
        <v>Top Cisne Blanco</v>
      </c>
      <c r="G530" s="34">
        <v>1</v>
      </c>
      <c r="H530" s="35">
        <v>12</v>
      </c>
      <c r="I530" s="35">
        <f>VENTAS[[#This Row],[Cantidad]]*VENTAS[[#This Row],[Precio Venta]]</f>
        <v>12</v>
      </c>
      <c r="J530" s="35">
        <f>IF(VENTAS[[#This Row],[Nombre del Gestor]]&gt;1,VENTAS[[#This Row],[Total]]*10%,0)</f>
        <v>0</v>
      </c>
      <c r="K530" s="35">
        <f>IFERROR(VLOOKUP(VENTAS[[#This Row],[Código del producto Vendido]],STOCK[],16,FALSE)*VENTAS[[#This Row],[Cantidad]]+VLOOKUP(VENTAS[[#This Row],[Código del producto Vendido]],STOCK[],19,FALSE)*VENTAS[[#This Row],[Cantidad]],VENTAS[[#This Row],[Total]])</f>
        <v>7.97318181818182</v>
      </c>
      <c r="L530" s="35">
        <f>VENTAS[[#This Row],[Total]]-VENTAS[[#This Row],[Comisión 10%]]-VENTAS[[#This Row],[Costo SIN Comision]]</f>
        <v>4.02681818181818</v>
      </c>
      <c r="M530" s="35"/>
    </row>
    <row r="531" ht="20" customHeight="1" spans="1:13">
      <c r="A531" s="29" t="s">
        <v>3449</v>
      </c>
      <c r="B531" s="30"/>
      <c r="C531" s="30"/>
      <c r="D531" s="30"/>
      <c r="E531" s="66" t="s">
        <v>1017</v>
      </c>
      <c r="F531" s="34" t="str">
        <f>IFERROR(VLOOKUP(VENTAS[[#This Row],[Código del producto Vendido]],STOCK[],5,FALSE),"-")</f>
        <v>Top Dreamer Negro</v>
      </c>
      <c r="G531" s="34">
        <v>1</v>
      </c>
      <c r="H531" s="35">
        <v>12</v>
      </c>
      <c r="I531" s="35">
        <f>VENTAS[[#This Row],[Cantidad]]*VENTAS[[#This Row],[Precio Venta]]</f>
        <v>12</v>
      </c>
      <c r="J531" s="35">
        <f>IF(VENTAS[[#This Row],[Nombre del Gestor]]&gt;1,VENTAS[[#This Row],[Total]]*10%,0)</f>
        <v>0</v>
      </c>
      <c r="K531" s="35">
        <f>IFERROR(VLOOKUP(VENTAS[[#This Row],[Código del producto Vendido]],STOCK[],16,FALSE)*VENTAS[[#This Row],[Cantidad]]+VLOOKUP(VENTAS[[#This Row],[Código del producto Vendido]],STOCK[],19,FALSE)*VENTAS[[#This Row],[Cantidad]],VENTAS[[#This Row],[Total]])</f>
        <v>7.15681818181818</v>
      </c>
      <c r="L531" s="35">
        <f>VENTAS[[#This Row],[Total]]-VENTAS[[#This Row],[Comisión 10%]]-VENTAS[[#This Row],[Costo SIN Comision]]</f>
        <v>4.84318181818182</v>
      </c>
      <c r="M531" s="35"/>
    </row>
    <row r="532" ht="20" customHeight="1" spans="1:13">
      <c r="A532" s="29" t="s">
        <v>3449</v>
      </c>
      <c r="B532" s="30"/>
      <c r="C532" s="30"/>
      <c r="D532" s="30"/>
      <c r="E532" s="30" t="s">
        <v>597</v>
      </c>
      <c r="F532" s="34" t="str">
        <f>IFERROR(VLOOKUP(VENTAS[[#This Row],[Código del producto Vendido]],STOCK[],5,FALSE),"-")</f>
        <v>Top corsetero asimétrico</v>
      </c>
      <c r="G532" s="34">
        <v>1</v>
      </c>
      <c r="H532" s="35">
        <v>10</v>
      </c>
      <c r="I532" s="35">
        <f>VENTAS[[#This Row],[Cantidad]]*VENTAS[[#This Row],[Precio Venta]]</f>
        <v>10</v>
      </c>
      <c r="J532" s="35">
        <f>IF(VENTAS[[#This Row],[Nombre del Gestor]]&gt;1,VENTAS[[#This Row],[Total]]*10%,0)</f>
        <v>0</v>
      </c>
      <c r="K532" s="35">
        <f>IFERROR(VLOOKUP(VENTAS[[#This Row],[Código del producto Vendido]],STOCK[],16,FALSE)*VENTAS[[#This Row],[Cantidad]]+VLOOKUP(VENTAS[[#This Row],[Código del producto Vendido]],STOCK[],19,FALSE)*VENTAS[[#This Row],[Cantidad]],VENTAS[[#This Row],[Total]])</f>
        <v>5.56833333333333</v>
      </c>
      <c r="L532" s="35">
        <f>VENTAS[[#This Row],[Total]]-VENTAS[[#This Row],[Comisión 10%]]-VENTAS[[#This Row],[Costo SIN Comision]]</f>
        <v>4.43166666666667</v>
      </c>
      <c r="M532" s="35"/>
    </row>
    <row r="533" ht="20" customHeight="1" spans="1:13">
      <c r="A533" s="29" t="s">
        <v>3449</v>
      </c>
      <c r="B533" s="30"/>
      <c r="C533" s="30"/>
      <c r="D533" s="30"/>
      <c r="E533" s="30" t="s">
        <v>599</v>
      </c>
      <c r="F533" s="34" t="str">
        <f>IFERROR(VLOOKUP(VENTAS[[#This Row],[Código del producto Vendido]],STOCK[],5,FALSE),"-")</f>
        <v>Top corsetero asimétrico</v>
      </c>
      <c r="G533" s="34">
        <v>2</v>
      </c>
      <c r="H533" s="35">
        <v>10</v>
      </c>
      <c r="I533" s="35">
        <f>VENTAS[[#This Row],[Cantidad]]*VENTAS[[#This Row],[Precio Venta]]</f>
        <v>20</v>
      </c>
      <c r="J533" s="35">
        <f>IF(VENTAS[[#This Row],[Nombre del Gestor]]&gt;1,VENTAS[[#This Row],[Total]]*10%,0)</f>
        <v>0</v>
      </c>
      <c r="K533" s="35">
        <f>IFERROR(VLOOKUP(VENTAS[[#This Row],[Código del producto Vendido]],STOCK[],16,FALSE)*VENTAS[[#This Row],[Cantidad]]+VLOOKUP(VENTAS[[#This Row],[Código del producto Vendido]],STOCK[],19,FALSE)*VENTAS[[#This Row],[Cantidad]],VENTAS[[#This Row],[Total]])</f>
        <v>11.1366666666667</v>
      </c>
      <c r="L533" s="35">
        <f>VENTAS[[#This Row],[Total]]-VENTAS[[#This Row],[Comisión 10%]]-VENTAS[[#This Row],[Costo SIN Comision]]</f>
        <v>8.86333333333334</v>
      </c>
      <c r="M533" s="35"/>
    </row>
    <row r="534" ht="20" customHeight="1" spans="1:13">
      <c r="A534" s="29" t="s">
        <v>3449</v>
      </c>
      <c r="B534" s="30"/>
      <c r="C534" s="30"/>
      <c r="D534" s="30"/>
      <c r="E534" s="30" t="s">
        <v>1026</v>
      </c>
      <c r="F534" s="34" t="str">
        <f>IFERROR(VLOOKUP(VENTAS[[#This Row],[Código del producto Vendido]],STOCK[],5,FALSE),"-")</f>
        <v>Top Dreamer Blanco</v>
      </c>
      <c r="G534" s="34">
        <v>1</v>
      </c>
      <c r="H534" s="35">
        <v>12</v>
      </c>
      <c r="I534" s="35">
        <f>VENTAS[[#This Row],[Cantidad]]*VENTAS[[#This Row],[Precio Venta]]</f>
        <v>12</v>
      </c>
      <c r="J534" s="35">
        <f>IF(VENTAS[[#This Row],[Nombre del Gestor]]&gt;1,VENTAS[[#This Row],[Total]]*10%,0)</f>
        <v>0</v>
      </c>
      <c r="K534" s="35">
        <f>IFERROR(VLOOKUP(VENTAS[[#This Row],[Código del producto Vendido]],STOCK[],16,FALSE)*VENTAS[[#This Row],[Cantidad]]+VLOOKUP(VENTAS[[#This Row],[Código del producto Vendido]],STOCK[],19,FALSE)*VENTAS[[#This Row],[Cantidad]],VENTAS[[#This Row],[Total]])</f>
        <v>6.75909090909091</v>
      </c>
      <c r="L534" s="35">
        <f>VENTAS[[#This Row],[Total]]-VENTAS[[#This Row],[Comisión 10%]]-VENTAS[[#This Row],[Costo SIN Comision]]</f>
        <v>5.24090909090909</v>
      </c>
      <c r="M534" s="35"/>
    </row>
    <row r="535" ht="20" customHeight="1" spans="1:13">
      <c r="A535" s="29" t="s">
        <v>3449</v>
      </c>
      <c r="B535" s="30"/>
      <c r="C535" s="30"/>
      <c r="D535" s="30"/>
      <c r="E535" s="30" t="s">
        <v>1108</v>
      </c>
      <c r="F535" s="34" t="str">
        <f>IFERROR(VLOOKUP(VENTAS[[#This Row],[Código del producto Vendido]],STOCK[],5,FALSE),"-")</f>
        <v>Jumpsuit culotte</v>
      </c>
      <c r="G535" s="34">
        <v>1</v>
      </c>
      <c r="H535" s="35">
        <v>22</v>
      </c>
      <c r="I535" s="35">
        <f>VENTAS[[#This Row],[Cantidad]]*VENTAS[[#This Row],[Precio Venta]]</f>
        <v>22</v>
      </c>
      <c r="J535" s="35">
        <f>IF(VENTAS[[#This Row],[Nombre del Gestor]]&gt;1,VENTAS[[#This Row],[Total]]*10%,0)</f>
        <v>0</v>
      </c>
      <c r="K535" s="35">
        <f>IFERROR(VLOOKUP(VENTAS[[#This Row],[Código del producto Vendido]],STOCK[],16,FALSE)*VENTAS[[#This Row],[Cantidad]]+VLOOKUP(VENTAS[[#This Row],[Código del producto Vendido]],STOCK[],19,FALSE)*VENTAS[[#This Row],[Cantidad]],VENTAS[[#This Row],[Total]])</f>
        <v>18.4279411764706</v>
      </c>
      <c r="L535" s="35">
        <f>VENTAS[[#This Row],[Total]]-VENTAS[[#This Row],[Comisión 10%]]-VENTAS[[#This Row],[Costo SIN Comision]]</f>
        <v>3.5720588235294</v>
      </c>
      <c r="M535" s="35"/>
    </row>
    <row r="536" ht="20" customHeight="1" spans="1:13">
      <c r="A536" s="29" t="s">
        <v>3449</v>
      </c>
      <c r="B536" s="30"/>
      <c r="C536" s="30"/>
      <c r="D536" s="30"/>
      <c r="E536" s="30" t="s">
        <v>1119</v>
      </c>
      <c r="F536" s="34" t="str">
        <f>IFERROR(VLOOKUP(VENTAS[[#This Row],[Código del producto Vendido]],STOCK[],5,FALSE),"-")</f>
        <v>Set de lencería de encaje</v>
      </c>
      <c r="G536" s="34">
        <v>1</v>
      </c>
      <c r="H536" s="35">
        <v>12</v>
      </c>
      <c r="I536" s="35">
        <f>VENTAS[[#This Row],[Cantidad]]*VENTAS[[#This Row],[Precio Venta]]</f>
        <v>12</v>
      </c>
      <c r="J536" s="35">
        <f>IF(VENTAS[[#This Row],[Nombre del Gestor]]&gt;1,VENTAS[[#This Row],[Total]]*10%,0)</f>
        <v>0</v>
      </c>
      <c r="K536" s="35">
        <f>IFERROR(VLOOKUP(VENTAS[[#This Row],[Código del producto Vendido]],STOCK[],16,FALSE)*VENTAS[[#This Row],[Cantidad]]+VLOOKUP(VENTAS[[#This Row],[Código del producto Vendido]],STOCK[],19,FALSE)*VENTAS[[#This Row],[Cantidad]],VENTAS[[#This Row],[Total]])</f>
        <v>7.10882352941176</v>
      </c>
      <c r="L536" s="35">
        <f>VENTAS[[#This Row],[Total]]-VENTAS[[#This Row],[Comisión 10%]]-VENTAS[[#This Row],[Costo SIN Comision]]</f>
        <v>4.89117647058824</v>
      </c>
      <c r="M536" s="35"/>
    </row>
    <row r="537" ht="20" customHeight="1" spans="1:13">
      <c r="A537" s="29">
        <v>45521</v>
      </c>
      <c r="B537" s="30"/>
      <c r="C537" s="30" t="s">
        <v>3450</v>
      </c>
      <c r="D537" s="30" t="s">
        <v>3451</v>
      </c>
      <c r="E537" s="30" t="s">
        <v>1122</v>
      </c>
      <c r="F537" s="34" t="str">
        <f>IFERROR(VLOOKUP(VENTAS[[#This Row],[Código del producto Vendido]],STOCK[],5,FALSE),"-")</f>
        <v>Sandalias de tacón con tiras </v>
      </c>
      <c r="G537" s="34">
        <v>1</v>
      </c>
      <c r="H537" s="35">
        <v>40</v>
      </c>
      <c r="I537" s="35">
        <f>VENTAS[[#This Row],[Cantidad]]*VENTAS[[#This Row],[Precio Venta]]</f>
        <v>40</v>
      </c>
      <c r="J537" s="35">
        <f>IF(VENTAS[[#This Row],[Nombre del Gestor]]&gt;1,VENTAS[[#This Row],[Total]]*10%,0)</f>
        <v>4</v>
      </c>
      <c r="K537" s="35">
        <f>IFERROR(VLOOKUP(VENTAS[[#This Row],[Código del producto Vendido]],STOCK[],16,FALSE)*VENTAS[[#This Row],[Cantidad]]+VLOOKUP(VENTAS[[#This Row],[Código del producto Vendido]],STOCK[],19,FALSE)*VENTAS[[#This Row],[Cantidad]],VENTAS[[#This Row],[Total]])</f>
        <v>27.1529411764706</v>
      </c>
      <c r="L537" s="35">
        <f>VENTAS[[#This Row],[Total]]-VENTAS[[#This Row],[Comisión 10%]]-VENTAS[[#This Row],[Costo SIN Comision]]</f>
        <v>8.8470588235294</v>
      </c>
      <c r="M537" s="35"/>
    </row>
    <row r="538" ht="20" customHeight="1" spans="1:13">
      <c r="A538" s="29" t="s">
        <v>3449</v>
      </c>
      <c r="B538" s="30"/>
      <c r="C538" s="30"/>
      <c r="D538" s="30"/>
      <c r="E538" s="30" t="s">
        <v>1269</v>
      </c>
      <c r="F538" s="34" t="str">
        <f>IFERROR(VLOOKUP(VENTAS[[#This Row],[Código del producto Vendido]],STOCK[],5,FALSE),"-")</f>
        <v>Top blanco cuello V con encaje</v>
      </c>
      <c r="G538" s="34">
        <v>1</v>
      </c>
      <c r="H538" s="35">
        <v>12</v>
      </c>
      <c r="I538" s="35">
        <f>VENTAS[[#This Row],[Cantidad]]*VENTAS[[#This Row],[Precio Venta]]</f>
        <v>12</v>
      </c>
      <c r="J538" s="35">
        <f>IF(VENTAS[[#This Row],[Nombre del Gestor]]&gt;1,VENTAS[[#This Row],[Total]]*10%,0)</f>
        <v>0</v>
      </c>
      <c r="K538" s="35">
        <f>IFERROR(VLOOKUP(VENTAS[[#This Row],[Código del producto Vendido]],STOCK[],16,FALSE)*VENTAS[[#This Row],[Cantidad]]+VLOOKUP(VENTAS[[#This Row],[Código del producto Vendido]],STOCK[],19,FALSE)*VENTAS[[#This Row],[Cantidad]],VENTAS[[#This Row],[Total]])</f>
        <v>7.97</v>
      </c>
      <c r="L538" s="35">
        <f>VENTAS[[#This Row],[Total]]-VENTAS[[#This Row],[Comisión 10%]]-VENTAS[[#This Row],[Costo SIN Comision]]</f>
        <v>4.03</v>
      </c>
      <c r="M538" s="35"/>
    </row>
    <row r="539" ht="20" customHeight="1" spans="1:13">
      <c r="A539" s="29" t="s">
        <v>3449</v>
      </c>
      <c r="B539" s="30"/>
      <c r="C539" s="30"/>
      <c r="D539" s="30"/>
      <c r="E539" s="30" t="s">
        <v>1271</v>
      </c>
      <c r="F539" s="34" t="str">
        <f>IFERROR(VLOOKUP(VENTAS[[#This Row],[Código del producto Vendido]],STOCK[],5,FALSE),"-")</f>
        <v>Top blanco cuello V con encaje</v>
      </c>
      <c r="G539" s="34">
        <v>1</v>
      </c>
      <c r="H539" s="35">
        <v>12</v>
      </c>
      <c r="I539" s="35">
        <f>VENTAS[[#This Row],[Cantidad]]*VENTAS[[#This Row],[Precio Venta]]</f>
        <v>12</v>
      </c>
      <c r="J539" s="35">
        <f>IF(VENTAS[[#This Row],[Nombre del Gestor]]&gt;1,VENTAS[[#This Row],[Total]]*10%,0)</f>
        <v>0</v>
      </c>
      <c r="K539" s="35">
        <f>IFERROR(VLOOKUP(VENTAS[[#This Row],[Código del producto Vendido]],STOCK[],16,FALSE)*VENTAS[[#This Row],[Cantidad]]+VLOOKUP(VENTAS[[#This Row],[Código del producto Vendido]],STOCK[],19,FALSE)*VENTAS[[#This Row],[Cantidad]],VENTAS[[#This Row],[Total]])</f>
        <v>7.97</v>
      </c>
      <c r="L539" s="35">
        <f>VENTAS[[#This Row],[Total]]-VENTAS[[#This Row],[Comisión 10%]]-VENTAS[[#This Row],[Costo SIN Comision]]</f>
        <v>4.03</v>
      </c>
      <c r="M539" s="35"/>
    </row>
    <row r="540" ht="20" customHeight="1" spans="1:13">
      <c r="A540" s="29" t="s">
        <v>3449</v>
      </c>
      <c r="B540" s="30"/>
      <c r="C540" s="30"/>
      <c r="D540" s="30"/>
      <c r="E540" s="30" t="s">
        <v>1277</v>
      </c>
      <c r="F540" s="34" t="str">
        <f>IFERROR(VLOOKUP(VENTAS[[#This Row],[Código del producto Vendido]],STOCK[],5,FALSE),"-")</f>
        <v>Top negro  cuello V con encaje</v>
      </c>
      <c r="G540" s="34">
        <v>2</v>
      </c>
      <c r="H540" s="35">
        <v>12</v>
      </c>
      <c r="I540" s="35">
        <f>VENTAS[[#This Row],[Cantidad]]*VENTAS[[#This Row],[Precio Venta]]</f>
        <v>24</v>
      </c>
      <c r="J540" s="35">
        <f>IF(VENTAS[[#This Row],[Nombre del Gestor]]&gt;1,VENTAS[[#This Row],[Total]]*10%,0)</f>
        <v>0</v>
      </c>
      <c r="K540" s="35">
        <f>IFERROR(VLOOKUP(VENTAS[[#This Row],[Código del producto Vendido]],STOCK[],16,FALSE)*VENTAS[[#This Row],[Cantidad]]+VLOOKUP(VENTAS[[#This Row],[Código del producto Vendido]],STOCK[],19,FALSE)*VENTAS[[#This Row],[Cantidad]],VENTAS[[#This Row],[Total]])</f>
        <v>16.18</v>
      </c>
      <c r="L540" s="35">
        <f>VENTAS[[#This Row],[Total]]-VENTAS[[#This Row],[Comisión 10%]]-VENTAS[[#This Row],[Costo SIN Comision]]</f>
        <v>7.82</v>
      </c>
      <c r="M540" s="35"/>
    </row>
    <row r="541" ht="20" customHeight="1" spans="1:13">
      <c r="A541" s="29" t="s">
        <v>3449</v>
      </c>
      <c r="B541" s="30"/>
      <c r="C541" s="30"/>
      <c r="D541" s="30"/>
      <c r="E541" s="30" t="s">
        <v>1060</v>
      </c>
      <c r="F541" s="34" t="str">
        <f>IFERROR(VLOOKUP(VENTAS[[#This Row],[Código del producto Vendido]],STOCK[],5,FALSE),"-")</f>
        <v>Top corto blanco</v>
      </c>
      <c r="G541" s="34">
        <v>1</v>
      </c>
      <c r="H541" s="35">
        <v>8</v>
      </c>
      <c r="I541" s="35">
        <f>VENTAS[[#This Row],[Cantidad]]*VENTAS[[#This Row],[Precio Venta]]</f>
        <v>8</v>
      </c>
      <c r="J541" s="35">
        <f>IF(VENTAS[[#This Row],[Nombre del Gestor]]&gt;1,VENTAS[[#This Row],[Total]]*10%,0)</f>
        <v>0</v>
      </c>
      <c r="K541" s="35">
        <f>IFERROR(VLOOKUP(VENTAS[[#This Row],[Código del producto Vendido]],STOCK[],16,FALSE)*VENTAS[[#This Row],[Cantidad]]+VLOOKUP(VENTAS[[#This Row],[Código del producto Vendido]],STOCK[],19,FALSE)*VENTAS[[#This Row],[Cantidad]],VENTAS[[#This Row],[Total]])</f>
        <v>4.40441176470588</v>
      </c>
      <c r="L541" s="35">
        <f>VENTAS[[#This Row],[Total]]-VENTAS[[#This Row],[Comisión 10%]]-VENTAS[[#This Row],[Costo SIN Comision]]</f>
        <v>3.59558823529412</v>
      </c>
      <c r="M541" s="35"/>
    </row>
    <row r="542" ht="20" customHeight="1" spans="1:13">
      <c r="A542" s="29" t="s">
        <v>3449</v>
      </c>
      <c r="B542" s="30"/>
      <c r="C542" s="30"/>
      <c r="D542" s="30"/>
      <c r="E542" s="30" t="s">
        <v>784</v>
      </c>
      <c r="F542" s="34" t="str">
        <f>IFERROR(VLOOKUP(VENTAS[[#This Row],[Código del producto Vendido]],STOCK[],5,FALSE),"-")</f>
        <v>Top Manga Corta Negro</v>
      </c>
      <c r="G542" s="34">
        <v>1</v>
      </c>
      <c r="H542" s="35">
        <v>9</v>
      </c>
      <c r="I542" s="35">
        <f>VENTAS[[#This Row],[Cantidad]]*VENTAS[[#This Row],[Precio Venta]]</f>
        <v>9</v>
      </c>
      <c r="J542" s="35">
        <f>IF(VENTAS[[#This Row],[Nombre del Gestor]]&gt;1,VENTAS[[#This Row],[Total]]*10%,0)</f>
        <v>0</v>
      </c>
      <c r="K542" s="35">
        <f>IFERROR(VLOOKUP(VENTAS[[#This Row],[Código del producto Vendido]],STOCK[],16,FALSE)*VENTAS[[#This Row],[Cantidad]]+VLOOKUP(VENTAS[[#This Row],[Código del producto Vendido]],STOCK[],19,FALSE)*VENTAS[[#This Row],[Cantidad]],VENTAS[[#This Row],[Total]])</f>
        <v>6.05555555555556</v>
      </c>
      <c r="L542" s="35">
        <f>VENTAS[[#This Row],[Total]]-VENTAS[[#This Row],[Comisión 10%]]-VENTAS[[#This Row],[Costo SIN Comision]]</f>
        <v>2.94444444444444</v>
      </c>
      <c r="M542" s="35"/>
    </row>
    <row r="543" ht="20" customHeight="1" spans="1:13">
      <c r="A543" s="29" t="s">
        <v>3449</v>
      </c>
      <c r="B543" s="30"/>
      <c r="C543" s="30"/>
      <c r="D543" s="30"/>
      <c r="E543" s="30" t="s">
        <v>700</v>
      </c>
      <c r="F543" s="34" t="str">
        <f>IFERROR(VLOOKUP(VENTAS[[#This Row],[Código del producto Vendido]],STOCK[],5,FALSE),"-")</f>
        <v>Vestido corto de punto</v>
      </c>
      <c r="G543" s="34">
        <v>1</v>
      </c>
      <c r="H543" s="35">
        <v>19</v>
      </c>
      <c r="I543" s="35">
        <f>VENTAS[[#This Row],[Cantidad]]*VENTAS[[#This Row],[Precio Venta]]</f>
        <v>19</v>
      </c>
      <c r="J543" s="35">
        <f>IF(VENTAS[[#This Row],[Nombre del Gestor]]&gt;1,VENTAS[[#This Row],[Total]]*10%,0)</f>
        <v>0</v>
      </c>
      <c r="K543" s="35">
        <f>IFERROR(VLOOKUP(VENTAS[[#This Row],[Código del producto Vendido]],STOCK[],16,FALSE)*VENTAS[[#This Row],[Cantidad]]+VLOOKUP(VENTAS[[#This Row],[Código del producto Vendido]],STOCK[],19,FALSE)*VENTAS[[#This Row],[Cantidad]],VENTAS[[#This Row],[Total]])</f>
        <v>17.07</v>
      </c>
      <c r="L543" s="35">
        <f>VENTAS[[#This Row],[Total]]-VENTAS[[#This Row],[Comisión 10%]]-VENTAS[[#This Row],[Costo SIN Comision]]</f>
        <v>1.93</v>
      </c>
      <c r="M543" s="35"/>
    </row>
    <row r="544" ht="20" customHeight="1" spans="1:13">
      <c r="A544" s="29" t="s">
        <v>3449</v>
      </c>
      <c r="B544" s="30"/>
      <c r="C544" s="30"/>
      <c r="D544" s="30"/>
      <c r="E544" s="30" t="s">
        <v>841</v>
      </c>
      <c r="F544" s="34" t="str">
        <f>IFERROR(VLOOKUP(VENTAS[[#This Row],[Código del producto Vendido]],STOCK[],5,FALSE),"-")</f>
        <v>Top de malla sexy</v>
      </c>
      <c r="G544" s="34">
        <v>1</v>
      </c>
      <c r="H544" s="35">
        <v>10</v>
      </c>
      <c r="I544" s="35">
        <f>VENTAS[[#This Row],[Cantidad]]*VENTAS[[#This Row],[Precio Venta]]</f>
        <v>10</v>
      </c>
      <c r="J544" s="35">
        <f>IF(VENTAS[[#This Row],[Nombre del Gestor]]&gt;1,VENTAS[[#This Row],[Total]]*10%,0)</f>
        <v>0</v>
      </c>
      <c r="K544" s="35">
        <f>IFERROR(VLOOKUP(VENTAS[[#This Row],[Código del producto Vendido]],STOCK[],16,FALSE)*VENTAS[[#This Row],[Cantidad]]+VLOOKUP(VENTAS[[#This Row],[Código del producto Vendido]],STOCK[],19,FALSE)*VENTAS[[#This Row],[Cantidad]],VENTAS[[#This Row],[Total]])</f>
        <v>3.45555555555556</v>
      </c>
      <c r="L544" s="35">
        <f>VENTAS[[#This Row],[Total]]-VENTAS[[#This Row],[Comisión 10%]]-VENTAS[[#This Row],[Costo SIN Comision]]</f>
        <v>6.54444444444444</v>
      </c>
      <c r="M544" s="35"/>
    </row>
    <row r="545" ht="20" customHeight="1" spans="1:13">
      <c r="A545" s="29" t="s">
        <v>3449</v>
      </c>
      <c r="B545" s="30"/>
      <c r="C545" s="30"/>
      <c r="D545" s="30"/>
      <c r="E545" s="30" t="s">
        <v>175</v>
      </c>
      <c r="F545" s="34" t="str">
        <f>IFERROR(VLOOKUP(VENTAS[[#This Row],[Código del producto Vendido]],STOCK[],5,FALSE),"-")</f>
        <v>Vestido cruzado con abertura con nudo delantero </v>
      </c>
      <c r="G545" s="34">
        <v>1</v>
      </c>
      <c r="H545" s="35">
        <v>25</v>
      </c>
      <c r="I545" s="35">
        <f>VENTAS[[#This Row],[Cantidad]]*VENTAS[[#This Row],[Precio Venta]]</f>
        <v>25</v>
      </c>
      <c r="J545" s="35">
        <f>IF(VENTAS[[#This Row],[Nombre del Gestor]]&gt;1,VENTAS[[#This Row],[Total]]*10%,0)</f>
        <v>0</v>
      </c>
      <c r="K545" s="35">
        <f>IFERROR(VLOOKUP(VENTAS[[#This Row],[Código del producto Vendido]],STOCK[],16,FALSE)*VENTAS[[#This Row],[Cantidad]]+VLOOKUP(VENTAS[[#This Row],[Código del producto Vendido]],STOCK[],19,FALSE)*VENTAS[[#This Row],[Cantidad]],VENTAS[[#This Row],[Total]])</f>
        <v>16.7688888888889</v>
      </c>
      <c r="L545" s="35">
        <f>VENTAS[[#This Row],[Total]]-VENTAS[[#This Row],[Comisión 10%]]-VENTAS[[#This Row],[Costo SIN Comision]]</f>
        <v>8.2311111111111</v>
      </c>
      <c r="M545" s="35"/>
    </row>
    <row r="546" ht="20" customHeight="1" spans="1:13">
      <c r="A546" s="29" t="s">
        <v>3449</v>
      </c>
      <c r="B546" s="30"/>
      <c r="C546" s="30"/>
      <c r="D546" s="30"/>
      <c r="E546" s="30" t="s">
        <v>237</v>
      </c>
      <c r="F546" s="34" t="str">
        <f>IFERROR(VLOOKUP(VENTAS[[#This Row],[Código del producto Vendido]],STOCK[],5,FALSE),"-")</f>
        <v>Vestido tank tejido de canalé con cinturón</v>
      </c>
      <c r="G546" s="34">
        <v>1</v>
      </c>
      <c r="H546" s="35">
        <v>28</v>
      </c>
      <c r="I546" s="35">
        <f>VENTAS[[#This Row],[Cantidad]]*VENTAS[[#This Row],[Precio Venta]]</f>
        <v>28</v>
      </c>
      <c r="J546" s="35">
        <f>IF(VENTAS[[#This Row],[Nombre del Gestor]]&gt;1,VENTAS[[#This Row],[Total]]*10%,0)</f>
        <v>0</v>
      </c>
      <c r="K546" s="35">
        <f>IFERROR(VLOOKUP(VENTAS[[#This Row],[Código del producto Vendido]],STOCK[],16,FALSE)*VENTAS[[#This Row],[Cantidad]]+VLOOKUP(VENTAS[[#This Row],[Código del producto Vendido]],STOCK[],19,FALSE)*VENTAS[[#This Row],[Cantidad]],VENTAS[[#This Row],[Total]])</f>
        <v>18.3977777777778</v>
      </c>
      <c r="L546" s="35">
        <f>VENTAS[[#This Row],[Total]]-VENTAS[[#This Row],[Comisión 10%]]-VENTAS[[#This Row],[Costo SIN Comision]]</f>
        <v>9.6022222222222</v>
      </c>
      <c r="M546" s="35"/>
    </row>
    <row r="547" ht="20" customHeight="1" spans="1:13">
      <c r="A547" s="29" t="s">
        <v>3449</v>
      </c>
      <c r="B547" s="30"/>
      <c r="C547" s="30"/>
      <c r="D547" s="30"/>
      <c r="E547" s="30" t="s">
        <v>268</v>
      </c>
      <c r="F547" s="34" t="str">
        <f>IFERROR(VLOOKUP(VENTAS[[#This Row],[Código del producto Vendido]],STOCK[],5,FALSE),"-")</f>
        <v>Vestido Malla en contraste Lunares Elegante</v>
      </c>
      <c r="G547" s="34">
        <v>1</v>
      </c>
      <c r="H547" s="35">
        <v>25</v>
      </c>
      <c r="I547" s="35">
        <f>VENTAS[[#This Row],[Cantidad]]*VENTAS[[#This Row],[Precio Venta]]</f>
        <v>25</v>
      </c>
      <c r="J547" s="35">
        <f>IF(VENTAS[[#This Row],[Nombre del Gestor]]&gt;1,VENTAS[[#This Row],[Total]]*10%,0)</f>
        <v>0</v>
      </c>
      <c r="K547" s="35">
        <f>IFERROR(VLOOKUP(VENTAS[[#This Row],[Código del producto Vendido]],STOCK[],16,FALSE)*VENTAS[[#This Row],[Cantidad]]+VLOOKUP(VENTAS[[#This Row],[Código del producto Vendido]],STOCK[],19,FALSE)*VENTAS[[#This Row],[Cantidad]],VENTAS[[#This Row],[Total]])</f>
        <v>13.0711111111111</v>
      </c>
      <c r="L547" s="35">
        <f>VENTAS[[#This Row],[Total]]-VENTAS[[#This Row],[Comisión 10%]]-VENTAS[[#This Row],[Costo SIN Comision]]</f>
        <v>11.9288888888889</v>
      </c>
      <c r="M547" s="35"/>
    </row>
    <row r="548" ht="20" customHeight="1" spans="1:13">
      <c r="A548" s="29" t="s">
        <v>3449</v>
      </c>
      <c r="B548" s="30"/>
      <c r="C548" s="30"/>
      <c r="D548" s="30"/>
      <c r="E548" s="30" t="s">
        <v>284</v>
      </c>
      <c r="F548" s="34" t="str">
        <f>IFERROR(VLOOKUP(VENTAS[[#This Row],[Código del producto Vendido]],STOCK[],5,FALSE),"-")</f>
        <v>Vestido lápiz de manga con malla fina</v>
      </c>
      <c r="G548" s="34">
        <v>1</v>
      </c>
      <c r="H548" s="35">
        <v>20</v>
      </c>
      <c r="I548" s="35">
        <f>VENTAS[[#This Row],[Cantidad]]*VENTAS[[#This Row],[Precio Venta]]</f>
        <v>20</v>
      </c>
      <c r="J548" s="35">
        <f>IF(VENTAS[[#This Row],[Nombre del Gestor]]&gt;1,VENTAS[[#This Row],[Total]]*10%,0)</f>
        <v>0</v>
      </c>
      <c r="K548" s="35">
        <f>IFERROR(VLOOKUP(VENTAS[[#This Row],[Código del producto Vendido]],STOCK[],16,FALSE)*VENTAS[[#This Row],[Cantidad]]+VLOOKUP(VENTAS[[#This Row],[Código del producto Vendido]],STOCK[],19,FALSE)*VENTAS[[#This Row],[Cantidad]],VENTAS[[#This Row],[Total]])</f>
        <v>13.5111111111111</v>
      </c>
      <c r="L548" s="35">
        <f>VENTAS[[#This Row],[Total]]-VENTAS[[#This Row],[Comisión 10%]]-VENTAS[[#This Row],[Costo SIN Comision]]</f>
        <v>6.4888888888889</v>
      </c>
      <c r="M548" s="35"/>
    </row>
    <row r="549" ht="20" customHeight="1" spans="1:13">
      <c r="A549" s="29" t="s">
        <v>3449</v>
      </c>
      <c r="B549" s="30"/>
      <c r="C549" s="30"/>
      <c r="D549" s="30"/>
      <c r="E549" s="30" t="s">
        <v>309</v>
      </c>
      <c r="F549" s="34" t="str">
        <f>IFERROR(VLOOKUP(VENTAS[[#This Row],[Código del producto Vendido]],STOCK[],5,FALSE),"-")</f>
        <v>Vestido ajustado de titrantes finos</v>
      </c>
      <c r="G549" s="34">
        <v>1</v>
      </c>
      <c r="H549" s="35">
        <v>25</v>
      </c>
      <c r="I549" s="35">
        <f>VENTAS[[#This Row],[Cantidad]]*VENTAS[[#This Row],[Precio Venta]]</f>
        <v>25</v>
      </c>
      <c r="J549" s="35">
        <f>IF(VENTAS[[#This Row],[Nombre del Gestor]]&gt;1,VENTAS[[#This Row],[Total]]*10%,0)</f>
        <v>0</v>
      </c>
      <c r="K549" s="35">
        <f>IFERROR(VLOOKUP(VENTAS[[#This Row],[Código del producto Vendido]],STOCK[],16,FALSE)*VENTAS[[#This Row],[Cantidad]]+VLOOKUP(VENTAS[[#This Row],[Código del producto Vendido]],STOCK[],19,FALSE)*VENTAS[[#This Row],[Cantidad]],VENTAS[[#This Row],[Total]])</f>
        <v>13.1111111111111</v>
      </c>
      <c r="L549" s="35">
        <f>VENTAS[[#This Row],[Total]]-VENTAS[[#This Row],[Comisión 10%]]-VENTAS[[#This Row],[Costo SIN Comision]]</f>
        <v>11.8888888888889</v>
      </c>
      <c r="M549" s="35"/>
    </row>
    <row r="550" ht="20" customHeight="1" spans="1:13">
      <c r="A550" s="29" t="s">
        <v>3449</v>
      </c>
      <c r="B550" s="30"/>
      <c r="C550" s="30"/>
      <c r="D550" s="30"/>
      <c r="E550" s="30" t="s">
        <v>331</v>
      </c>
      <c r="F550" s="34" t="str">
        <f>IFERROR(VLOOKUP(VENTAS[[#This Row],[Código del producto Vendido]],STOCK[],5,FALSE),"-")</f>
        <v>Vestido floral con cinturón</v>
      </c>
      <c r="G550" s="34">
        <v>1</v>
      </c>
      <c r="H550" s="35">
        <v>15</v>
      </c>
      <c r="I550" s="35">
        <f>VENTAS[[#This Row],[Cantidad]]*VENTAS[[#This Row],[Precio Venta]]</f>
        <v>15</v>
      </c>
      <c r="J550" s="35">
        <f>IF(VENTAS[[#This Row],[Nombre del Gestor]]&gt;1,VENTAS[[#This Row],[Total]]*10%,0)</f>
        <v>0</v>
      </c>
      <c r="K550" s="35">
        <f>IFERROR(VLOOKUP(VENTAS[[#This Row],[Código del producto Vendido]],STOCK[],16,FALSE)*VENTAS[[#This Row],[Cantidad]]+VLOOKUP(VENTAS[[#This Row],[Código del producto Vendido]],STOCK[],19,FALSE)*VENTAS[[#This Row],[Cantidad]],VENTAS[[#This Row],[Total]])</f>
        <v>9.56166666666667</v>
      </c>
      <c r="L550" s="35">
        <f>VENTAS[[#This Row],[Total]]-VENTAS[[#This Row],[Comisión 10%]]-VENTAS[[#This Row],[Costo SIN Comision]]</f>
        <v>5.43833333333333</v>
      </c>
      <c r="M550" s="35"/>
    </row>
    <row r="551" ht="20" customHeight="1" spans="1:13">
      <c r="A551" s="29" t="s">
        <v>3449</v>
      </c>
      <c r="B551" s="30"/>
      <c r="C551" s="30"/>
      <c r="D551" s="30"/>
      <c r="E551" s="30" t="s">
        <v>347</v>
      </c>
      <c r="F551" s="34" t="str">
        <f>IFERROR(VLOOKUP(VENTAS[[#This Row],[Código del producto Vendido]],STOCK[],5,FALSE),"-")</f>
        <v>Vestido bajo cruzado de tie dye</v>
      </c>
      <c r="G551" s="34">
        <v>1</v>
      </c>
      <c r="H551" s="35">
        <v>15</v>
      </c>
      <c r="I551" s="35">
        <f>VENTAS[[#This Row],[Cantidad]]*VENTAS[[#This Row],[Precio Venta]]</f>
        <v>15</v>
      </c>
      <c r="J551" s="35">
        <f>IF(VENTAS[[#This Row],[Nombre del Gestor]]&gt;1,VENTAS[[#This Row],[Total]]*10%,0)</f>
        <v>0</v>
      </c>
      <c r="K551" s="35">
        <f>IFERROR(VLOOKUP(VENTAS[[#This Row],[Código del producto Vendido]],STOCK[],16,FALSE)*VENTAS[[#This Row],[Cantidad]]+VLOOKUP(VENTAS[[#This Row],[Código del producto Vendido]],STOCK[],19,FALSE)*VENTAS[[#This Row],[Cantidad]],VENTAS[[#This Row],[Total]])</f>
        <v>10.8705555555556</v>
      </c>
      <c r="L551" s="35">
        <f>VENTAS[[#This Row],[Total]]-VENTAS[[#This Row],[Comisión 10%]]-VENTAS[[#This Row],[Costo SIN Comision]]</f>
        <v>4.12944444444444</v>
      </c>
      <c r="M551" s="35"/>
    </row>
    <row r="552" ht="20" customHeight="1" spans="1:13">
      <c r="A552" s="29" t="s">
        <v>3449</v>
      </c>
      <c r="B552" s="30"/>
      <c r="C552" s="30"/>
      <c r="D552" s="30"/>
      <c r="E552" s="30" t="s">
        <v>636</v>
      </c>
      <c r="F552" s="34" t="str">
        <f>IFERROR(VLOOKUP(VENTAS[[#This Row],[Código del producto Vendido]],STOCK[],5,FALSE),"-")</f>
        <v>Vestido floral escote corazón</v>
      </c>
      <c r="G552" s="34">
        <v>1</v>
      </c>
      <c r="H552" s="35">
        <v>16</v>
      </c>
      <c r="I552" s="35">
        <f>VENTAS[[#This Row],[Cantidad]]*VENTAS[[#This Row],[Precio Venta]]</f>
        <v>16</v>
      </c>
      <c r="J552" s="35">
        <f>IF(VENTAS[[#This Row],[Nombre del Gestor]]&gt;1,VENTAS[[#This Row],[Total]]*10%,0)</f>
        <v>0</v>
      </c>
      <c r="K552" s="35">
        <f>IFERROR(VLOOKUP(VENTAS[[#This Row],[Código del producto Vendido]],STOCK[],16,FALSE)*VENTAS[[#This Row],[Cantidad]]+VLOOKUP(VENTAS[[#This Row],[Código del producto Vendido]],STOCK[],19,FALSE)*VENTAS[[#This Row],[Cantidad]],VENTAS[[#This Row],[Total]])</f>
        <v>10.7222222222222</v>
      </c>
      <c r="L552" s="35">
        <f>VENTAS[[#This Row],[Total]]-VENTAS[[#This Row],[Comisión 10%]]-VENTAS[[#This Row],[Costo SIN Comision]]</f>
        <v>5.27777777777778</v>
      </c>
      <c r="M552" s="35"/>
    </row>
    <row r="553" ht="20" customHeight="1" spans="1:13">
      <c r="A553" s="29" t="s">
        <v>3449</v>
      </c>
      <c r="B553" s="30"/>
      <c r="C553" s="30"/>
      <c r="D553" s="30"/>
      <c r="E553" s="30" t="s">
        <v>630</v>
      </c>
      <c r="F553" s="34" t="str">
        <f>IFERROR(VLOOKUP(VENTAS[[#This Row],[Código del producto Vendido]],STOCK[],5,FALSE),"-")</f>
        <v>Vestido floral con abertura trasera</v>
      </c>
      <c r="G553" s="34">
        <v>1</v>
      </c>
      <c r="H553" s="35">
        <v>15</v>
      </c>
      <c r="I553" s="35">
        <f>VENTAS[[#This Row],[Cantidad]]*VENTAS[[#This Row],[Precio Venta]]</f>
        <v>15</v>
      </c>
      <c r="J553" s="35">
        <f>IF(VENTAS[[#This Row],[Nombre del Gestor]]&gt;1,VENTAS[[#This Row],[Total]]*10%,0)</f>
        <v>0</v>
      </c>
      <c r="K553" s="35">
        <f>IFERROR(VLOOKUP(VENTAS[[#This Row],[Código del producto Vendido]],STOCK[],16,FALSE)*VENTAS[[#This Row],[Cantidad]]+VLOOKUP(VENTAS[[#This Row],[Código del producto Vendido]],STOCK[],19,FALSE)*VENTAS[[#This Row],[Cantidad]],VENTAS[[#This Row],[Total]])</f>
        <v>10.7222222222222</v>
      </c>
      <c r="L553" s="35">
        <f>VENTAS[[#This Row],[Total]]-VENTAS[[#This Row],[Comisión 10%]]-VENTAS[[#This Row],[Costo SIN Comision]]</f>
        <v>4.27777777777778</v>
      </c>
      <c r="M553" s="35"/>
    </row>
    <row r="554" ht="20" customHeight="1" spans="1:13">
      <c r="A554" s="29" t="s">
        <v>3449</v>
      </c>
      <c r="B554" s="30"/>
      <c r="C554" s="30"/>
      <c r="D554" s="30"/>
      <c r="E554" s="30" t="s">
        <v>365</v>
      </c>
      <c r="F554" s="34" t="str">
        <f>IFERROR(VLOOKUP(VENTAS[[#This Row],[Código del producto Vendido]],STOCK[],5,FALSE),"-")</f>
        <v>Vestido manga larga con cinturón</v>
      </c>
      <c r="G554" s="34">
        <v>1</v>
      </c>
      <c r="H554" s="35">
        <v>16</v>
      </c>
      <c r="I554" s="35">
        <f>VENTAS[[#This Row],[Cantidad]]*VENTAS[[#This Row],[Precio Venta]]</f>
        <v>16</v>
      </c>
      <c r="J554" s="35">
        <f>IF(VENTAS[[#This Row],[Nombre del Gestor]]&gt;1,VENTAS[[#This Row],[Total]]*10%,0)</f>
        <v>0</v>
      </c>
      <c r="K554" s="35">
        <f>IFERROR(VLOOKUP(VENTAS[[#This Row],[Código del producto Vendido]],STOCK[],16,FALSE)*VENTAS[[#This Row],[Cantidad]]+VLOOKUP(VENTAS[[#This Row],[Código del producto Vendido]],STOCK[],19,FALSE)*VENTAS[[#This Row],[Cantidad]],VENTAS[[#This Row],[Total]])</f>
        <v>12.5038888888889</v>
      </c>
      <c r="L554" s="35">
        <f>VENTAS[[#This Row],[Total]]-VENTAS[[#This Row],[Comisión 10%]]-VENTAS[[#This Row],[Costo SIN Comision]]</f>
        <v>3.49611111111111</v>
      </c>
      <c r="M554" s="35"/>
    </row>
    <row r="555" ht="20" customHeight="1" spans="1:13">
      <c r="A555" s="29" t="s">
        <v>3449</v>
      </c>
      <c r="B555" s="30"/>
      <c r="C555" s="30"/>
      <c r="D555" s="30"/>
      <c r="E555" s="30" t="s">
        <v>444</v>
      </c>
      <c r="F555" s="34" t="str">
        <f>IFERROR(VLOOKUP(VENTAS[[#This Row],[Código del producto Vendido]],STOCK[],5,FALSE),"-")</f>
        <v>Vestido Amanecer</v>
      </c>
      <c r="G555" s="34">
        <v>1</v>
      </c>
      <c r="H555" s="35">
        <v>16</v>
      </c>
      <c r="I555" s="35">
        <f>VENTAS[[#This Row],[Cantidad]]*VENTAS[[#This Row],[Precio Venta]]</f>
        <v>16</v>
      </c>
      <c r="J555" s="35">
        <f>IF(VENTAS[[#This Row],[Nombre del Gestor]]&gt;1,VENTAS[[#This Row],[Total]]*10%,0)</f>
        <v>0</v>
      </c>
      <c r="K555" s="35">
        <f>IFERROR(VLOOKUP(VENTAS[[#This Row],[Código del producto Vendido]],STOCK[],16,FALSE)*VENTAS[[#This Row],[Cantidad]]+VLOOKUP(VENTAS[[#This Row],[Código del producto Vendido]],STOCK[],19,FALSE)*VENTAS[[#This Row],[Cantidad]],VENTAS[[#This Row],[Total]])</f>
        <v>15.3133333333333</v>
      </c>
      <c r="L555" s="35">
        <f>VENTAS[[#This Row],[Total]]-VENTAS[[#This Row],[Comisión 10%]]-VENTAS[[#This Row],[Costo SIN Comision]]</f>
        <v>0.686666666666699</v>
      </c>
      <c r="M555" s="35"/>
    </row>
    <row r="556" ht="20" customHeight="1" spans="1:13">
      <c r="A556" s="29" t="s">
        <v>3449</v>
      </c>
      <c r="B556" s="30"/>
      <c r="C556" s="30"/>
      <c r="D556" s="30"/>
      <c r="E556" s="30" t="s">
        <v>513</v>
      </c>
      <c r="F556" s="34" t="str">
        <f>IFERROR(VLOOKUP(VENTAS[[#This Row],[Código del producto Vendido]],STOCK[],5,FALSE),"-")</f>
        <v>Zapatillas con cordón </v>
      </c>
      <c r="G556" s="34">
        <v>1</v>
      </c>
      <c r="H556" s="35">
        <v>20</v>
      </c>
      <c r="I556" s="35">
        <f>VENTAS[[#This Row],[Cantidad]]*VENTAS[[#This Row],[Precio Venta]]</f>
        <v>20</v>
      </c>
      <c r="J556" s="35">
        <f>IF(VENTAS[[#This Row],[Nombre del Gestor]]&gt;1,VENTAS[[#This Row],[Total]]*10%,0)</f>
        <v>0</v>
      </c>
      <c r="K556" s="35">
        <f>IFERROR(VLOOKUP(VENTAS[[#This Row],[Código del producto Vendido]],STOCK[],16,FALSE)*VENTAS[[#This Row],[Cantidad]]+VLOOKUP(VENTAS[[#This Row],[Código del producto Vendido]],STOCK[],19,FALSE)*VENTAS[[#This Row],[Cantidad]],VENTAS[[#This Row],[Total]])</f>
        <v>12.6372222222222</v>
      </c>
      <c r="L556" s="35">
        <f>VENTAS[[#This Row],[Total]]-VENTAS[[#This Row],[Comisión 10%]]-VENTAS[[#This Row],[Costo SIN Comision]]</f>
        <v>7.3627777777778</v>
      </c>
      <c r="M556" s="35"/>
    </row>
    <row r="557" ht="20" customHeight="1" spans="1:13">
      <c r="A557" s="29" t="s">
        <v>3449</v>
      </c>
      <c r="B557" s="30"/>
      <c r="C557" s="30"/>
      <c r="D557" s="30"/>
      <c r="E557" s="30" t="s">
        <v>586</v>
      </c>
      <c r="F557" s="34" t="str">
        <f>IFERROR(VLOOKUP(VENTAS[[#This Row],[Código del producto Vendido]],STOCK[],5,FALSE),"-")</f>
        <v>Top cruzado blanco</v>
      </c>
      <c r="G557" s="34">
        <v>1</v>
      </c>
      <c r="H557" s="35">
        <v>9</v>
      </c>
      <c r="I557" s="35">
        <f>VENTAS[[#This Row],[Cantidad]]*VENTAS[[#This Row],[Precio Venta]]</f>
        <v>9</v>
      </c>
      <c r="J557" s="35">
        <f>IF(VENTAS[[#This Row],[Nombre del Gestor]]&gt;1,VENTAS[[#This Row],[Total]]*10%,0)</f>
        <v>0</v>
      </c>
      <c r="K557" s="35">
        <f>IFERROR(VLOOKUP(VENTAS[[#This Row],[Código del producto Vendido]],STOCK[],16,FALSE)*VENTAS[[#This Row],[Cantidad]]+VLOOKUP(VENTAS[[#This Row],[Código del producto Vendido]],STOCK[],19,FALSE)*VENTAS[[#This Row],[Cantidad]],VENTAS[[#This Row],[Total]])</f>
        <v>5.19333333333333</v>
      </c>
      <c r="L557" s="35">
        <f>VENTAS[[#This Row],[Total]]-VENTAS[[#This Row],[Comisión 10%]]-VENTAS[[#This Row],[Costo SIN Comision]]</f>
        <v>3.80666666666667</v>
      </c>
      <c r="M557" s="35"/>
    </row>
    <row r="558" ht="20" customHeight="1" spans="1:13">
      <c r="A558" s="29" t="s">
        <v>3449</v>
      </c>
      <c r="B558" s="30"/>
      <c r="C558" s="30"/>
      <c r="D558" s="30"/>
      <c r="E558" s="30" t="s">
        <v>595</v>
      </c>
      <c r="F558" s="34" t="str">
        <f>IFERROR(VLOOKUP(VENTAS[[#This Row],[Código del producto Vendido]],STOCK[],5,FALSE),"-")</f>
        <v>Top cruzado naranja</v>
      </c>
      <c r="G558" s="34">
        <v>1</v>
      </c>
      <c r="H558" s="35">
        <v>9</v>
      </c>
      <c r="I558" s="35">
        <f>VENTAS[[#This Row],[Cantidad]]*VENTAS[[#This Row],[Precio Venta]]</f>
        <v>9</v>
      </c>
      <c r="J558" s="35">
        <f>IF(VENTAS[[#This Row],[Nombre del Gestor]]&gt;1,VENTAS[[#This Row],[Total]]*10%,0)</f>
        <v>0</v>
      </c>
      <c r="K558" s="35">
        <f>IFERROR(VLOOKUP(VENTAS[[#This Row],[Código del producto Vendido]],STOCK[],16,FALSE)*VENTAS[[#This Row],[Cantidad]]+VLOOKUP(VENTAS[[#This Row],[Código del producto Vendido]],STOCK[],19,FALSE)*VENTAS[[#This Row],[Cantidad]],VENTAS[[#This Row],[Total]])</f>
        <v>5.06833333333333</v>
      </c>
      <c r="L558" s="35">
        <f>VENTAS[[#This Row],[Total]]-VENTAS[[#This Row],[Comisión 10%]]-VENTAS[[#This Row],[Costo SIN Comision]]</f>
        <v>3.93166666666667</v>
      </c>
      <c r="M558" s="35"/>
    </row>
    <row r="559" ht="20" customHeight="1" spans="1:13">
      <c r="A559" s="29" t="s">
        <v>3449</v>
      </c>
      <c r="B559" s="30"/>
      <c r="C559" s="30"/>
      <c r="D559" s="30"/>
      <c r="E559" s="30" t="s">
        <v>673</v>
      </c>
      <c r="F559" s="34" t="str">
        <f>IFERROR(VLOOKUP(VENTAS[[#This Row],[Código del producto Vendido]],STOCK[],5,FALSE),"-")</f>
        <v>Top Cruzado azul</v>
      </c>
      <c r="G559" s="34">
        <v>1</v>
      </c>
      <c r="H559" s="35">
        <v>9</v>
      </c>
      <c r="I559" s="35">
        <f>VENTAS[[#This Row],[Cantidad]]*VENTAS[[#This Row],[Precio Venta]]</f>
        <v>9</v>
      </c>
      <c r="J559" s="35">
        <f>IF(VENTAS[[#This Row],[Nombre del Gestor]]&gt;1,VENTAS[[#This Row],[Total]]*10%,0)</f>
        <v>0</v>
      </c>
      <c r="K559" s="35">
        <f>IFERROR(VLOOKUP(VENTAS[[#This Row],[Código del producto Vendido]],STOCK[],16,FALSE)*VENTAS[[#This Row],[Cantidad]]+VLOOKUP(VENTAS[[#This Row],[Código del producto Vendido]],STOCK[],19,FALSE)*VENTAS[[#This Row],[Cantidad]],VENTAS[[#This Row],[Total]])</f>
        <v>5.26833333333333</v>
      </c>
      <c r="L559" s="35">
        <f>VENTAS[[#This Row],[Total]]-VENTAS[[#This Row],[Comisión 10%]]-VENTAS[[#This Row],[Costo SIN Comision]]</f>
        <v>3.73166666666667</v>
      </c>
      <c r="M559" s="35"/>
    </row>
    <row r="560" ht="20" customHeight="1" spans="1:13">
      <c r="A560" s="29" t="s">
        <v>3449</v>
      </c>
      <c r="B560" s="30"/>
      <c r="C560" s="30"/>
      <c r="D560" s="30"/>
      <c r="E560" s="30" t="s">
        <v>991</v>
      </c>
      <c r="F560" s="34" t="str">
        <f>IFERROR(VLOOKUP(VENTAS[[#This Row],[Código del producto Vendido]],STOCK[],5,FALSE),"-")</f>
        <v> Top Básico Business </v>
      </c>
      <c r="G560" s="34">
        <v>1</v>
      </c>
      <c r="H560" s="35">
        <v>12</v>
      </c>
      <c r="I560" s="35">
        <f>VENTAS[[#This Row],[Cantidad]]*VENTAS[[#This Row],[Precio Venta]]</f>
        <v>12</v>
      </c>
      <c r="J560" s="35">
        <f>IF(VENTAS[[#This Row],[Nombre del Gestor]]&gt;1,VENTAS[[#This Row],[Total]]*10%,0)</f>
        <v>0</v>
      </c>
      <c r="K560" s="35">
        <f>IFERROR(VLOOKUP(VENTAS[[#This Row],[Código del producto Vendido]],STOCK[],16,FALSE)*VENTAS[[#This Row],[Cantidad]]+VLOOKUP(VENTAS[[#This Row],[Código del producto Vendido]],STOCK[],19,FALSE)*VENTAS[[#This Row],[Cantidad]],VENTAS[[#This Row],[Total]])</f>
        <v>7.37954545454545</v>
      </c>
      <c r="L560" s="35">
        <f>VENTAS[[#This Row],[Total]]-VENTAS[[#This Row],[Comisión 10%]]-VENTAS[[#This Row],[Costo SIN Comision]]</f>
        <v>4.62045454545455</v>
      </c>
      <c r="M560" s="35"/>
    </row>
    <row r="561" ht="20" customHeight="1" spans="1:13">
      <c r="A561" s="29" t="s">
        <v>3449</v>
      </c>
      <c r="B561" s="30"/>
      <c r="C561" s="30"/>
      <c r="D561" s="30"/>
      <c r="E561" s="30" t="s">
        <v>964</v>
      </c>
      <c r="F561" s="34" t="str">
        <f>IFERROR(VLOOKUP(VENTAS[[#This Row],[Código del producto Vendido]],STOCK[],5,FALSE),"-")</f>
        <v> Top Básico Business </v>
      </c>
      <c r="G561" s="34">
        <v>1</v>
      </c>
      <c r="H561" s="35">
        <v>12</v>
      </c>
      <c r="I561" s="35">
        <f>VENTAS[[#This Row],[Cantidad]]*VENTAS[[#This Row],[Precio Venta]]</f>
        <v>12</v>
      </c>
      <c r="J561" s="35">
        <f>IF(VENTAS[[#This Row],[Nombre del Gestor]]&gt;1,VENTAS[[#This Row],[Total]]*10%,0)</f>
        <v>0</v>
      </c>
      <c r="K561" s="35">
        <f>IFERROR(VLOOKUP(VENTAS[[#This Row],[Código del producto Vendido]],STOCK[],16,FALSE)*VENTAS[[#This Row],[Cantidad]]+VLOOKUP(VENTAS[[#This Row],[Código del producto Vendido]],STOCK[],19,FALSE)*VENTAS[[#This Row],[Cantidad]],VENTAS[[#This Row],[Total]])</f>
        <v>6.78409090909091</v>
      </c>
      <c r="L561" s="35">
        <f>VENTAS[[#This Row],[Total]]-VENTAS[[#This Row],[Comisión 10%]]-VENTAS[[#This Row],[Costo SIN Comision]]</f>
        <v>5.21590909090909</v>
      </c>
      <c r="M561" s="35"/>
    </row>
    <row r="562" ht="20" customHeight="1" spans="1:13">
      <c r="A562" s="29" t="s">
        <v>3449</v>
      </c>
      <c r="B562" s="30"/>
      <c r="C562" s="30"/>
      <c r="D562" s="30"/>
      <c r="E562" s="30" t="s">
        <v>966</v>
      </c>
      <c r="F562" s="34" t="str">
        <f>IFERROR(VLOOKUP(VENTAS[[#This Row],[Código del producto Vendido]],STOCK[],5,FALSE),"-")</f>
        <v> Top Básico Business</v>
      </c>
      <c r="G562" s="34">
        <v>1</v>
      </c>
      <c r="H562" s="35">
        <v>12</v>
      </c>
      <c r="I562" s="35">
        <f>VENTAS[[#This Row],[Cantidad]]*VENTAS[[#This Row],[Precio Venta]]</f>
        <v>12</v>
      </c>
      <c r="J562" s="35">
        <f>IF(VENTAS[[#This Row],[Nombre del Gestor]]&gt;1,VENTAS[[#This Row],[Total]]*10%,0)</f>
        <v>0</v>
      </c>
      <c r="K562" s="35">
        <f>IFERROR(VLOOKUP(VENTAS[[#This Row],[Código del producto Vendido]],STOCK[],16,FALSE)*VENTAS[[#This Row],[Cantidad]]+VLOOKUP(VENTAS[[#This Row],[Código del producto Vendido]],STOCK[],19,FALSE)*VENTAS[[#This Row],[Cantidad]],VENTAS[[#This Row],[Total]])</f>
        <v>6.78409090909091</v>
      </c>
      <c r="L562" s="35">
        <f>VENTAS[[#This Row],[Total]]-VENTAS[[#This Row],[Comisión 10%]]-VENTAS[[#This Row],[Costo SIN Comision]]</f>
        <v>5.21590909090909</v>
      </c>
      <c r="M562" s="35"/>
    </row>
    <row r="563" ht="20" customHeight="1" spans="1:13">
      <c r="A563" s="29" t="s">
        <v>3449</v>
      </c>
      <c r="B563" s="30"/>
      <c r="C563" s="30"/>
      <c r="D563" s="30"/>
      <c r="E563" s="30" t="s">
        <v>915</v>
      </c>
      <c r="F563" s="34" t="str">
        <f>IFERROR(VLOOKUP(VENTAS[[#This Row],[Código del producto Vendido]],STOCK[],5,FALSE),"-")</f>
        <v>Camiseta con Dibujo</v>
      </c>
      <c r="G563" s="34">
        <v>1</v>
      </c>
      <c r="H563" s="35">
        <v>14</v>
      </c>
      <c r="I563" s="35">
        <f>VENTAS[[#This Row],[Cantidad]]*VENTAS[[#This Row],[Precio Venta]]</f>
        <v>14</v>
      </c>
      <c r="J563" s="35">
        <f>IF(VENTAS[[#This Row],[Nombre del Gestor]]&gt;1,VENTAS[[#This Row],[Total]]*10%,0)</f>
        <v>0</v>
      </c>
      <c r="K563" s="35">
        <f>IFERROR(VLOOKUP(VENTAS[[#This Row],[Código del producto Vendido]],STOCK[],16,FALSE)*VENTAS[[#This Row],[Cantidad]]+VLOOKUP(VENTAS[[#This Row],[Código del producto Vendido]],STOCK[],19,FALSE)*VENTAS[[#This Row],[Cantidad]],VENTAS[[#This Row],[Total]])</f>
        <v>10.1622727272727</v>
      </c>
      <c r="L563" s="35">
        <f>VENTAS[[#This Row],[Total]]-VENTAS[[#This Row],[Comisión 10%]]-VENTAS[[#This Row],[Costo SIN Comision]]</f>
        <v>3.83772727272727</v>
      </c>
      <c r="M563" s="35"/>
    </row>
    <row r="564" ht="20" customHeight="1" spans="1:13">
      <c r="A564" s="29" t="s">
        <v>3449</v>
      </c>
      <c r="B564" s="30"/>
      <c r="C564" s="30"/>
      <c r="D564" s="30"/>
      <c r="E564" s="30" t="s">
        <v>943</v>
      </c>
      <c r="F564" s="34" t="str">
        <f>IFERROR(VLOOKUP(VENTAS[[#This Row],[Código del producto Vendido]],STOCK[],5,FALSE),"-")</f>
        <v> Top Básico Business Crema</v>
      </c>
      <c r="G564" s="34">
        <v>1</v>
      </c>
      <c r="H564" s="35">
        <v>12</v>
      </c>
      <c r="I564" s="35">
        <f>VENTAS[[#This Row],[Cantidad]]*VENTAS[[#This Row],[Precio Venta]]</f>
        <v>12</v>
      </c>
      <c r="J564" s="35">
        <f>IF(VENTAS[[#This Row],[Nombre del Gestor]]&gt;1,VENTAS[[#This Row],[Total]]*10%,0)</f>
        <v>0</v>
      </c>
      <c r="K564" s="35">
        <f>IFERROR(VLOOKUP(VENTAS[[#This Row],[Código del producto Vendido]],STOCK[],16,FALSE)*VENTAS[[#This Row],[Cantidad]]+VLOOKUP(VENTAS[[#This Row],[Código del producto Vendido]],STOCK[],19,FALSE)*VENTAS[[#This Row],[Cantidad]],VENTAS[[#This Row],[Total]])</f>
        <v>7.20909090909091</v>
      </c>
      <c r="L564" s="35">
        <f>VENTAS[[#This Row],[Total]]-VENTAS[[#This Row],[Comisión 10%]]-VENTAS[[#This Row],[Costo SIN Comision]]</f>
        <v>4.79090909090909</v>
      </c>
      <c r="M564" s="35"/>
    </row>
    <row r="565" ht="20" customHeight="1" spans="1:13">
      <c r="A565" s="29" t="s">
        <v>3449</v>
      </c>
      <c r="B565" s="30"/>
      <c r="C565" s="30"/>
      <c r="D565" s="30"/>
      <c r="E565" s="30" t="s">
        <v>1058</v>
      </c>
      <c r="F565" s="34" t="str">
        <f>IFERROR(VLOOKUP(VENTAS[[#This Row],[Código del producto Vendido]],STOCK[],5,FALSE),"-")</f>
        <v>Top de cuadros</v>
      </c>
      <c r="G565" s="34">
        <v>1</v>
      </c>
      <c r="H565" s="35">
        <v>9</v>
      </c>
      <c r="I565" s="35">
        <f>VENTAS[[#This Row],[Cantidad]]*VENTAS[[#This Row],[Precio Venta]]</f>
        <v>9</v>
      </c>
      <c r="J565" s="35">
        <f>IF(VENTAS[[#This Row],[Nombre del Gestor]]&gt;1,VENTAS[[#This Row],[Total]]*10%,0)</f>
        <v>0</v>
      </c>
      <c r="K565" s="35">
        <f>IFERROR(VLOOKUP(VENTAS[[#This Row],[Código del producto Vendido]],STOCK[],16,FALSE)*VENTAS[[#This Row],[Cantidad]]+VLOOKUP(VENTAS[[#This Row],[Código del producto Vendido]],STOCK[],19,FALSE)*VENTAS[[#This Row],[Cantidad]],VENTAS[[#This Row],[Total]])</f>
        <v>4.99264705882353</v>
      </c>
      <c r="L565" s="35">
        <f>VENTAS[[#This Row],[Total]]-VENTAS[[#This Row],[Comisión 10%]]-VENTAS[[#This Row],[Costo SIN Comision]]</f>
        <v>4.00735294117647</v>
      </c>
      <c r="M565" s="35"/>
    </row>
    <row r="566" ht="20" customHeight="1" spans="1:13">
      <c r="A566" s="29" t="s">
        <v>3449</v>
      </c>
      <c r="B566" s="30"/>
      <c r="C566" s="30"/>
      <c r="D566" s="30"/>
      <c r="E566" s="30" t="s">
        <v>644</v>
      </c>
      <c r="F566" s="34" t="str">
        <f>IFERROR(VLOOKUP(VENTAS[[#This Row],[Código del producto Vendido]],STOCK[],5,FALSE),"-")</f>
        <v>Vestido con estampado jungla</v>
      </c>
      <c r="G566" s="34">
        <v>2</v>
      </c>
      <c r="H566" s="35">
        <v>15</v>
      </c>
      <c r="I566" s="35">
        <f>VENTAS[[#This Row],[Cantidad]]*VENTAS[[#This Row],[Precio Venta]]</f>
        <v>30</v>
      </c>
      <c r="J566" s="35">
        <f>IF(VENTAS[[#This Row],[Nombre del Gestor]]&gt;1,VENTAS[[#This Row],[Total]]*10%,0)</f>
        <v>0</v>
      </c>
      <c r="K566" s="35">
        <f>IFERROR(VLOOKUP(VENTAS[[#This Row],[Código del producto Vendido]],STOCK[],16,FALSE)*VENTAS[[#This Row],[Cantidad]]+VLOOKUP(VENTAS[[#This Row],[Código del producto Vendido]],STOCK[],19,FALSE)*VENTAS[[#This Row],[Cantidad]],VENTAS[[#This Row],[Total]])</f>
        <v>21.4444444444444</v>
      </c>
      <c r="L566" s="35">
        <f>VENTAS[[#This Row],[Total]]-VENTAS[[#This Row],[Comisión 10%]]-VENTAS[[#This Row],[Costo SIN Comision]]</f>
        <v>8.55555555555556</v>
      </c>
      <c r="M566" s="35"/>
    </row>
    <row r="567" ht="20" customHeight="1" spans="1:13">
      <c r="A567" s="29" t="s">
        <v>3449</v>
      </c>
      <c r="B567" s="30"/>
      <c r="C567" s="30"/>
      <c r="D567" s="30"/>
      <c r="E567" s="30" t="s">
        <v>647</v>
      </c>
      <c r="F567" s="34" t="str">
        <f>IFERROR(VLOOKUP(VENTAS[[#This Row],[Código del producto Vendido]],STOCK[],5,FALSE),"-")</f>
        <v>Vestido con estampado jungla</v>
      </c>
      <c r="G567" s="34">
        <v>2</v>
      </c>
      <c r="H567" s="35">
        <v>15</v>
      </c>
      <c r="I567" s="35">
        <f>VENTAS[[#This Row],[Cantidad]]*VENTAS[[#This Row],[Precio Venta]]</f>
        <v>30</v>
      </c>
      <c r="J567" s="35">
        <f>IF(VENTAS[[#This Row],[Nombre del Gestor]]&gt;1,VENTAS[[#This Row],[Total]]*10%,0)</f>
        <v>0</v>
      </c>
      <c r="K567" s="35">
        <f>IFERROR(VLOOKUP(VENTAS[[#This Row],[Código del producto Vendido]],STOCK[],16,FALSE)*VENTAS[[#This Row],[Cantidad]]+VLOOKUP(VENTAS[[#This Row],[Código del producto Vendido]],STOCK[],19,FALSE)*VENTAS[[#This Row],[Cantidad]],VENTAS[[#This Row],[Total]])</f>
        <v>21.4444444444444</v>
      </c>
      <c r="L567" s="35">
        <f>VENTAS[[#This Row],[Total]]-VENTAS[[#This Row],[Comisión 10%]]-VENTAS[[#This Row],[Costo SIN Comision]]</f>
        <v>8.55555555555556</v>
      </c>
      <c r="M567" s="35"/>
    </row>
    <row r="568" ht="20" customHeight="1" spans="1:13">
      <c r="A568" s="29" t="s">
        <v>3449</v>
      </c>
      <c r="B568" s="30"/>
      <c r="C568" s="30"/>
      <c r="D568" s="30"/>
      <c r="E568" s="30" t="s">
        <v>726</v>
      </c>
      <c r="F568" s="34" t="str">
        <f>IFERROR(VLOOKUP(VENTAS[[#This Row],[Código del producto Vendido]],STOCK[],5,FALSE),"-")</f>
        <v>Top acanalado sin mangas</v>
      </c>
      <c r="G568" s="34">
        <v>1</v>
      </c>
      <c r="H568" s="35">
        <v>9</v>
      </c>
      <c r="I568" s="35">
        <f>VENTAS[[#This Row],[Cantidad]]*VENTAS[[#This Row],[Precio Venta]]</f>
        <v>9</v>
      </c>
      <c r="J568" s="35">
        <f>IF(VENTAS[[#This Row],[Nombre del Gestor]]&gt;1,VENTAS[[#This Row],[Total]]*10%,0)</f>
        <v>0</v>
      </c>
      <c r="K568" s="35">
        <f>IFERROR(VLOOKUP(VENTAS[[#This Row],[Código del producto Vendido]],STOCK[],16,FALSE)*VENTAS[[#This Row],[Cantidad]]+VLOOKUP(VENTAS[[#This Row],[Código del producto Vendido]],STOCK[],19,FALSE)*VENTAS[[#This Row],[Cantidad]],VENTAS[[#This Row],[Total]])</f>
        <v>5.02222222222222</v>
      </c>
      <c r="L568" s="35">
        <f>VENTAS[[#This Row],[Total]]-VENTAS[[#This Row],[Comisión 10%]]-VENTAS[[#This Row],[Costo SIN Comision]]</f>
        <v>3.97777777777778</v>
      </c>
      <c r="M568" s="35"/>
    </row>
    <row r="569" ht="20" customHeight="1" spans="1:13">
      <c r="A569" s="29" t="s">
        <v>3449</v>
      </c>
      <c r="B569" s="30"/>
      <c r="C569" s="30"/>
      <c r="D569" s="30"/>
      <c r="E569" s="30" t="s">
        <v>722</v>
      </c>
      <c r="F569" s="34" t="str">
        <f>IFERROR(VLOOKUP(VENTAS[[#This Row],[Código del producto Vendido]],STOCK[],5,FALSE),"-")</f>
        <v>Top acanalado sin mangas</v>
      </c>
      <c r="G569" s="34">
        <v>1</v>
      </c>
      <c r="H569" s="35">
        <v>9</v>
      </c>
      <c r="I569" s="35">
        <f>VENTAS[[#This Row],[Cantidad]]*VENTAS[[#This Row],[Precio Venta]]</f>
        <v>9</v>
      </c>
      <c r="J569" s="35">
        <f>IF(VENTAS[[#This Row],[Nombre del Gestor]]&gt;1,VENTAS[[#This Row],[Total]]*10%,0)</f>
        <v>0</v>
      </c>
      <c r="K569" s="35">
        <f>IFERROR(VLOOKUP(VENTAS[[#This Row],[Código del producto Vendido]],STOCK[],16,FALSE)*VENTAS[[#This Row],[Cantidad]]+VLOOKUP(VENTAS[[#This Row],[Código del producto Vendido]],STOCK[],19,FALSE)*VENTAS[[#This Row],[Cantidad]],VENTAS[[#This Row],[Total]])</f>
        <v>5.02222222222222</v>
      </c>
      <c r="L569" s="35">
        <f>VENTAS[[#This Row],[Total]]-VENTAS[[#This Row],[Comisión 10%]]-VENTAS[[#This Row],[Costo SIN Comision]]</f>
        <v>3.97777777777778</v>
      </c>
      <c r="M569" s="35"/>
    </row>
    <row r="570" ht="20" customHeight="1" spans="1:13">
      <c r="A570" s="29" t="s">
        <v>3449</v>
      </c>
      <c r="B570" s="30"/>
      <c r="C570" s="30"/>
      <c r="D570" s="30"/>
      <c r="E570" s="30" t="s">
        <v>790</v>
      </c>
      <c r="F570" s="34" t="str">
        <f>IFERROR(VLOOKUP(VENTAS[[#This Row],[Código del producto Vendido]],STOCK[],5,FALSE),"-")</f>
        <v>Bermuda denim</v>
      </c>
      <c r="G570" s="34">
        <v>1</v>
      </c>
      <c r="H570" s="35">
        <v>19</v>
      </c>
      <c r="I570" s="35">
        <f>VENTAS[[#This Row],[Cantidad]]*VENTAS[[#This Row],[Precio Venta]]</f>
        <v>19</v>
      </c>
      <c r="J570" s="35">
        <f>IF(VENTAS[[#This Row],[Nombre del Gestor]]&gt;1,VENTAS[[#This Row],[Total]]*10%,0)</f>
        <v>0</v>
      </c>
      <c r="K570" s="35">
        <f>IFERROR(VLOOKUP(VENTAS[[#This Row],[Código del producto Vendido]],STOCK[],16,FALSE)*VENTAS[[#This Row],[Cantidad]]+VLOOKUP(VENTAS[[#This Row],[Código del producto Vendido]],STOCK[],19,FALSE)*VENTAS[[#This Row],[Cantidad]],VENTAS[[#This Row],[Total]])</f>
        <v>13.0555555555556</v>
      </c>
      <c r="L570" s="35">
        <f>VENTAS[[#This Row],[Total]]-VENTAS[[#This Row],[Comisión 10%]]-VENTAS[[#This Row],[Costo SIN Comision]]</f>
        <v>5.9444444444444</v>
      </c>
      <c r="M570" s="35"/>
    </row>
    <row r="571" ht="20" customHeight="1" spans="1:13">
      <c r="A571" s="29" t="s">
        <v>3449</v>
      </c>
      <c r="B571" s="30"/>
      <c r="C571" s="30"/>
      <c r="D571" s="30"/>
      <c r="E571" s="30" t="s">
        <v>981</v>
      </c>
      <c r="F571" s="34" t="str">
        <f>IFERROR(VLOOKUP(VENTAS[[#This Row],[Código del producto Vendido]],STOCK[],5,FALSE),"-")</f>
        <v> Top Mangas Fruncidas</v>
      </c>
      <c r="G571" s="34">
        <v>1</v>
      </c>
      <c r="H571" s="35">
        <v>12</v>
      </c>
      <c r="I571" s="35">
        <f>VENTAS[[#This Row],[Cantidad]]*VENTAS[[#This Row],[Precio Venta]]</f>
        <v>12</v>
      </c>
      <c r="J571" s="35">
        <f>IF(VENTAS[[#This Row],[Nombre del Gestor]]&gt;1,VENTAS[[#This Row],[Total]]*10%,0)</f>
        <v>0</v>
      </c>
      <c r="K571" s="35">
        <f>IFERROR(VLOOKUP(VENTAS[[#This Row],[Código del producto Vendido]],STOCK[],16,FALSE)*VENTAS[[#This Row],[Cantidad]]+VLOOKUP(VENTAS[[#This Row],[Código del producto Vendido]],STOCK[],19,FALSE)*VENTAS[[#This Row],[Cantidad]],VENTAS[[#This Row],[Total]])</f>
        <v>6.81136363636364</v>
      </c>
      <c r="L571" s="35">
        <f>VENTAS[[#This Row],[Total]]-VENTAS[[#This Row],[Comisión 10%]]-VENTAS[[#This Row],[Costo SIN Comision]]</f>
        <v>5.18863636363636</v>
      </c>
      <c r="M571" s="35"/>
    </row>
    <row r="572" ht="20" customHeight="1" spans="1:13">
      <c r="A572" s="29" t="s">
        <v>3449</v>
      </c>
      <c r="B572" s="30"/>
      <c r="C572" s="30"/>
      <c r="D572" s="30"/>
      <c r="E572" s="30" t="s">
        <v>1013</v>
      </c>
      <c r="F572" s="34" t="str">
        <f>IFERROR(VLOOKUP(VENTAS[[#This Row],[Código del producto Vendido]],STOCK[],5,FALSE),"-")</f>
        <v>Set de sujetador con tira ajustable 2 paquetes</v>
      </c>
      <c r="G572" s="34">
        <v>1</v>
      </c>
      <c r="H572" s="35">
        <v>12</v>
      </c>
      <c r="I572" s="35">
        <f>VENTAS[[#This Row],[Cantidad]]*VENTAS[[#This Row],[Precio Venta]]</f>
        <v>12</v>
      </c>
      <c r="J572" s="35">
        <f>IF(VENTAS[[#This Row],[Nombre del Gestor]]&gt;1,VENTAS[[#This Row],[Total]]*10%,0)</f>
        <v>0</v>
      </c>
      <c r="K572" s="35">
        <f>IFERROR(VLOOKUP(VENTAS[[#This Row],[Código del producto Vendido]],STOCK[],16,FALSE)*VENTAS[[#This Row],[Cantidad]]+VLOOKUP(VENTAS[[#This Row],[Código del producto Vendido]],STOCK[],19,FALSE)*VENTAS[[#This Row],[Cantidad]],VENTAS[[#This Row],[Total]])</f>
        <v>7.69886363636364</v>
      </c>
      <c r="L572" s="35">
        <f>VENTAS[[#This Row],[Total]]-VENTAS[[#This Row],[Comisión 10%]]-VENTAS[[#This Row],[Costo SIN Comision]]</f>
        <v>4.30113636363636</v>
      </c>
      <c r="M572" s="35"/>
    </row>
    <row r="573" ht="20" customHeight="1" spans="1:13">
      <c r="A573" s="29" t="s">
        <v>3449</v>
      </c>
      <c r="B573" s="30"/>
      <c r="C573" s="30"/>
      <c r="D573" s="30"/>
      <c r="E573" s="30" t="s">
        <v>1159</v>
      </c>
      <c r="F573" s="34" t="str">
        <f>IFERROR(VLOOKUP(VENTAS[[#This Row],[Código del producto Vendido]],STOCK[],5,FALSE),"-")</f>
        <v>Pezoneras de silicona</v>
      </c>
      <c r="G573" s="34">
        <v>3</v>
      </c>
      <c r="H573" s="35">
        <v>6</v>
      </c>
      <c r="I573" s="35">
        <f>VENTAS[[#This Row],[Cantidad]]*VENTAS[[#This Row],[Precio Venta]]</f>
        <v>18</v>
      </c>
      <c r="J573" s="35">
        <f>IF(VENTAS[[#This Row],[Nombre del Gestor]]&gt;1,VENTAS[[#This Row],[Total]]*10%,0)</f>
        <v>0</v>
      </c>
      <c r="K573" s="35">
        <f>IFERROR(VLOOKUP(VENTAS[[#This Row],[Código del producto Vendido]],STOCK[],16,FALSE)*VENTAS[[#This Row],[Cantidad]]+VLOOKUP(VENTAS[[#This Row],[Código del producto Vendido]],STOCK[],19,FALSE)*VENTAS[[#This Row],[Cantidad]],VENTAS[[#This Row],[Total]])</f>
        <v>6.09</v>
      </c>
      <c r="L573" s="35">
        <f>VENTAS[[#This Row],[Total]]-VENTAS[[#This Row],[Comisión 10%]]-VENTAS[[#This Row],[Costo SIN Comision]]</f>
        <v>11.91</v>
      </c>
      <c r="M573" s="35"/>
    </row>
    <row r="574" ht="20" customHeight="1" spans="1:13">
      <c r="A574" s="29" t="s">
        <v>3449</v>
      </c>
      <c r="B574" s="30"/>
      <c r="C574" s="30"/>
      <c r="D574" s="30"/>
      <c r="E574" s="30" t="s">
        <v>1198</v>
      </c>
      <c r="F574" s="34" t="str">
        <f>IFERROR(VLOOKUP(VENTAS[[#This Row],[Código del producto Vendido]],STOCK[],5,FALSE),"-")</f>
        <v>Sujetador adhesivo de silicona</v>
      </c>
      <c r="G574" s="34">
        <v>1</v>
      </c>
      <c r="H574" s="35">
        <v>10</v>
      </c>
      <c r="I574" s="35">
        <f>VENTAS[[#This Row],[Cantidad]]*VENTAS[[#This Row],[Precio Venta]]</f>
        <v>10</v>
      </c>
      <c r="J574" s="35">
        <f>IF(VENTAS[[#This Row],[Nombre del Gestor]]&gt;1,VENTAS[[#This Row],[Total]]*10%,0)</f>
        <v>0</v>
      </c>
      <c r="K574" s="35">
        <f>IFERROR(VLOOKUP(VENTAS[[#This Row],[Código del producto Vendido]],STOCK[],16,FALSE)*VENTAS[[#This Row],[Cantidad]]+VLOOKUP(VENTAS[[#This Row],[Código del producto Vendido]],STOCK[],19,FALSE)*VENTAS[[#This Row],[Cantidad]],VENTAS[[#This Row],[Total]])</f>
        <v>5.87</v>
      </c>
      <c r="L574" s="35">
        <f>VENTAS[[#This Row],[Total]]-VENTAS[[#This Row],[Comisión 10%]]-VENTAS[[#This Row],[Costo SIN Comision]]</f>
        <v>4.13</v>
      </c>
      <c r="M574" s="35"/>
    </row>
    <row r="575" ht="20" customHeight="1" spans="1:13">
      <c r="A575" s="29" t="s">
        <v>3449</v>
      </c>
      <c r="B575" s="30"/>
      <c r="C575" s="30"/>
      <c r="D575" s="30"/>
      <c r="E575" s="30" t="s">
        <v>1208</v>
      </c>
      <c r="F575" s="34" t="str">
        <f>IFERROR(VLOOKUP(VENTAS[[#This Row],[Código del producto Vendido]],STOCK[],5,FALSE),"-")</f>
        <v>Pantaloneta roja</v>
      </c>
      <c r="G575" s="34">
        <v>1</v>
      </c>
      <c r="H575" s="35">
        <v>20</v>
      </c>
      <c r="I575" s="35">
        <f>VENTAS[[#This Row],[Cantidad]]*VENTAS[[#This Row],[Precio Venta]]</f>
        <v>20</v>
      </c>
      <c r="J575" s="35">
        <f>IF(VENTAS[[#This Row],[Nombre del Gestor]]&gt;1,VENTAS[[#This Row],[Total]]*10%,0)</f>
        <v>0</v>
      </c>
      <c r="K575" s="35">
        <f>IFERROR(VLOOKUP(VENTAS[[#This Row],[Código del producto Vendido]],STOCK[],16,FALSE)*VENTAS[[#This Row],[Cantidad]]+VLOOKUP(VENTAS[[#This Row],[Código del producto Vendido]],STOCK[],19,FALSE)*VENTAS[[#This Row],[Cantidad]],VENTAS[[#This Row],[Total]])</f>
        <v>13.36</v>
      </c>
      <c r="L575" s="35">
        <f>VENTAS[[#This Row],[Total]]-VENTAS[[#This Row],[Comisión 10%]]-VENTAS[[#This Row],[Costo SIN Comision]]</f>
        <v>6.64</v>
      </c>
      <c r="M575" s="35"/>
    </row>
    <row r="576" ht="20" customHeight="1" spans="1:13">
      <c r="A576" s="29" t="s">
        <v>3449</v>
      </c>
      <c r="B576" s="30"/>
      <c r="C576" s="30"/>
      <c r="D576" s="30"/>
      <c r="E576" s="30" t="s">
        <v>1239</v>
      </c>
      <c r="F576" s="34" t="str">
        <f>IFERROR(VLOOKUP(VENTAS[[#This Row],[Código del producto Vendido]],STOCK[],5,FALSE),"-")</f>
        <v>Cinturón negro con hebilla dorada</v>
      </c>
      <c r="G576" s="34">
        <v>1</v>
      </c>
      <c r="H576" s="35">
        <v>12</v>
      </c>
      <c r="I576" s="35">
        <f>VENTAS[[#This Row],[Cantidad]]*VENTAS[[#This Row],[Precio Venta]]</f>
        <v>12</v>
      </c>
      <c r="J576" s="35">
        <f>IF(VENTAS[[#This Row],[Nombre del Gestor]]&gt;1,VENTAS[[#This Row],[Total]]*10%,0)</f>
        <v>0</v>
      </c>
      <c r="K576" s="35">
        <f>IFERROR(VLOOKUP(VENTAS[[#This Row],[Código del producto Vendido]],STOCK[],16,FALSE)*VENTAS[[#This Row],[Cantidad]]+VLOOKUP(VENTAS[[#This Row],[Código del producto Vendido]],STOCK[],19,FALSE)*VENTAS[[#This Row],[Cantidad]],VENTAS[[#This Row],[Total]])</f>
        <v>4.61</v>
      </c>
      <c r="L576" s="35">
        <f>VENTAS[[#This Row],[Total]]-VENTAS[[#This Row],[Comisión 10%]]-VENTAS[[#This Row],[Costo SIN Comision]]</f>
        <v>7.39</v>
      </c>
      <c r="M576" s="35"/>
    </row>
    <row r="577" ht="20" customHeight="1" spans="1:13">
      <c r="A577" s="29" t="s">
        <v>3452</v>
      </c>
      <c r="B577" s="30" t="str">
        <f>IFERROR(VLOOKUP(VENTAS[[#This Row],[Código del producto Vendido]],STOCK[],25,FALSE),"-")</f>
        <v>Recibido Freddy 24Mayo</v>
      </c>
      <c r="C577" s="30"/>
      <c r="D577" s="30"/>
      <c r="E577" s="30" t="s">
        <v>990</v>
      </c>
      <c r="F577" s="34" t="str">
        <f>IFERROR(VLOOKUP(VENTAS[[#This Row],[Código del producto Vendido]],STOCK[],5,FALSE),"-")</f>
        <v> Top Básico Business Negro</v>
      </c>
      <c r="G577" s="34">
        <v>1</v>
      </c>
      <c r="H577" s="35">
        <v>12</v>
      </c>
      <c r="I577" s="35">
        <f>VENTAS[[#This Row],[Cantidad]]*VENTAS[[#This Row],[Precio Venta]]</f>
        <v>12</v>
      </c>
      <c r="J577" s="35">
        <f>IF(VENTAS[[#This Row],[Nombre del Gestor]]&gt;1,VENTAS[[#This Row],[Total]]*10%,0)</f>
        <v>0</v>
      </c>
      <c r="K577" s="35">
        <f>IFERROR(VLOOKUP(VENTAS[[#This Row],[Código del producto Vendido]],STOCK[],16,FALSE)*VENTAS[[#This Row],[Cantidad]]+VLOOKUP(VENTAS[[#This Row],[Código del producto Vendido]],STOCK[],19,FALSE)*VENTAS[[#This Row],[Cantidad]],VENTAS[[#This Row],[Total]])</f>
        <v>7.37954545454545</v>
      </c>
      <c r="L577" s="35">
        <f>VENTAS[[#This Row],[Total]]-VENTAS[[#This Row],[Comisión 10%]]-VENTAS[[#This Row],[Costo SIN Comision]]</f>
        <v>4.62045454545455</v>
      </c>
      <c r="M577" s="35"/>
    </row>
    <row r="578" ht="20" customHeight="1" spans="1:13">
      <c r="A578" s="29" t="s">
        <v>3452</v>
      </c>
      <c r="B578" s="30" t="str">
        <f>IFERROR(VLOOKUP(VENTAS[[#This Row],[Código del producto Vendido]],STOCK[],25,FALSE),"-")</f>
        <v>-</v>
      </c>
      <c r="C578" s="30"/>
      <c r="D578" s="30"/>
      <c r="E578" s="30" t="s">
        <v>3453</v>
      </c>
      <c r="F578" s="34" t="str">
        <f>IFERROR(VLOOKUP(VENTAS[[#This Row],[Código del producto Vendido]],STOCK[],5,FALSE),"-")</f>
        <v>-</v>
      </c>
      <c r="G578" s="34">
        <v>1</v>
      </c>
      <c r="H578" s="35">
        <v>30</v>
      </c>
      <c r="I578" s="35">
        <f>VENTAS[[#This Row],[Cantidad]]*VENTAS[[#This Row],[Precio Venta]]</f>
        <v>30</v>
      </c>
      <c r="J578" s="35">
        <f>IF(VENTAS[[#This Row],[Nombre del Gestor]]&gt;1,VENTAS[[#This Row],[Total]]*10%,0)</f>
        <v>0</v>
      </c>
      <c r="K578" s="35">
        <f>IFERROR(VLOOKUP(VENTAS[[#This Row],[Código del producto Vendido]],STOCK[],16,FALSE)*VENTAS[[#This Row],[Cantidad]]+VLOOKUP(VENTAS[[#This Row],[Código del producto Vendido]],STOCK[],19,FALSE)*VENTAS[[#This Row],[Cantidad]],VENTAS[[#This Row],[Total]])</f>
        <v>30</v>
      </c>
      <c r="L578" s="35">
        <f>VENTAS[[#This Row],[Total]]-VENTAS[[#This Row],[Comisión 10%]]-VENTAS[[#This Row],[Costo SIN Comision]]</f>
        <v>0</v>
      </c>
      <c r="M578" s="35"/>
    </row>
    <row r="579" ht="20" customHeight="1" spans="1:13">
      <c r="A579" s="29" t="s">
        <v>3452</v>
      </c>
      <c r="B579" s="30" t="str">
        <f>IFERROR(VLOOKUP(VENTAS[[#This Row],[Código del producto Vendido]],STOCK[],25,FALSE),"-")</f>
        <v>Recibido Freddy 12Mayo</v>
      </c>
      <c r="C579" s="30"/>
      <c r="D579" s="30"/>
      <c r="E579" s="30" t="s">
        <v>892</v>
      </c>
      <c r="F579" s="34" t="str">
        <f>IFERROR(VLOOKUP(VENTAS[[#This Row],[Código del producto Vendido]],STOCK[],5,FALSE),"-")</f>
        <v>Top Cisne Blanco</v>
      </c>
      <c r="G579" s="34">
        <v>1</v>
      </c>
      <c r="H579" s="35">
        <v>12</v>
      </c>
      <c r="I579" s="35">
        <f>VENTAS[[#This Row],[Cantidad]]*VENTAS[[#This Row],[Precio Venta]]</f>
        <v>12</v>
      </c>
      <c r="J579" s="35">
        <f>IF(VENTAS[[#This Row],[Nombre del Gestor]]&gt;1,VENTAS[[#This Row],[Total]]*10%,0)</f>
        <v>0</v>
      </c>
      <c r="K579" s="35">
        <f>IFERROR(VLOOKUP(VENTAS[[#This Row],[Código del producto Vendido]],STOCK[],16,FALSE)*VENTAS[[#This Row],[Cantidad]]+VLOOKUP(VENTAS[[#This Row],[Código del producto Vendido]],STOCK[],19,FALSE)*VENTAS[[#This Row],[Cantidad]],VENTAS[[#This Row],[Total]])</f>
        <v>7.97318181818182</v>
      </c>
      <c r="L579" s="35">
        <f>VENTAS[[#This Row],[Total]]-VENTAS[[#This Row],[Comisión 10%]]-VENTAS[[#This Row],[Costo SIN Comision]]</f>
        <v>4.02681818181818</v>
      </c>
      <c r="M579" s="35"/>
    </row>
    <row r="580" ht="20" customHeight="1" spans="1:13">
      <c r="A580" s="29" t="s">
        <v>3452</v>
      </c>
      <c r="B580" s="30">
        <f>IFERROR(VLOOKUP(VENTAS[[#This Row],[Código del producto Vendido]],STOCK[],25,FALSE),"-")</f>
        <v>0</v>
      </c>
      <c r="C580" s="30"/>
      <c r="D580" s="30"/>
      <c r="E580" s="30" t="s">
        <v>153</v>
      </c>
      <c r="F580" s="34" t="str">
        <f>IFERROR(VLOOKUP(VENTAS[[#This Row],[Código del producto Vendido]],STOCK[],5,FALSE),"-")</f>
        <v>Jeans de pierna recta desgarro</v>
      </c>
      <c r="G580" s="34">
        <v>1</v>
      </c>
      <c r="H580" s="35">
        <v>30</v>
      </c>
      <c r="I580" s="35">
        <f>VENTAS[[#This Row],[Cantidad]]*VENTAS[[#This Row],[Precio Venta]]</f>
        <v>30</v>
      </c>
      <c r="J580" s="35">
        <f>IF(VENTAS[[#This Row],[Nombre del Gestor]]&gt;1,VENTAS[[#This Row],[Total]]*10%,0)</f>
        <v>0</v>
      </c>
      <c r="K580" s="35">
        <f>IFERROR(VLOOKUP(VENTAS[[#This Row],[Código del producto Vendido]],STOCK[],16,FALSE)*VENTAS[[#This Row],[Cantidad]]+VLOOKUP(VENTAS[[#This Row],[Código del producto Vendido]],STOCK[],19,FALSE)*VENTAS[[#This Row],[Cantidad]],VENTAS[[#This Row],[Total]])</f>
        <v>18.6866666666667</v>
      </c>
      <c r="L580" s="35">
        <f>VENTAS[[#This Row],[Total]]-VENTAS[[#This Row],[Comisión 10%]]-VENTAS[[#This Row],[Costo SIN Comision]]</f>
        <v>11.3133333333333</v>
      </c>
      <c r="M580" s="35"/>
    </row>
    <row r="581" ht="20" customHeight="1" spans="1:13">
      <c r="A581" s="29" t="s">
        <v>3452</v>
      </c>
      <c r="B581" s="30" t="str">
        <f>IFERROR(VLOOKUP(VENTAS[[#This Row],[Código del producto Vendido]],STOCK[],25,FALSE),"-")</f>
        <v>Yenma 19 Mayo</v>
      </c>
      <c r="C581" s="30"/>
      <c r="D581" s="30"/>
      <c r="E581" s="30" t="s">
        <v>220</v>
      </c>
      <c r="F581" s="34" t="str">
        <f>IFERROR(VLOOKUP(VENTAS[[#This Row],[Código del producto Vendido]],STOCK[],5,FALSE),"-")</f>
        <v>Vestido slip abertura de espalda abierta de cuello desbocado</v>
      </c>
      <c r="G581" s="34">
        <v>1</v>
      </c>
      <c r="H581" s="35">
        <v>30</v>
      </c>
      <c r="I581" s="35">
        <f>VENTAS[[#This Row],[Cantidad]]*VENTAS[[#This Row],[Precio Venta]]</f>
        <v>30</v>
      </c>
      <c r="J581" s="35">
        <f>IF(VENTAS[[#This Row],[Nombre del Gestor]]&gt;1,VENTAS[[#This Row],[Total]]*10%,0)</f>
        <v>0</v>
      </c>
      <c r="K581" s="35">
        <f>IFERROR(VLOOKUP(VENTAS[[#This Row],[Código del producto Vendido]],STOCK[],16,FALSE)*VENTAS[[#This Row],[Cantidad]]+VLOOKUP(VENTAS[[#This Row],[Código del producto Vendido]],STOCK[],19,FALSE)*VENTAS[[#This Row],[Cantidad]],VENTAS[[#This Row],[Total]])</f>
        <v>16.4866666666667</v>
      </c>
      <c r="L581" s="35">
        <f>VENTAS[[#This Row],[Total]]-VENTAS[[#This Row],[Comisión 10%]]-VENTAS[[#This Row],[Costo SIN Comision]]</f>
        <v>13.5133333333333</v>
      </c>
      <c r="M581" s="35"/>
    </row>
    <row r="582" ht="20" customHeight="1" spans="1:13">
      <c r="A582" s="29" t="s">
        <v>3452</v>
      </c>
      <c r="B582" s="30" t="str">
        <f>IFERROR(VLOOKUP(VENTAS[[#This Row],[Código del producto Vendido]],STOCK[],25,FALSE),"-")</f>
        <v>recibido yenma correos 8mayo</v>
      </c>
      <c r="C582" s="30"/>
      <c r="D582" s="30"/>
      <c r="E582" s="30" t="s">
        <v>295</v>
      </c>
      <c r="F582" s="34" t="str">
        <f>IFERROR(VLOOKUP(VENTAS[[#This Row],[Código del producto Vendido]],STOCK[],5,FALSE),"-")</f>
        <v>Conjunto falda y blusa</v>
      </c>
      <c r="G582" s="34">
        <v>1</v>
      </c>
      <c r="H582" s="35">
        <v>45</v>
      </c>
      <c r="I582" s="35">
        <f>VENTAS[[#This Row],[Cantidad]]*VENTAS[[#This Row],[Precio Venta]]</f>
        <v>45</v>
      </c>
      <c r="J582" s="35">
        <f>IF(VENTAS[[#This Row],[Nombre del Gestor]]&gt;1,VENTAS[[#This Row],[Total]]*10%,0)</f>
        <v>0</v>
      </c>
      <c r="K582" s="35">
        <f>IFERROR(VLOOKUP(VENTAS[[#This Row],[Código del producto Vendido]],STOCK[],16,FALSE)*VENTAS[[#This Row],[Cantidad]]+VLOOKUP(VENTAS[[#This Row],[Código del producto Vendido]],STOCK[],19,FALSE)*VENTAS[[#This Row],[Cantidad]],VENTAS[[#This Row],[Total]])</f>
        <v>19.1533333333333</v>
      </c>
      <c r="L582" s="35">
        <f>VENTAS[[#This Row],[Total]]-VENTAS[[#This Row],[Comisión 10%]]-VENTAS[[#This Row],[Costo SIN Comision]]</f>
        <v>25.8466666666667</v>
      </c>
      <c r="M582" s="35"/>
    </row>
    <row r="583" ht="20" customHeight="1" spans="1:13">
      <c r="A583" s="29" t="s">
        <v>3452</v>
      </c>
      <c r="B583" s="30">
        <f>IFERROR(VLOOKUP(VENTAS[[#This Row],[Código del producto Vendido]],STOCK[],25,FALSE),"-")</f>
        <v>0</v>
      </c>
      <c r="C583" s="30"/>
      <c r="D583" s="30"/>
      <c r="E583" s="30" t="s">
        <v>441</v>
      </c>
      <c r="F583" s="34" t="str">
        <f>IFERROR(VLOOKUP(VENTAS[[#This Row],[Código del producto Vendido]],STOCK[],5,FALSE),"-")</f>
        <v>Top corto de cuello cuadrado </v>
      </c>
      <c r="G583" s="34">
        <v>1</v>
      </c>
      <c r="H583" s="35">
        <v>12</v>
      </c>
      <c r="I583" s="35">
        <f>VENTAS[[#This Row],[Cantidad]]*VENTAS[[#This Row],[Precio Venta]]</f>
        <v>12</v>
      </c>
      <c r="J583" s="35">
        <f>IF(VENTAS[[#This Row],[Nombre del Gestor]]&gt;1,VENTAS[[#This Row],[Total]]*10%,0)</f>
        <v>0</v>
      </c>
      <c r="K583" s="35">
        <f>IFERROR(VLOOKUP(VENTAS[[#This Row],[Código del producto Vendido]],STOCK[],16,FALSE)*VENTAS[[#This Row],[Cantidad]]+VLOOKUP(VENTAS[[#This Row],[Código del producto Vendido]],STOCK[],19,FALSE)*VENTAS[[#This Row],[Cantidad]],VENTAS[[#This Row],[Total]])</f>
        <v>7.43444444444444</v>
      </c>
      <c r="L583" s="35">
        <f>VENTAS[[#This Row],[Total]]-VENTAS[[#This Row],[Comisión 10%]]-VENTAS[[#This Row],[Costo SIN Comision]]</f>
        <v>4.56555555555556</v>
      </c>
      <c r="M583" s="35"/>
    </row>
    <row r="584" ht="20" customHeight="1" spans="1:13">
      <c r="A584" s="29" t="s">
        <v>3452</v>
      </c>
      <c r="B584" s="30">
        <f>IFERROR(VLOOKUP(VENTAS[[#This Row],[Código del producto Vendido]],STOCK[],25,FALSE),"-")</f>
        <v>0</v>
      </c>
      <c r="C584" s="30"/>
      <c r="D584" s="30"/>
      <c r="E584" s="30" t="s">
        <v>478</v>
      </c>
      <c r="F584" s="34" t="str">
        <f>IFERROR(VLOOKUP(VENTAS[[#This Row],[Código del producto Vendido]],STOCK[],5,FALSE),"-")</f>
        <v>Bolsa cuadrada mini geométrico </v>
      </c>
      <c r="G584" s="34">
        <v>1</v>
      </c>
      <c r="H584" s="35">
        <v>0</v>
      </c>
      <c r="I584" s="35">
        <f>VENTAS[[#This Row],[Cantidad]]*VENTAS[[#This Row],[Precio Venta]]</f>
        <v>0</v>
      </c>
      <c r="J584" s="35">
        <f>IF(VENTAS[[#This Row],[Nombre del Gestor]]&gt;1,VENTAS[[#This Row],[Total]]*10%,0)</f>
        <v>0</v>
      </c>
      <c r="K584" s="35">
        <f>IFERROR(VLOOKUP(VENTAS[[#This Row],[Código del producto Vendido]],STOCK[],16,FALSE)*VENTAS[[#This Row],[Cantidad]]+VLOOKUP(VENTAS[[#This Row],[Código del producto Vendido]],STOCK[],19,FALSE)*VENTAS[[#This Row],[Cantidad]],VENTAS[[#This Row],[Total]])</f>
        <v>6.33777777777778</v>
      </c>
      <c r="L584" s="35">
        <f>VENTAS[[#This Row],[Total]]-VENTAS[[#This Row],[Comisión 10%]]-VENTAS[[#This Row],[Costo SIN Comision]]</f>
        <v>-6.33777777777778</v>
      </c>
      <c r="M584" s="35"/>
    </row>
    <row r="585" ht="20" customHeight="1" spans="1:13">
      <c r="A585" s="29" t="s">
        <v>3452</v>
      </c>
      <c r="B585" s="30">
        <f>IFERROR(VLOOKUP(VENTAS[[#This Row],[Código del producto Vendido]],STOCK[],25,FALSE),"-")</f>
        <v>0</v>
      </c>
      <c r="C585" s="30"/>
      <c r="D585" s="30"/>
      <c r="E585" s="30" t="s">
        <v>517</v>
      </c>
      <c r="F585" s="34" t="str">
        <f>IFERROR(VLOOKUP(VENTAS[[#This Row],[Código del producto Vendido]],STOCK[],5,FALSE),"-")</f>
        <v>Calcetines unicolor</v>
      </c>
      <c r="G585" s="34">
        <v>8</v>
      </c>
      <c r="H585" s="35">
        <v>1.5</v>
      </c>
      <c r="I585" s="35">
        <f>VENTAS[[#This Row],[Cantidad]]*VENTAS[[#This Row],[Precio Venta]]</f>
        <v>12</v>
      </c>
      <c r="J585" s="35">
        <f>IF(VENTAS[[#This Row],[Nombre del Gestor]]&gt;1,VENTAS[[#This Row],[Total]]*10%,0)</f>
        <v>0</v>
      </c>
      <c r="K585" s="35">
        <f>IFERROR(VLOOKUP(VENTAS[[#This Row],[Código del producto Vendido]],STOCK[],16,FALSE)*VENTAS[[#This Row],[Cantidad]]+VLOOKUP(VENTAS[[#This Row],[Código del producto Vendido]],STOCK[],19,FALSE)*VENTAS[[#This Row],[Cantidad]],VENTAS[[#This Row],[Total]])</f>
        <v>6.75555555555555</v>
      </c>
      <c r="L585" s="35">
        <f>VENTAS[[#This Row],[Total]]-VENTAS[[#This Row],[Comisión 10%]]-VENTAS[[#This Row],[Costo SIN Comision]]</f>
        <v>5.24444444444445</v>
      </c>
      <c r="M585" s="35"/>
    </row>
    <row r="586" ht="20" customHeight="1" spans="1:13">
      <c r="A586" s="29" t="s">
        <v>3452</v>
      </c>
      <c r="B586" s="30">
        <f>IFERROR(VLOOKUP(VENTAS[[#This Row],[Código del producto Vendido]],STOCK[],25,FALSE),"-")</f>
        <v>0</v>
      </c>
      <c r="C586" s="30"/>
      <c r="D586" s="30"/>
      <c r="E586" s="30" t="s">
        <v>626</v>
      </c>
      <c r="F586" s="34" t="str">
        <f>IFERROR(VLOOKUP(VENTAS[[#This Row],[Código del producto Vendido]],STOCK[],5,FALSE),"-")</f>
        <v>Vestido vaporoso</v>
      </c>
      <c r="G586" s="34">
        <v>1</v>
      </c>
      <c r="H586" s="35">
        <v>16</v>
      </c>
      <c r="I586" s="35">
        <f>VENTAS[[#This Row],[Cantidad]]*VENTAS[[#This Row],[Precio Venta]]</f>
        <v>16</v>
      </c>
      <c r="J586" s="35">
        <f>IF(VENTAS[[#This Row],[Nombre del Gestor]]&gt;1,VENTAS[[#This Row],[Total]]*10%,0)</f>
        <v>0</v>
      </c>
      <c r="K586" s="35">
        <f>IFERROR(VLOOKUP(VENTAS[[#This Row],[Código del producto Vendido]],STOCK[],16,FALSE)*VENTAS[[#This Row],[Cantidad]]+VLOOKUP(VENTAS[[#This Row],[Código del producto Vendido]],STOCK[],19,FALSE)*VENTAS[[#This Row],[Cantidad]],VENTAS[[#This Row],[Total]])</f>
        <v>10.7222222222222</v>
      </c>
      <c r="L586" s="35">
        <f>VENTAS[[#This Row],[Total]]-VENTAS[[#This Row],[Comisión 10%]]-VENTAS[[#This Row],[Costo SIN Comision]]</f>
        <v>5.27777777777778</v>
      </c>
      <c r="M586" s="35"/>
    </row>
    <row r="587" ht="20" customHeight="1" spans="1:13">
      <c r="A587" s="29" t="s">
        <v>3452</v>
      </c>
      <c r="B587" s="30">
        <f>IFERROR(VLOOKUP(VENTAS[[#This Row],[Código del producto Vendido]],STOCK[],25,FALSE),"-")</f>
        <v>0</v>
      </c>
      <c r="C587" s="30"/>
      <c r="D587" s="30"/>
      <c r="E587" s="30" t="s">
        <v>726</v>
      </c>
      <c r="F587" s="34" t="str">
        <f>IFERROR(VLOOKUP(VENTAS[[#This Row],[Código del producto Vendido]],STOCK[],5,FALSE),"-")</f>
        <v>Top acanalado sin mangas</v>
      </c>
      <c r="G587" s="34">
        <v>1</v>
      </c>
      <c r="H587" s="35">
        <v>12</v>
      </c>
      <c r="I587" s="35">
        <f>VENTAS[[#This Row],[Cantidad]]*VENTAS[[#This Row],[Precio Venta]]</f>
        <v>12</v>
      </c>
      <c r="J587" s="35">
        <f>IF(VENTAS[[#This Row],[Nombre del Gestor]]&gt;1,VENTAS[[#This Row],[Total]]*10%,0)</f>
        <v>0</v>
      </c>
      <c r="K587" s="35">
        <f>IFERROR(VLOOKUP(VENTAS[[#This Row],[Código del producto Vendido]],STOCK[],16,FALSE)*VENTAS[[#This Row],[Cantidad]]+VLOOKUP(VENTAS[[#This Row],[Código del producto Vendido]],STOCK[],19,FALSE)*VENTAS[[#This Row],[Cantidad]],VENTAS[[#This Row],[Total]])</f>
        <v>5.02222222222222</v>
      </c>
      <c r="L587" s="35">
        <f>VENTAS[[#This Row],[Total]]-VENTAS[[#This Row],[Comisión 10%]]-VENTAS[[#This Row],[Costo SIN Comision]]</f>
        <v>6.97777777777778</v>
      </c>
      <c r="M587" s="35"/>
    </row>
    <row r="588" ht="20" customHeight="1" spans="1:13">
      <c r="A588" s="29" t="s">
        <v>3452</v>
      </c>
      <c r="B588" s="30">
        <f>IFERROR(VLOOKUP(VENTAS[[#This Row],[Código del producto Vendido]],STOCK[],25,FALSE),"-")</f>
        <v>0</v>
      </c>
      <c r="C588" s="30"/>
      <c r="D588" s="30"/>
      <c r="E588" s="30" t="s">
        <v>736</v>
      </c>
      <c r="F588" s="34" t="str">
        <f>IFERROR(VLOOKUP(VENTAS[[#This Row],[Código del producto Vendido]],STOCK[],5,FALSE),"-")</f>
        <v>Sostén Push-up</v>
      </c>
      <c r="G588" s="34">
        <v>1</v>
      </c>
      <c r="H588" s="35">
        <v>12</v>
      </c>
      <c r="I588" s="35">
        <f>VENTAS[[#This Row],[Cantidad]]*VENTAS[[#This Row],[Precio Venta]]</f>
        <v>12</v>
      </c>
      <c r="J588" s="35">
        <f>IF(VENTAS[[#This Row],[Nombre del Gestor]]&gt;1,VENTAS[[#This Row],[Total]]*10%,0)</f>
        <v>0</v>
      </c>
      <c r="K588" s="35">
        <f>IFERROR(VLOOKUP(VENTAS[[#This Row],[Código del producto Vendido]],STOCK[],16,FALSE)*VENTAS[[#This Row],[Cantidad]]+VLOOKUP(VENTAS[[#This Row],[Código del producto Vendido]],STOCK[],19,FALSE)*VENTAS[[#This Row],[Cantidad]],VENTAS[[#This Row],[Total]])</f>
        <v>11.1333333333333</v>
      </c>
      <c r="L588" s="35">
        <f>VENTAS[[#This Row],[Total]]-VENTAS[[#This Row],[Comisión 10%]]-VENTAS[[#This Row],[Costo SIN Comision]]</f>
        <v>0.866666666666699</v>
      </c>
      <c r="M588" s="35"/>
    </row>
    <row r="589" ht="20" customHeight="1" spans="1:13">
      <c r="A589" s="29" t="s">
        <v>3452</v>
      </c>
      <c r="B589" s="30">
        <f>IFERROR(VLOOKUP(VENTAS[[#This Row],[Código del producto Vendido]],STOCK[],25,FALSE),"-")</f>
        <v>0</v>
      </c>
      <c r="C589" s="30"/>
      <c r="D589" s="30"/>
      <c r="E589" s="30" t="s">
        <v>832</v>
      </c>
      <c r="F589" s="34" t="str">
        <f>IFERROR(VLOOKUP(VENTAS[[#This Row],[Código del producto Vendido]],STOCK[],5,FALSE),"-")</f>
        <v>Rubor rosa</v>
      </c>
      <c r="G589" s="34">
        <v>1</v>
      </c>
      <c r="H589" s="35">
        <v>0</v>
      </c>
      <c r="I589" s="35">
        <f>VENTAS[[#This Row],[Cantidad]]*VENTAS[[#This Row],[Precio Venta]]</f>
        <v>0</v>
      </c>
      <c r="J589" s="35">
        <f>IF(VENTAS[[#This Row],[Nombre del Gestor]]&gt;1,VENTAS[[#This Row],[Total]]*10%,0)</f>
        <v>0</v>
      </c>
      <c r="K589" s="35">
        <f>IFERROR(VLOOKUP(VENTAS[[#This Row],[Código del producto Vendido]],STOCK[],16,FALSE)*VENTAS[[#This Row],[Cantidad]]+VLOOKUP(VENTAS[[#This Row],[Código del producto Vendido]],STOCK[],19,FALSE)*VENTAS[[#This Row],[Cantidad]],VENTAS[[#This Row],[Total]])</f>
        <v>4.33333333333333</v>
      </c>
      <c r="L589" s="35">
        <f>VENTAS[[#This Row],[Total]]-VENTAS[[#This Row],[Comisión 10%]]-VENTAS[[#This Row],[Costo SIN Comision]]</f>
        <v>-4.33333333333333</v>
      </c>
      <c r="M589" s="35"/>
    </row>
    <row r="590" ht="20" customHeight="1" spans="1:13">
      <c r="A590" s="29" t="s">
        <v>3452</v>
      </c>
      <c r="B590" s="30">
        <f>IFERROR(VLOOKUP(VENTAS[[#This Row],[Código del producto Vendido]],STOCK[],25,FALSE),"-")</f>
        <v>0</v>
      </c>
      <c r="C590" s="30"/>
      <c r="D590" s="30"/>
      <c r="E590" s="30" t="s">
        <v>835</v>
      </c>
      <c r="F590" s="34" t="str">
        <f>IFERROR(VLOOKUP(VENTAS[[#This Row],[Código del producto Vendido]],STOCK[],5,FALSE),"-")</f>
        <v>Vestido pasión</v>
      </c>
      <c r="G590" s="34">
        <v>1</v>
      </c>
      <c r="H590" s="35">
        <v>35</v>
      </c>
      <c r="I590" s="35">
        <f>VENTAS[[#This Row],[Cantidad]]*VENTAS[[#This Row],[Precio Venta]]</f>
        <v>35</v>
      </c>
      <c r="J590" s="35">
        <f>IF(VENTAS[[#This Row],[Nombre del Gestor]]&gt;1,VENTAS[[#This Row],[Total]]*10%,0)</f>
        <v>0</v>
      </c>
      <c r="K590" s="35">
        <f>IFERROR(VLOOKUP(VENTAS[[#This Row],[Código del producto Vendido]],STOCK[],16,FALSE)*VENTAS[[#This Row],[Cantidad]]+VLOOKUP(VENTAS[[#This Row],[Código del producto Vendido]],STOCK[],19,FALSE)*VENTAS[[#This Row],[Cantidad]],VENTAS[[#This Row],[Total]])</f>
        <v>26.3888888888889</v>
      </c>
      <c r="L590" s="35">
        <f>VENTAS[[#This Row],[Total]]-VENTAS[[#This Row],[Comisión 10%]]-VENTAS[[#This Row],[Costo SIN Comision]]</f>
        <v>8.6111111111111</v>
      </c>
      <c r="M590" s="35"/>
    </row>
    <row r="591" ht="20" customHeight="1" spans="1:13">
      <c r="A591" s="29" t="s">
        <v>3452</v>
      </c>
      <c r="B591" s="30">
        <f>IFERROR(VLOOKUP(VENTAS[[#This Row],[Código del producto Vendido]],STOCK[],25,FALSE),"-")</f>
        <v>0</v>
      </c>
      <c r="C591" s="30"/>
      <c r="D591" s="30"/>
      <c r="E591" s="30" t="s">
        <v>875</v>
      </c>
      <c r="F591" s="34" t="str">
        <f>IFERROR(VLOOKUP(VENTAS[[#This Row],[Código del producto Vendido]],STOCK[],5,FALSE),"-")</f>
        <v>Brasier de encaje_Negro Unitalla</v>
      </c>
      <c r="G591" s="34">
        <v>1</v>
      </c>
      <c r="H591" s="35">
        <v>7</v>
      </c>
      <c r="I591" s="35">
        <f>VENTAS[[#This Row],[Cantidad]]*VENTAS[[#This Row],[Precio Venta]]</f>
        <v>7</v>
      </c>
      <c r="J591" s="35">
        <f>IF(VENTAS[[#This Row],[Nombre del Gestor]]&gt;1,VENTAS[[#This Row],[Total]]*10%,0)</f>
        <v>0</v>
      </c>
      <c r="K591" s="35">
        <f>IFERROR(VLOOKUP(VENTAS[[#This Row],[Código del producto Vendido]],STOCK[],16,FALSE)*VENTAS[[#This Row],[Cantidad]]+VLOOKUP(VENTAS[[#This Row],[Código del producto Vendido]],STOCK[],19,FALSE)*VENTAS[[#This Row],[Cantidad]],VENTAS[[#This Row],[Total]])</f>
        <v>3.71111111111111</v>
      </c>
      <c r="L591" s="35">
        <f>VENTAS[[#This Row],[Total]]-VENTAS[[#This Row],[Comisión 10%]]-VENTAS[[#This Row],[Costo SIN Comision]]</f>
        <v>3.28888888888889</v>
      </c>
      <c r="M591" s="35"/>
    </row>
    <row r="592" ht="20" customHeight="1" spans="1:13">
      <c r="A592" s="29" t="s">
        <v>3452</v>
      </c>
      <c r="B592" s="30">
        <f>IFERROR(VLOOKUP(VENTAS[[#This Row],[Código del producto Vendido]],STOCK[],25,FALSE),"-")</f>
        <v>0</v>
      </c>
      <c r="C592" s="30"/>
      <c r="D592" s="30"/>
      <c r="E592" s="30" t="s">
        <v>931</v>
      </c>
      <c r="F592" s="34" t="str">
        <f>IFERROR(VLOOKUP(VENTAS[[#This Row],[Código del producto Vendido]],STOCK[],5,FALSE),"-")</f>
        <v>Falda de trabajo</v>
      </c>
      <c r="G592" s="34">
        <v>1</v>
      </c>
      <c r="H592" s="35">
        <v>15</v>
      </c>
      <c r="I592" s="35">
        <f>VENTAS[[#This Row],[Cantidad]]*VENTAS[[#This Row],[Precio Venta]]</f>
        <v>15</v>
      </c>
      <c r="J592" s="35">
        <f>IF(VENTAS[[#This Row],[Nombre del Gestor]]&gt;1,VENTAS[[#This Row],[Total]]*10%,0)</f>
        <v>0</v>
      </c>
      <c r="K592" s="35">
        <f>IFERROR(VLOOKUP(VENTAS[[#This Row],[Código del producto Vendido]],STOCK[],16,FALSE)*VENTAS[[#This Row],[Cantidad]]+VLOOKUP(VENTAS[[#This Row],[Código del producto Vendido]],STOCK[],19,FALSE)*VENTAS[[#This Row],[Cantidad]],VENTAS[[#This Row],[Total]])</f>
        <v>7.74863636363636</v>
      </c>
      <c r="L592" s="35">
        <f>VENTAS[[#This Row],[Total]]-VENTAS[[#This Row],[Comisión 10%]]-VENTAS[[#This Row],[Costo SIN Comision]]</f>
        <v>7.25136363636364</v>
      </c>
      <c r="M592" s="35"/>
    </row>
    <row r="593" ht="20" customHeight="1" spans="1:13">
      <c r="A593" s="29" t="s">
        <v>3452</v>
      </c>
      <c r="B593" s="30">
        <f>IFERROR(VLOOKUP(VENTAS[[#This Row],[Código del producto Vendido]],STOCK[],25,FALSE),"-")</f>
        <v>0</v>
      </c>
      <c r="C593" s="30"/>
      <c r="D593" s="30"/>
      <c r="E593" s="30" t="s">
        <v>962</v>
      </c>
      <c r="F593" s="34" t="str">
        <f>IFERROR(VLOOKUP(VENTAS[[#This Row],[Código del producto Vendido]],STOCK[],5,FALSE),"-")</f>
        <v>Pantalón business básico</v>
      </c>
      <c r="G593" s="34">
        <v>1</v>
      </c>
      <c r="H593" s="35">
        <v>30</v>
      </c>
      <c r="I593" s="35">
        <f>VENTAS[[#This Row],[Cantidad]]*VENTAS[[#This Row],[Precio Venta]]</f>
        <v>30</v>
      </c>
      <c r="J593" s="35">
        <f>IF(VENTAS[[#This Row],[Nombre del Gestor]]&gt;1,VENTAS[[#This Row],[Total]]*10%,0)</f>
        <v>0</v>
      </c>
      <c r="K593" s="35">
        <f>IFERROR(VLOOKUP(VENTAS[[#This Row],[Código del producto Vendido]],STOCK[],16,FALSE)*VENTAS[[#This Row],[Cantidad]]+VLOOKUP(VENTAS[[#This Row],[Código del producto Vendido]],STOCK[],19,FALSE)*VENTAS[[#This Row],[Cantidad]],VENTAS[[#This Row],[Total]])</f>
        <v>21.3722727272727</v>
      </c>
      <c r="L593" s="35">
        <f>VENTAS[[#This Row],[Total]]-VENTAS[[#This Row],[Comisión 10%]]-VENTAS[[#This Row],[Costo SIN Comision]]</f>
        <v>8.6277272727273</v>
      </c>
      <c r="M593" s="35"/>
    </row>
    <row r="594" ht="20" customHeight="1" spans="1:13">
      <c r="A594" s="29" t="s">
        <v>3452</v>
      </c>
      <c r="B594" s="30" t="str">
        <f>IFERROR(VLOOKUP(VENTAS[[#This Row],[Código del producto Vendido]],STOCK[],25,FALSE),"-")</f>
        <v>Recibido Freddy 24Mayo</v>
      </c>
      <c r="C594" s="30"/>
      <c r="D594" s="30"/>
      <c r="E594" s="30" t="s">
        <v>1013</v>
      </c>
      <c r="F594" s="34" t="str">
        <f>IFERROR(VLOOKUP(VENTAS[[#This Row],[Código del producto Vendido]],STOCK[],5,FALSE),"-")</f>
        <v>Set de sujetador con tira ajustable 2 paquetes</v>
      </c>
      <c r="G594" s="34">
        <v>1</v>
      </c>
      <c r="H594" s="35">
        <v>15</v>
      </c>
      <c r="I594" s="35">
        <f>VENTAS[[#This Row],[Cantidad]]*VENTAS[[#This Row],[Precio Venta]]</f>
        <v>15</v>
      </c>
      <c r="J594" s="35">
        <f>IF(VENTAS[[#This Row],[Nombre del Gestor]]&gt;1,VENTAS[[#This Row],[Total]]*10%,0)</f>
        <v>0</v>
      </c>
      <c r="K594" s="35">
        <f>IFERROR(VLOOKUP(VENTAS[[#This Row],[Código del producto Vendido]],STOCK[],16,FALSE)*VENTAS[[#This Row],[Cantidad]]+VLOOKUP(VENTAS[[#This Row],[Código del producto Vendido]],STOCK[],19,FALSE)*VENTAS[[#This Row],[Cantidad]],VENTAS[[#This Row],[Total]])</f>
        <v>7.69886363636364</v>
      </c>
      <c r="L594" s="35">
        <f>VENTAS[[#This Row],[Total]]-VENTAS[[#This Row],[Comisión 10%]]-VENTAS[[#This Row],[Costo SIN Comision]]</f>
        <v>7.30113636363636</v>
      </c>
      <c r="M594" s="35"/>
    </row>
    <row r="595" ht="20" customHeight="1" spans="1:13">
      <c r="A595" s="29" t="s">
        <v>3452</v>
      </c>
      <c r="B595" s="30" t="str">
        <f>IFERROR(VLOOKUP(VENTAS[[#This Row],[Código del producto Vendido]],STOCK[],25,FALSE),"-")</f>
        <v>Recibido Freddy 12Mayo</v>
      </c>
      <c r="C595" s="30"/>
      <c r="D595" s="30"/>
      <c r="E595" s="30" t="s">
        <v>1030</v>
      </c>
      <c r="F595" s="34" t="str">
        <f>IFERROR(VLOOKUP(VENTAS[[#This Row],[Código del producto Vendido]],STOCK[],5,FALSE),"-")</f>
        <v>Sujetador Básico</v>
      </c>
      <c r="G595" s="34">
        <v>1</v>
      </c>
      <c r="H595" s="35">
        <v>12</v>
      </c>
      <c r="I595" s="35">
        <f>VENTAS[[#This Row],[Cantidad]]*VENTAS[[#This Row],[Precio Venta]]</f>
        <v>12</v>
      </c>
      <c r="J595" s="35">
        <f>IF(VENTAS[[#This Row],[Nombre del Gestor]]&gt;1,VENTAS[[#This Row],[Total]]*10%,0)</f>
        <v>0</v>
      </c>
      <c r="K595" s="35">
        <f>IFERROR(VLOOKUP(VENTAS[[#This Row],[Código del producto Vendido]],STOCK[],16,FALSE)*VENTAS[[#This Row],[Cantidad]]+VLOOKUP(VENTAS[[#This Row],[Código del producto Vendido]],STOCK[],19,FALSE)*VENTAS[[#This Row],[Cantidad]],VENTAS[[#This Row],[Total]])</f>
        <v>3.80340909090909</v>
      </c>
      <c r="L595" s="35">
        <f>VENTAS[[#This Row],[Total]]-VENTAS[[#This Row],[Comisión 10%]]-VENTAS[[#This Row],[Costo SIN Comision]]</f>
        <v>8.19659090909091</v>
      </c>
      <c r="M595" s="35"/>
    </row>
    <row r="596" ht="20" customHeight="1" spans="1:13">
      <c r="A596" s="29" t="s">
        <v>3452</v>
      </c>
      <c r="B596" s="30">
        <f>IFERROR(VLOOKUP(VENTAS[[#This Row],[Código del producto Vendido]],STOCK[],25,FALSE),"-")</f>
        <v>0</v>
      </c>
      <c r="C596" s="30"/>
      <c r="D596" s="30"/>
      <c r="E596" s="30" t="s">
        <v>1050</v>
      </c>
      <c r="F596" s="34" t="str">
        <f>IFERROR(VLOOKUP(VENTAS[[#This Row],[Código del producto Vendido]],STOCK[],5,FALSE),"-")</f>
        <v>Pantaloneta Camel</v>
      </c>
      <c r="G596" s="34">
        <v>1</v>
      </c>
      <c r="H596" s="35">
        <v>30</v>
      </c>
      <c r="I596" s="35">
        <f>VENTAS[[#This Row],[Cantidad]]*VENTAS[[#This Row],[Precio Venta]]</f>
        <v>30</v>
      </c>
      <c r="J596" s="35">
        <f>IF(VENTAS[[#This Row],[Nombre del Gestor]]&gt;1,VENTAS[[#This Row],[Total]]*10%,0)</f>
        <v>0</v>
      </c>
      <c r="K596" s="35">
        <f>IFERROR(VLOOKUP(VENTAS[[#This Row],[Código del producto Vendido]],STOCK[],16,FALSE)*VENTAS[[#This Row],[Cantidad]]+VLOOKUP(VENTAS[[#This Row],[Código del producto Vendido]],STOCK[],19,FALSE)*VENTAS[[#This Row],[Cantidad]],VENTAS[[#This Row],[Total]])</f>
        <v>18.6477272727273</v>
      </c>
      <c r="L596" s="35">
        <f>VENTAS[[#This Row],[Total]]-VENTAS[[#This Row],[Comisión 10%]]-VENTAS[[#This Row],[Costo SIN Comision]]</f>
        <v>11.3522727272727</v>
      </c>
      <c r="M596" s="35"/>
    </row>
    <row r="597" ht="20" customHeight="1" spans="1:13">
      <c r="A597" s="29" t="s">
        <v>3452</v>
      </c>
      <c r="B597" s="30">
        <f>IFERROR(VLOOKUP(VENTAS[[#This Row],[Código del producto Vendido]],STOCK[],25,FALSE),"-")</f>
        <v>0</v>
      </c>
      <c r="C597" s="30"/>
      <c r="D597" s="30"/>
      <c r="E597" s="30" t="s">
        <v>1313</v>
      </c>
      <c r="F597" s="34" t="str">
        <f>IFERROR(VLOOKUP(VENTAS[[#This Row],[Código del producto Vendido]],STOCK[],5,FALSE),"-")</f>
        <v>Blazer Crema</v>
      </c>
      <c r="G597" s="34">
        <v>1</v>
      </c>
      <c r="H597" s="35">
        <v>40</v>
      </c>
      <c r="I597" s="35">
        <f>VENTAS[[#This Row],[Cantidad]]*VENTAS[[#This Row],[Precio Venta]]</f>
        <v>40</v>
      </c>
      <c r="J597" s="35">
        <f>IF(VENTAS[[#This Row],[Nombre del Gestor]]&gt;1,VENTAS[[#This Row],[Total]]*10%,0)</f>
        <v>0</v>
      </c>
      <c r="K597" s="35">
        <f>IFERROR(VLOOKUP(VENTAS[[#This Row],[Código del producto Vendido]],STOCK[],16,FALSE)*VENTAS[[#This Row],[Cantidad]]+VLOOKUP(VENTAS[[#This Row],[Código del producto Vendido]],STOCK[],19,FALSE)*VENTAS[[#This Row],[Cantidad]],VENTAS[[#This Row],[Total]])</f>
        <v>30</v>
      </c>
      <c r="L597" s="35">
        <f>VENTAS[[#This Row],[Total]]-VENTAS[[#This Row],[Comisión 10%]]-VENTAS[[#This Row],[Costo SIN Comision]]</f>
        <v>10</v>
      </c>
      <c r="M597" s="35"/>
    </row>
    <row r="598" ht="20" customHeight="1" spans="1:13">
      <c r="A598" s="29" t="s">
        <v>3452</v>
      </c>
      <c r="B598" s="30">
        <f>IFERROR(VLOOKUP(VENTAS[[#This Row],[Código del producto Vendido]],STOCK[],25,FALSE),"-")</f>
        <v>0</v>
      </c>
      <c r="C598" s="30"/>
      <c r="D598" s="30"/>
      <c r="E598" s="30" t="s">
        <v>1346</v>
      </c>
      <c r="F598" s="34" t="str">
        <f>IFERROR(VLOOKUP(VENTAS[[#This Row],[Código del producto Vendido]],STOCK[],5,FALSE),"-")</f>
        <v>Cardigan Amarillo</v>
      </c>
      <c r="G598" s="34">
        <v>1</v>
      </c>
      <c r="H598" s="35">
        <v>22</v>
      </c>
      <c r="I598" s="35">
        <f>VENTAS[[#This Row],[Cantidad]]*VENTAS[[#This Row],[Precio Venta]]</f>
        <v>22</v>
      </c>
      <c r="J598" s="35">
        <f>IF(VENTAS[[#This Row],[Nombre del Gestor]]&gt;1,VENTAS[[#This Row],[Total]]*10%,0)</f>
        <v>0</v>
      </c>
      <c r="K598" s="35">
        <f>IFERROR(VLOOKUP(VENTAS[[#This Row],[Código del producto Vendido]],STOCK[],16,FALSE)*VENTAS[[#This Row],[Cantidad]]+VLOOKUP(VENTAS[[#This Row],[Código del producto Vendido]],STOCK[],19,FALSE)*VENTAS[[#This Row],[Cantidad]],VENTAS[[#This Row],[Total]])</f>
        <v>15</v>
      </c>
      <c r="L598" s="35">
        <f>VENTAS[[#This Row],[Total]]-VENTAS[[#This Row],[Comisión 10%]]-VENTAS[[#This Row],[Costo SIN Comision]]</f>
        <v>7</v>
      </c>
      <c r="M598" s="35"/>
    </row>
    <row r="599" ht="20" customHeight="1" spans="1:13">
      <c r="A599" s="29" t="s">
        <v>3452</v>
      </c>
      <c r="B599" s="30">
        <f>IFERROR(VLOOKUP(VENTAS[[#This Row],[Código del producto Vendido]],STOCK[],25,FALSE),"-")</f>
        <v>0</v>
      </c>
      <c r="C599" s="30"/>
      <c r="D599" s="30"/>
      <c r="E599" s="30" t="s">
        <v>1348</v>
      </c>
      <c r="F599" s="34" t="str">
        <f>IFERROR(VLOOKUP(VENTAS[[#This Row],[Código del producto Vendido]],STOCK[],5,FALSE),"-")</f>
        <v>Cardigan Amarillo</v>
      </c>
      <c r="G599" s="34">
        <v>1</v>
      </c>
      <c r="H599" s="35">
        <v>22</v>
      </c>
      <c r="I599" s="35">
        <f>VENTAS[[#This Row],[Cantidad]]*VENTAS[[#This Row],[Precio Venta]]</f>
        <v>22</v>
      </c>
      <c r="J599" s="35">
        <f>IF(VENTAS[[#This Row],[Nombre del Gestor]]&gt;1,VENTAS[[#This Row],[Total]]*10%,0)</f>
        <v>0</v>
      </c>
      <c r="K599" s="35">
        <f>IFERROR(VLOOKUP(VENTAS[[#This Row],[Código del producto Vendido]],STOCK[],16,FALSE)*VENTAS[[#This Row],[Cantidad]]+VLOOKUP(VENTAS[[#This Row],[Código del producto Vendido]],STOCK[],19,FALSE)*VENTAS[[#This Row],[Cantidad]],VENTAS[[#This Row],[Total]])</f>
        <v>15</v>
      </c>
      <c r="L599" s="35">
        <f>VENTAS[[#This Row],[Total]]-VENTAS[[#This Row],[Comisión 10%]]-VENTAS[[#This Row],[Costo SIN Comision]]</f>
        <v>7</v>
      </c>
      <c r="M599" s="35"/>
    </row>
    <row r="600" ht="20" customHeight="1" spans="1:13">
      <c r="A600" s="29" t="s">
        <v>3452</v>
      </c>
      <c r="B600" s="30">
        <f>IFERROR(VLOOKUP(VENTAS[[#This Row],[Código del producto Vendido]],STOCK[],25,FALSE),"-")</f>
        <v>0</v>
      </c>
      <c r="C600" s="30"/>
      <c r="D600" s="30"/>
      <c r="E600" s="30" t="s">
        <v>1351</v>
      </c>
      <c r="F600" s="34" t="str">
        <f>IFERROR(VLOOKUP(VENTAS[[#This Row],[Código del producto Vendido]],STOCK[],5,FALSE),"-")</f>
        <v>Sweater rosa con mangas abiertas</v>
      </c>
      <c r="G600" s="34">
        <v>2</v>
      </c>
      <c r="H600" s="35">
        <v>22</v>
      </c>
      <c r="I600" s="35">
        <f>VENTAS[[#This Row],[Cantidad]]*VENTAS[[#This Row],[Precio Venta]]</f>
        <v>44</v>
      </c>
      <c r="J600" s="35">
        <f>IF(VENTAS[[#This Row],[Nombre del Gestor]]&gt;1,VENTAS[[#This Row],[Total]]*10%,0)</f>
        <v>0</v>
      </c>
      <c r="K600" s="35">
        <f>IFERROR(VLOOKUP(VENTAS[[#This Row],[Código del producto Vendido]],STOCK[],16,FALSE)*VENTAS[[#This Row],[Cantidad]]+VLOOKUP(VENTAS[[#This Row],[Código del producto Vendido]],STOCK[],19,FALSE)*VENTAS[[#This Row],[Cantidad]],VENTAS[[#This Row],[Total]])</f>
        <v>40</v>
      </c>
      <c r="L600" s="35">
        <f>VENTAS[[#This Row],[Total]]-VENTAS[[#This Row],[Comisión 10%]]-VENTAS[[#This Row],[Costo SIN Comision]]</f>
        <v>4</v>
      </c>
      <c r="M600" s="35"/>
    </row>
    <row r="601" ht="20" customHeight="1" spans="1:13">
      <c r="A601" s="29" t="s">
        <v>3452</v>
      </c>
      <c r="B601" s="30">
        <f>IFERROR(VLOOKUP(VENTAS[[#This Row],[Código del producto Vendido]],STOCK[],25,FALSE),"-")</f>
        <v>0</v>
      </c>
      <c r="C601" s="30"/>
      <c r="D601" s="30"/>
      <c r="E601" s="30" t="s">
        <v>1566</v>
      </c>
      <c r="F601" s="34" t="str">
        <f>IFERROR(VLOOKUP(VENTAS[[#This Row],[Código del producto Vendido]],STOCK[],5,FALSE),"-")</f>
        <v>Blazer azul Rey</v>
      </c>
      <c r="G601" s="34">
        <v>1</v>
      </c>
      <c r="H601" s="35">
        <v>40</v>
      </c>
      <c r="I601" s="35">
        <f>VENTAS[[#This Row],[Cantidad]]*VENTAS[[#This Row],[Precio Venta]]</f>
        <v>40</v>
      </c>
      <c r="J601" s="35">
        <f>IF(VENTAS[[#This Row],[Nombre del Gestor]]&gt;1,VENTAS[[#This Row],[Total]]*10%,0)</f>
        <v>0</v>
      </c>
      <c r="K601" s="35">
        <f>IFERROR(VLOOKUP(VENTAS[[#This Row],[Código del producto Vendido]],STOCK[],16,FALSE)*VENTAS[[#This Row],[Cantidad]]+VLOOKUP(VENTAS[[#This Row],[Código del producto Vendido]],STOCK[],19,FALSE)*VENTAS[[#This Row],[Cantidad]],VENTAS[[#This Row],[Total]])</f>
        <v>20</v>
      </c>
      <c r="L601" s="35">
        <f>VENTAS[[#This Row],[Total]]-VENTAS[[#This Row],[Comisión 10%]]-VENTAS[[#This Row],[Costo SIN Comision]]</f>
        <v>20</v>
      </c>
      <c r="M601" s="35"/>
    </row>
    <row r="602" ht="20" customHeight="1" spans="1:13">
      <c r="A602" s="29" t="s">
        <v>3452</v>
      </c>
      <c r="B602" s="30" t="str">
        <f>IFERROR(VLOOKUP(VENTAS[[#This Row],[Código del producto Vendido]],STOCK[],25,FALSE),"-")</f>
        <v>COMPRA F21</v>
      </c>
      <c r="C602" s="30"/>
      <c r="D602" s="30"/>
      <c r="E602" s="30" t="s">
        <v>1444</v>
      </c>
      <c r="F602" s="34" t="str">
        <f>IFERROR(VLOOKUP(VENTAS[[#This Row],[Código del producto Vendido]],STOCK[],5,FALSE),"-")</f>
        <v>Mocasín con herrajes</v>
      </c>
      <c r="G602" s="34">
        <v>1</v>
      </c>
      <c r="H602" s="35">
        <v>43</v>
      </c>
      <c r="I602" s="35">
        <f>VENTAS[[#This Row],[Cantidad]]*VENTAS[[#This Row],[Precio Venta]]</f>
        <v>43</v>
      </c>
      <c r="J602" s="35">
        <f>IF(VENTAS[[#This Row],[Nombre del Gestor]]&gt;1,VENTAS[[#This Row],[Total]]*10%,0)</f>
        <v>0</v>
      </c>
      <c r="K602" s="35">
        <f>IFERROR(VLOOKUP(VENTAS[[#This Row],[Código del producto Vendido]],STOCK[],16,FALSE)*VENTAS[[#This Row],[Cantidad]]+VLOOKUP(VENTAS[[#This Row],[Código del producto Vendido]],STOCK[],19,FALSE)*VENTAS[[#This Row],[Cantidad]],VENTAS[[#This Row],[Total]])</f>
        <v>27.49</v>
      </c>
      <c r="L602" s="35">
        <f>VENTAS[[#This Row],[Total]]-VENTAS[[#This Row],[Comisión 10%]]-VENTAS[[#This Row],[Costo SIN Comision]]</f>
        <v>15.51</v>
      </c>
      <c r="M602" s="35"/>
    </row>
    <row r="603" ht="20" customHeight="1" spans="1:13">
      <c r="A603" s="29" t="s">
        <v>3452</v>
      </c>
      <c r="B603" s="30" t="str">
        <f>IFERROR(VLOOKUP(VENTAS[[#This Row],[Código del producto Vendido]],STOCK[],25,FALSE),"-")</f>
        <v>COMPRA F21</v>
      </c>
      <c r="C603" s="30"/>
      <c r="D603" s="30"/>
      <c r="E603" s="30" t="s">
        <v>1447</v>
      </c>
      <c r="F603" s="34" t="str">
        <f>IFERROR(VLOOKUP(VENTAS[[#This Row],[Código del producto Vendido]],STOCK[],5,FALSE),"-")</f>
        <v>Mocasín con herrajes</v>
      </c>
      <c r="G603" s="34">
        <v>1</v>
      </c>
      <c r="H603" s="35">
        <v>43</v>
      </c>
      <c r="I603" s="35">
        <f>VENTAS[[#This Row],[Cantidad]]*VENTAS[[#This Row],[Precio Venta]]</f>
        <v>43</v>
      </c>
      <c r="J603" s="35">
        <f>IF(VENTAS[[#This Row],[Nombre del Gestor]]&gt;1,VENTAS[[#This Row],[Total]]*10%,0)</f>
        <v>0</v>
      </c>
      <c r="K603" s="35">
        <f>IFERROR(VLOOKUP(VENTAS[[#This Row],[Código del producto Vendido]],STOCK[],16,FALSE)*VENTAS[[#This Row],[Cantidad]]+VLOOKUP(VENTAS[[#This Row],[Código del producto Vendido]],STOCK[],19,FALSE)*VENTAS[[#This Row],[Cantidad]],VENTAS[[#This Row],[Total]])</f>
        <v>27.49</v>
      </c>
      <c r="L603" s="35">
        <f>VENTAS[[#This Row],[Total]]-VENTAS[[#This Row],[Comisión 10%]]-VENTAS[[#This Row],[Costo SIN Comision]]</f>
        <v>15.51</v>
      </c>
      <c r="M603" s="35"/>
    </row>
    <row r="604" ht="20" customHeight="1" spans="1:13">
      <c r="A604" s="29" t="s">
        <v>3452</v>
      </c>
      <c r="B604" s="30" t="str">
        <f>IFERROR(VLOOKUP(VENTAS[[#This Row],[Código del producto Vendido]],STOCK[],25,FALSE),"-")</f>
        <v>COMPRA F21</v>
      </c>
      <c r="C604" s="30"/>
      <c r="D604" s="30"/>
      <c r="E604" s="30" t="s">
        <v>1448</v>
      </c>
      <c r="F604" s="34" t="str">
        <f>IFERROR(VLOOKUP(VENTAS[[#This Row],[Código del producto Vendido]],STOCK[],5,FALSE),"-")</f>
        <v>Sandalias minimalistas de plataforma</v>
      </c>
      <c r="G604" s="34">
        <v>1</v>
      </c>
      <c r="H604" s="35">
        <v>30</v>
      </c>
      <c r="I604" s="35">
        <f>VENTAS[[#This Row],[Cantidad]]*VENTAS[[#This Row],[Precio Venta]]</f>
        <v>30</v>
      </c>
      <c r="J604" s="35">
        <f>IF(VENTAS[[#This Row],[Nombre del Gestor]]&gt;1,VENTAS[[#This Row],[Total]]*10%,0)</f>
        <v>0</v>
      </c>
      <c r="K604" s="35">
        <f>IFERROR(VLOOKUP(VENTAS[[#This Row],[Código del producto Vendido]],STOCK[],16,FALSE)*VENTAS[[#This Row],[Cantidad]]+VLOOKUP(VENTAS[[#This Row],[Código del producto Vendido]],STOCK[],19,FALSE)*VENTAS[[#This Row],[Cantidad]],VENTAS[[#This Row],[Total]])</f>
        <v>22.49</v>
      </c>
      <c r="L604" s="35">
        <f>VENTAS[[#This Row],[Total]]-VENTAS[[#This Row],[Comisión 10%]]-VENTAS[[#This Row],[Costo SIN Comision]]</f>
        <v>7.51</v>
      </c>
      <c r="M604" s="35"/>
    </row>
    <row r="605" ht="20" customHeight="1" spans="1:13">
      <c r="A605" s="29" t="s">
        <v>3452</v>
      </c>
      <c r="B605" s="30">
        <f>IFERROR(VLOOKUP(VENTAS[[#This Row],[Código del producto Vendido]],STOCK[],25,FALSE),"-")</f>
        <v>0</v>
      </c>
      <c r="C605" s="30"/>
      <c r="D605" s="30"/>
      <c r="E605" s="30" t="s">
        <v>750</v>
      </c>
      <c r="F605" s="34" t="str">
        <f>IFERROR(VLOOKUP(VENTAS[[#This Row],[Código del producto Vendido]],STOCK[],5,FALSE),"-")</f>
        <v>Sandalias trenzadas</v>
      </c>
      <c r="G605" s="34">
        <v>1</v>
      </c>
      <c r="H605" s="35">
        <v>35</v>
      </c>
      <c r="I605" s="35">
        <f>VENTAS[[#This Row],[Cantidad]]*VENTAS[[#This Row],[Precio Venta]]</f>
        <v>35</v>
      </c>
      <c r="J605" s="35">
        <f>IF(VENTAS[[#This Row],[Nombre del Gestor]]&gt;1,VENTAS[[#This Row],[Total]]*10%,0)</f>
        <v>0</v>
      </c>
      <c r="K605" s="35">
        <f>IFERROR(VLOOKUP(VENTAS[[#This Row],[Código del producto Vendido]],STOCK[],16,FALSE)*VENTAS[[#This Row],[Cantidad]]+VLOOKUP(VENTAS[[#This Row],[Código del producto Vendido]],STOCK[],19,FALSE)*VENTAS[[#This Row],[Cantidad]],VENTAS[[#This Row],[Total]])</f>
        <v>27</v>
      </c>
      <c r="L605" s="35">
        <f>VENTAS[[#This Row],[Total]]-VENTAS[[#This Row],[Comisión 10%]]-VENTAS[[#This Row],[Costo SIN Comision]]</f>
        <v>8</v>
      </c>
      <c r="M605" s="35"/>
    </row>
    <row r="606" ht="20" customHeight="1" spans="1:13">
      <c r="A606" s="29" t="s">
        <v>3452</v>
      </c>
      <c r="B606" s="30">
        <f>IFERROR(VLOOKUP(VENTAS[[#This Row],[Código del producto Vendido]],STOCK[],25,FALSE),"-")</f>
        <v>0</v>
      </c>
      <c r="C606" s="30"/>
      <c r="D606" s="30"/>
      <c r="E606" s="30" t="s">
        <v>726</v>
      </c>
      <c r="F606" s="34" t="str">
        <f>IFERROR(VLOOKUP(VENTAS[[#This Row],[Código del producto Vendido]],STOCK[],5,FALSE),"-")</f>
        <v>Top acanalado sin mangas</v>
      </c>
      <c r="G606" s="34">
        <v>1</v>
      </c>
      <c r="H606" s="35">
        <v>10</v>
      </c>
      <c r="I606" s="35">
        <f>VENTAS[[#This Row],[Cantidad]]*VENTAS[[#This Row],[Precio Venta]]</f>
        <v>10</v>
      </c>
      <c r="J606" s="35">
        <f>IF(VENTAS[[#This Row],[Nombre del Gestor]]&gt;1,VENTAS[[#This Row],[Total]]*10%,0)</f>
        <v>0</v>
      </c>
      <c r="K606" s="35">
        <f>IFERROR(VLOOKUP(VENTAS[[#This Row],[Código del producto Vendido]],STOCK[],16,FALSE)*VENTAS[[#This Row],[Cantidad]]+VLOOKUP(VENTAS[[#This Row],[Código del producto Vendido]],STOCK[],19,FALSE)*VENTAS[[#This Row],[Cantidad]],VENTAS[[#This Row],[Total]])</f>
        <v>5.02222222222222</v>
      </c>
      <c r="L606" s="35">
        <f>VENTAS[[#This Row],[Total]]-VENTAS[[#This Row],[Comisión 10%]]-VENTAS[[#This Row],[Costo SIN Comision]]</f>
        <v>4.97777777777778</v>
      </c>
      <c r="M606" s="35"/>
    </row>
    <row r="607" ht="20" customHeight="1" spans="1:13">
      <c r="A607" s="29" t="s">
        <v>3452</v>
      </c>
      <c r="B607" s="30" t="str">
        <f>IFERROR(VLOOKUP(VENTAS[[#This Row],[Código del producto Vendido]],STOCK[],25,FALSE),"-")</f>
        <v>-</v>
      </c>
      <c r="C607" s="30"/>
      <c r="D607" s="30"/>
      <c r="E607" s="30" t="s">
        <v>3454</v>
      </c>
      <c r="F607" s="34" t="str">
        <f>IFERROR(VLOOKUP(VENTAS[[#This Row],[Código del producto Vendido]],STOCK[],5,FALSE),"-")</f>
        <v>-</v>
      </c>
      <c r="G607" s="34">
        <v>1</v>
      </c>
      <c r="H607" s="35">
        <v>23</v>
      </c>
      <c r="I607" s="35">
        <f>VENTAS[[#This Row],[Cantidad]]*VENTAS[[#This Row],[Precio Venta]]</f>
        <v>23</v>
      </c>
      <c r="J607" s="35">
        <f>IF(VENTAS[[#This Row],[Nombre del Gestor]]&gt;1,VENTAS[[#This Row],[Total]]*10%,0)</f>
        <v>0</v>
      </c>
      <c r="K607" s="35">
        <f>IFERROR(VLOOKUP(VENTAS[[#This Row],[Código del producto Vendido]],STOCK[],16,FALSE)*VENTAS[[#This Row],[Cantidad]]+VLOOKUP(VENTAS[[#This Row],[Código del producto Vendido]],STOCK[],19,FALSE)*VENTAS[[#This Row],[Cantidad]],VENTAS[[#This Row],[Total]])</f>
        <v>23</v>
      </c>
      <c r="L607" s="35">
        <f>VENTAS[[#This Row],[Total]]-VENTAS[[#This Row],[Comisión 10%]]-VENTAS[[#This Row],[Costo SIN Comision]]</f>
        <v>0</v>
      </c>
      <c r="M607" s="35"/>
    </row>
    <row r="608" ht="20" customHeight="1" spans="1:13">
      <c r="A608" s="29" t="s">
        <v>3452</v>
      </c>
      <c r="B608" s="30">
        <f>IFERROR(VLOOKUP(VENTAS[[#This Row],[Código del producto Vendido]],STOCK[],25,FALSE),"-")</f>
        <v>0</v>
      </c>
      <c r="C608" s="30"/>
      <c r="D608" s="30"/>
      <c r="E608" s="30" t="s">
        <v>1554</v>
      </c>
      <c r="F608" s="34" t="str">
        <f>IFERROR(VLOOKUP(VENTAS[[#This Row],[Código del producto Vendido]],STOCK[],5,FALSE),"-")</f>
        <v>Botas Chalsesa</v>
      </c>
      <c r="G608" s="34">
        <v>1</v>
      </c>
      <c r="H608" s="35">
        <v>90</v>
      </c>
      <c r="I608" s="35">
        <f>VENTAS[[#This Row],[Cantidad]]*VENTAS[[#This Row],[Precio Venta]]</f>
        <v>90</v>
      </c>
      <c r="J608" s="35">
        <f>IF(VENTAS[[#This Row],[Nombre del Gestor]]&gt;1,VENTAS[[#This Row],[Total]]*10%,0)</f>
        <v>0</v>
      </c>
      <c r="K608" s="35">
        <f>IFERROR(VLOOKUP(VENTAS[[#This Row],[Código del producto Vendido]],STOCK[],16,FALSE)*VENTAS[[#This Row],[Cantidad]]+VLOOKUP(VENTAS[[#This Row],[Código del producto Vendido]],STOCK[],19,FALSE)*VENTAS[[#This Row],[Cantidad]],VENTAS[[#This Row],[Total]])</f>
        <v>78</v>
      </c>
      <c r="L608" s="35">
        <f>VENTAS[[#This Row],[Total]]-VENTAS[[#This Row],[Comisión 10%]]-VENTAS[[#This Row],[Costo SIN Comision]]</f>
        <v>12</v>
      </c>
      <c r="M608" s="35"/>
    </row>
    <row r="609" ht="20" customHeight="1" spans="1:13">
      <c r="A609" s="29" t="s">
        <v>3452</v>
      </c>
      <c r="B609" s="30">
        <f>IFERROR(VLOOKUP(VENTAS[[#This Row],[Código del producto Vendido]],STOCK[],25,FALSE),"-")</f>
        <v>0</v>
      </c>
      <c r="C609" s="30"/>
      <c r="D609" s="30"/>
      <c r="E609" s="30" t="s">
        <v>1566</v>
      </c>
      <c r="F609" s="34" t="str">
        <f>IFERROR(VLOOKUP(VENTAS[[#This Row],[Código del producto Vendido]],STOCK[],5,FALSE),"-")</f>
        <v>Blazer azul Rey</v>
      </c>
      <c r="G609" s="34">
        <v>1</v>
      </c>
      <c r="H609" s="35">
        <v>40</v>
      </c>
      <c r="I609" s="35">
        <f>VENTAS[[#This Row],[Cantidad]]*VENTAS[[#This Row],[Precio Venta]]</f>
        <v>40</v>
      </c>
      <c r="J609" s="35">
        <f>IF(VENTAS[[#This Row],[Nombre del Gestor]]&gt;1,VENTAS[[#This Row],[Total]]*10%,0)</f>
        <v>0</v>
      </c>
      <c r="K609" s="35">
        <f>IFERROR(VLOOKUP(VENTAS[[#This Row],[Código del producto Vendido]],STOCK[],16,FALSE)*VENTAS[[#This Row],[Cantidad]]+VLOOKUP(VENTAS[[#This Row],[Código del producto Vendido]],STOCK[],19,FALSE)*VENTAS[[#This Row],[Cantidad]],VENTAS[[#This Row],[Total]])</f>
        <v>20</v>
      </c>
      <c r="L609" s="35">
        <f>VENTAS[[#This Row],[Total]]-VENTAS[[#This Row],[Comisión 10%]]-VENTAS[[#This Row],[Costo SIN Comision]]</f>
        <v>20</v>
      </c>
      <c r="M609" s="35"/>
    </row>
    <row r="610" ht="20" customHeight="1" spans="1:13">
      <c r="A610" s="29" t="s">
        <v>3452</v>
      </c>
      <c r="B610" s="30">
        <f>IFERROR(VLOOKUP(VENTAS[[#This Row],[Código del producto Vendido]],STOCK[],25,FALSE),"-")</f>
        <v>0</v>
      </c>
      <c r="C610" s="30"/>
      <c r="D610" s="30"/>
      <c r="E610" s="30" t="s">
        <v>726</v>
      </c>
      <c r="F610" s="34" t="str">
        <f>IFERROR(VLOOKUP(VENTAS[[#This Row],[Código del producto Vendido]],STOCK[],5,FALSE),"-")</f>
        <v>Top acanalado sin mangas</v>
      </c>
      <c r="G610" s="34">
        <v>1</v>
      </c>
      <c r="H610" s="35">
        <v>10</v>
      </c>
      <c r="I610" s="35">
        <f>VENTAS[[#This Row],[Cantidad]]*VENTAS[[#This Row],[Precio Venta]]</f>
        <v>10</v>
      </c>
      <c r="J610" s="35">
        <f>IF(VENTAS[[#This Row],[Nombre del Gestor]]&gt;1,VENTAS[[#This Row],[Total]]*10%,0)</f>
        <v>0</v>
      </c>
      <c r="K610" s="35">
        <f>IFERROR(VLOOKUP(VENTAS[[#This Row],[Código del producto Vendido]],STOCK[],16,FALSE)*VENTAS[[#This Row],[Cantidad]]+VLOOKUP(VENTAS[[#This Row],[Código del producto Vendido]],STOCK[],19,FALSE)*VENTAS[[#This Row],[Cantidad]],VENTAS[[#This Row],[Total]])</f>
        <v>5.02222222222222</v>
      </c>
      <c r="L610" s="35">
        <f>VENTAS[[#This Row],[Total]]-VENTAS[[#This Row],[Comisión 10%]]-VENTAS[[#This Row],[Costo SIN Comision]]</f>
        <v>4.97777777777778</v>
      </c>
      <c r="M610" s="35"/>
    </row>
    <row r="611" ht="20" customHeight="1" spans="1:13">
      <c r="A611" s="29" t="s">
        <v>3455</v>
      </c>
      <c r="B611" s="30">
        <f>IFERROR(VLOOKUP(VENTAS[[#This Row],[Código del producto Vendido]],STOCK[],25,FALSE),"-")</f>
        <v>0</v>
      </c>
      <c r="C611" s="30"/>
      <c r="D611" s="30"/>
      <c r="E611" s="30" t="s">
        <v>361</v>
      </c>
      <c r="F611" s="34" t="str">
        <f>IFERROR(VLOOKUP(VENTAS[[#This Row],[Código del producto Vendido]],STOCK[],5,FALSE),"-")</f>
        <v>Pantalones tejido de rayas </v>
      </c>
      <c r="G611" s="34">
        <v>1</v>
      </c>
      <c r="H611" s="35">
        <v>30</v>
      </c>
      <c r="I611" s="35">
        <f>VENTAS[[#This Row],[Cantidad]]*VENTAS[[#This Row],[Precio Venta]]</f>
        <v>30</v>
      </c>
      <c r="J611" s="35">
        <f>IF(VENTAS[[#This Row],[Nombre del Gestor]]&gt;1,VENTAS[[#This Row],[Total]]*10%,0)</f>
        <v>0</v>
      </c>
      <c r="K611" s="35">
        <f>IFERROR(VLOOKUP(VENTAS[[#This Row],[Código del producto Vendido]],STOCK[],16,FALSE)*VENTAS[[#This Row],[Cantidad]]+VLOOKUP(VENTAS[[#This Row],[Código del producto Vendido]],STOCK[],19,FALSE)*VENTAS[[#This Row],[Cantidad]],VENTAS[[#This Row],[Total]])</f>
        <v>12.8833333333333</v>
      </c>
      <c r="L611" s="35">
        <f>VENTAS[[#This Row],[Total]]-VENTAS[[#This Row],[Comisión 10%]]-VENTAS[[#This Row],[Costo SIN Comision]]</f>
        <v>17.1166666666667</v>
      </c>
      <c r="M611" s="35"/>
    </row>
    <row r="612" ht="20" customHeight="1" spans="1:13">
      <c r="A612" s="29" t="s">
        <v>3455</v>
      </c>
      <c r="B612" s="30">
        <f>IFERROR(VLOOKUP(VENTAS[[#This Row],[Código del producto Vendido]],STOCK[],25,FALSE),"-")</f>
        <v>0</v>
      </c>
      <c r="C612" s="30"/>
      <c r="D612" s="30" t="s">
        <v>3456</v>
      </c>
      <c r="E612" s="30" t="s">
        <v>153</v>
      </c>
      <c r="F612" s="34" t="str">
        <f>IFERROR(VLOOKUP(VENTAS[[#This Row],[Código del producto Vendido]],STOCK[],5,FALSE),"-")</f>
        <v>Jeans de pierna recta desgarro</v>
      </c>
      <c r="G612" s="34">
        <v>1</v>
      </c>
      <c r="H612" s="35">
        <v>30</v>
      </c>
      <c r="I612" s="35">
        <f>VENTAS[[#This Row],[Cantidad]]*VENTAS[[#This Row],[Precio Venta]]</f>
        <v>30</v>
      </c>
      <c r="J612" s="35">
        <f>IF(VENTAS[[#This Row],[Nombre del Gestor]]&gt;1,VENTAS[[#This Row],[Total]]*10%,0)</f>
        <v>3</v>
      </c>
      <c r="K612" s="35">
        <f>IFERROR(VLOOKUP(VENTAS[[#This Row],[Código del producto Vendido]],STOCK[],16,FALSE)*VENTAS[[#This Row],[Cantidad]]+VLOOKUP(VENTAS[[#This Row],[Código del producto Vendido]],STOCK[],19,FALSE)*VENTAS[[#This Row],[Cantidad]],VENTAS[[#This Row],[Total]])</f>
        <v>18.6866666666667</v>
      </c>
      <c r="L612" s="35">
        <f>VENTAS[[#This Row],[Total]]-VENTAS[[#This Row],[Comisión 10%]]-VENTAS[[#This Row],[Costo SIN Comision]]</f>
        <v>8.31333333333333</v>
      </c>
      <c r="M612" s="35"/>
    </row>
    <row r="613" ht="20" customHeight="1" spans="1:13">
      <c r="A613" s="29" t="s">
        <v>3455</v>
      </c>
      <c r="B613" s="30">
        <f>IFERROR(VLOOKUP(VENTAS[[#This Row],[Código del producto Vendido]],STOCK[],25,FALSE),"-")</f>
        <v>0</v>
      </c>
      <c r="C613" s="30"/>
      <c r="D613" s="30"/>
      <c r="E613" s="30" t="s">
        <v>153</v>
      </c>
      <c r="F613" s="34" t="str">
        <f>IFERROR(VLOOKUP(VENTAS[[#This Row],[Código del producto Vendido]],STOCK[],5,FALSE),"-")</f>
        <v>Jeans de pierna recta desgarro</v>
      </c>
      <c r="G613" s="34">
        <v>1</v>
      </c>
      <c r="H613" s="35">
        <v>30</v>
      </c>
      <c r="I613" s="35">
        <f>VENTAS[[#This Row],[Cantidad]]*VENTAS[[#This Row],[Precio Venta]]</f>
        <v>30</v>
      </c>
      <c r="J613" s="35">
        <f>IF(VENTAS[[#This Row],[Nombre del Gestor]]&gt;1,VENTAS[[#This Row],[Total]]*10%,0)</f>
        <v>0</v>
      </c>
      <c r="K613" s="35">
        <f>IFERROR(VLOOKUP(VENTAS[[#This Row],[Código del producto Vendido]],STOCK[],16,FALSE)*VENTAS[[#This Row],[Cantidad]]+VLOOKUP(VENTAS[[#This Row],[Código del producto Vendido]],STOCK[],19,FALSE)*VENTAS[[#This Row],[Cantidad]],VENTAS[[#This Row],[Total]])</f>
        <v>18.6866666666667</v>
      </c>
      <c r="L613" s="35">
        <f>VENTAS[[#This Row],[Total]]-VENTAS[[#This Row],[Comisión 10%]]-VENTAS[[#This Row],[Costo SIN Comision]]</f>
        <v>11.3133333333333</v>
      </c>
      <c r="M613" s="35"/>
    </row>
    <row r="614" ht="20" customHeight="1" spans="1:13">
      <c r="A614" s="29" t="s">
        <v>3455</v>
      </c>
      <c r="B614" s="30" t="str">
        <f>IFERROR(VLOOKUP(VENTAS[[#This Row],[Código del producto Vendido]],STOCK[],25,FALSE),"-")</f>
        <v>Yenma 19 Mayo</v>
      </c>
      <c r="C614" s="30"/>
      <c r="D614" s="30" t="s">
        <v>3456</v>
      </c>
      <c r="E614" s="30" t="s">
        <v>263</v>
      </c>
      <c r="F614" s="34" t="str">
        <f>IFERROR(VLOOKUP(VENTAS[[#This Row],[Código del producto Vendido]],STOCK[],5,FALSE),"-")</f>
        <v>Blusas Botón Floral Casual</v>
      </c>
      <c r="G614" s="34">
        <v>1</v>
      </c>
      <c r="H614" s="35">
        <v>14</v>
      </c>
      <c r="I614" s="35">
        <f>VENTAS[[#This Row],[Cantidad]]*VENTAS[[#This Row],[Precio Venta]]</f>
        <v>14</v>
      </c>
      <c r="J614" s="35">
        <f>IF(VENTAS[[#This Row],[Nombre del Gestor]]&gt;1,VENTAS[[#This Row],[Total]]*10%,0)</f>
        <v>1.4</v>
      </c>
      <c r="K614" s="35">
        <f>IFERROR(VLOOKUP(VENTAS[[#This Row],[Código del producto Vendido]],STOCK[],16,FALSE)*VENTAS[[#This Row],[Cantidad]]+VLOOKUP(VENTAS[[#This Row],[Código del producto Vendido]],STOCK[],19,FALSE)*VENTAS[[#This Row],[Cantidad]],VENTAS[[#This Row],[Total]])</f>
        <v>8.26222222222222</v>
      </c>
      <c r="L614" s="35">
        <f>VENTAS[[#This Row],[Total]]-VENTAS[[#This Row],[Comisión 10%]]-VENTAS[[#This Row],[Costo SIN Comision]]</f>
        <v>4.33777777777778</v>
      </c>
      <c r="M614" s="35"/>
    </row>
    <row r="615" ht="20" customHeight="1" spans="1:13">
      <c r="A615" s="29" t="s">
        <v>3455</v>
      </c>
      <c r="B615" s="30" t="str">
        <f>IFERROR(VLOOKUP(VENTAS[[#This Row],[Código del producto Vendido]],STOCK[],25,FALSE),"-")</f>
        <v>Recibido Freddy 12Mayo</v>
      </c>
      <c r="C615" s="30"/>
      <c r="D615" s="30"/>
      <c r="E615" s="30" t="s">
        <v>902</v>
      </c>
      <c r="F615" s="34" t="str">
        <f>IFERROR(VLOOKUP(VENTAS[[#This Row],[Código del producto Vendido]],STOCK[],5,FALSE),"-")</f>
        <v>Maxi Vestido Fruncido</v>
      </c>
      <c r="G615" s="34">
        <v>1</v>
      </c>
      <c r="H615" s="35">
        <v>35</v>
      </c>
      <c r="I615" s="35">
        <f>VENTAS[[#This Row],[Cantidad]]*VENTAS[[#This Row],[Precio Venta]]</f>
        <v>35</v>
      </c>
      <c r="J615" s="35">
        <f>IF(VENTAS[[#This Row],[Nombre del Gestor]]&gt;1,VENTAS[[#This Row],[Total]]*10%,0)</f>
        <v>0</v>
      </c>
      <c r="K615" s="35">
        <f>IFERROR(VLOOKUP(VENTAS[[#This Row],[Código del producto Vendido]],STOCK[],16,FALSE)*VENTAS[[#This Row],[Cantidad]]+VLOOKUP(VENTAS[[#This Row],[Código del producto Vendido]],STOCK[],19,FALSE)*VENTAS[[#This Row],[Cantidad]],VENTAS[[#This Row],[Total]])</f>
        <v>21.4563636363636</v>
      </c>
      <c r="L615" s="35">
        <f>VENTAS[[#This Row],[Total]]-VENTAS[[#This Row],[Comisión 10%]]-VENTAS[[#This Row],[Costo SIN Comision]]</f>
        <v>13.5436363636364</v>
      </c>
      <c r="M615" s="35"/>
    </row>
    <row r="616" ht="20" customHeight="1" spans="1:13">
      <c r="A616" s="29" t="s">
        <v>3455</v>
      </c>
      <c r="B616" s="30">
        <f>IFERROR(VLOOKUP(VENTAS[[#This Row],[Código del producto Vendido]],STOCK[],25,FALSE),"-")</f>
        <v>0</v>
      </c>
      <c r="C616" s="30"/>
      <c r="D616" s="30"/>
      <c r="E616" s="30" t="s">
        <v>962</v>
      </c>
      <c r="F616" s="34" t="str">
        <f>IFERROR(VLOOKUP(VENTAS[[#This Row],[Código del producto Vendido]],STOCK[],5,FALSE),"-")</f>
        <v>Pantalón business básico</v>
      </c>
      <c r="G616" s="34">
        <v>1</v>
      </c>
      <c r="H616" s="35">
        <v>28</v>
      </c>
      <c r="I616" s="35">
        <f>VENTAS[[#This Row],[Cantidad]]*VENTAS[[#This Row],[Precio Venta]]</f>
        <v>28</v>
      </c>
      <c r="J616" s="35">
        <f>IF(VENTAS[[#This Row],[Nombre del Gestor]]&gt;1,VENTAS[[#This Row],[Total]]*10%,0)</f>
        <v>0</v>
      </c>
      <c r="K616" s="35">
        <f>IFERROR(VLOOKUP(VENTAS[[#This Row],[Código del producto Vendido]],STOCK[],16,FALSE)*VENTAS[[#This Row],[Cantidad]]+VLOOKUP(VENTAS[[#This Row],[Código del producto Vendido]],STOCK[],19,FALSE)*VENTAS[[#This Row],[Cantidad]],VENTAS[[#This Row],[Total]])</f>
        <v>21.3722727272727</v>
      </c>
      <c r="L616" s="35">
        <f>VENTAS[[#This Row],[Total]]-VENTAS[[#This Row],[Comisión 10%]]-VENTAS[[#This Row],[Costo SIN Comision]]</f>
        <v>6.6277272727273</v>
      </c>
      <c r="M616" s="35"/>
    </row>
    <row r="617" ht="20" customHeight="1" spans="1:13">
      <c r="A617" s="29" t="s">
        <v>3455</v>
      </c>
      <c r="B617" s="30" t="str">
        <f>IFERROR(VLOOKUP(VENTAS[[#This Row],[Código del producto Vendido]],STOCK[],25,FALSE),"-")</f>
        <v>Recibido Freddy 12 junio</v>
      </c>
      <c r="C617" s="30"/>
      <c r="D617" s="30"/>
      <c r="E617" s="30" t="s">
        <v>1083</v>
      </c>
      <c r="F617" s="34" t="str">
        <f>IFERROR(VLOOKUP(VENTAS[[#This Row],[Código del producto Vendido]],STOCK[],5,FALSE),"-")</f>
        <v>Camisero blanco con pinzas</v>
      </c>
      <c r="G617" s="34">
        <v>1</v>
      </c>
      <c r="H617" s="35">
        <v>25</v>
      </c>
      <c r="I617" s="35">
        <f>VENTAS[[#This Row],[Cantidad]]*VENTAS[[#This Row],[Precio Venta]]</f>
        <v>25</v>
      </c>
      <c r="J617" s="35">
        <f>IF(VENTAS[[#This Row],[Nombre del Gestor]]&gt;1,VENTAS[[#This Row],[Total]]*10%,0)</f>
        <v>0</v>
      </c>
      <c r="K617" s="35">
        <f>IFERROR(VLOOKUP(VENTAS[[#This Row],[Código del producto Vendido]],STOCK[],16,FALSE)*VENTAS[[#This Row],[Cantidad]]+VLOOKUP(VENTAS[[#This Row],[Código del producto Vendido]],STOCK[],19,FALSE)*VENTAS[[#This Row],[Cantidad]],VENTAS[[#This Row],[Total]])</f>
        <v>16.8</v>
      </c>
      <c r="L617" s="35">
        <f>VENTAS[[#This Row],[Total]]-VENTAS[[#This Row],[Comisión 10%]]-VENTAS[[#This Row],[Costo SIN Comision]]</f>
        <v>8.2</v>
      </c>
      <c r="M617" s="35"/>
    </row>
    <row r="618" ht="20" customHeight="1" spans="1:13">
      <c r="A618" s="29" t="s">
        <v>3455</v>
      </c>
      <c r="B618" s="30" t="str">
        <f>IFERROR(VLOOKUP(VENTAS[[#This Row],[Código del producto Vendido]],STOCK[],25,FALSE),"-")</f>
        <v>Viaje Agosto</v>
      </c>
      <c r="C618" s="30"/>
      <c r="D618" s="30"/>
      <c r="E618" s="30" t="s">
        <v>1209</v>
      </c>
      <c r="F618" s="34" t="str">
        <f>IFERROR(VLOOKUP(VENTAS[[#This Row],[Código del producto Vendido]],STOCK[],5,FALSE),"-")</f>
        <v>Falda negra con flores y abertura</v>
      </c>
      <c r="G618" s="34">
        <v>1</v>
      </c>
      <c r="H618" s="35">
        <v>19</v>
      </c>
      <c r="I618" s="35">
        <f>VENTAS[[#This Row],[Cantidad]]*VENTAS[[#This Row],[Precio Venta]]</f>
        <v>19</v>
      </c>
      <c r="J618" s="35">
        <f>IF(VENTAS[[#This Row],[Nombre del Gestor]]&gt;1,VENTAS[[#This Row],[Total]]*10%,0)</f>
        <v>0</v>
      </c>
      <c r="K618" s="35">
        <f>IFERROR(VLOOKUP(VENTAS[[#This Row],[Código del producto Vendido]],STOCK[],16,FALSE)*VENTAS[[#This Row],[Cantidad]]+VLOOKUP(VENTAS[[#This Row],[Código del producto Vendido]],STOCK[],19,FALSE)*VENTAS[[#This Row],[Cantidad]],VENTAS[[#This Row],[Total]])</f>
        <v>10.77</v>
      </c>
      <c r="L618" s="35">
        <f>VENTAS[[#This Row],[Total]]-VENTAS[[#This Row],[Comisión 10%]]-VENTAS[[#This Row],[Costo SIN Comision]]</f>
        <v>8.23</v>
      </c>
      <c r="M618" s="35"/>
    </row>
    <row r="619" ht="20" customHeight="1" spans="1:13">
      <c r="A619" s="29" t="s">
        <v>3455</v>
      </c>
      <c r="B619" s="30" t="str">
        <f>IFERROR(VLOOKUP(VENTAS[[#This Row],[Código del producto Vendido]],STOCK[],25,FALSE),"-")</f>
        <v>Recibido Freddy 24Mayo</v>
      </c>
      <c r="C619" s="30"/>
      <c r="D619" s="30"/>
      <c r="E619" s="30" t="s">
        <v>1017</v>
      </c>
      <c r="F619" s="34" t="str">
        <f>IFERROR(VLOOKUP(VENTAS[[#This Row],[Código del producto Vendido]],STOCK[],5,FALSE),"-")</f>
        <v>Top Dreamer Negro</v>
      </c>
      <c r="G619" s="34">
        <v>1</v>
      </c>
      <c r="H619" s="35">
        <v>12</v>
      </c>
      <c r="I619" s="35">
        <f>VENTAS[[#This Row],[Cantidad]]*VENTAS[[#This Row],[Precio Venta]]</f>
        <v>12</v>
      </c>
      <c r="J619" s="35">
        <f>IF(VENTAS[[#This Row],[Nombre del Gestor]]&gt;1,VENTAS[[#This Row],[Total]]*10%,0)</f>
        <v>0</v>
      </c>
      <c r="K619" s="35">
        <f>IFERROR(VLOOKUP(VENTAS[[#This Row],[Código del producto Vendido]],STOCK[],16,FALSE)*VENTAS[[#This Row],[Cantidad]]+VLOOKUP(VENTAS[[#This Row],[Código del producto Vendido]],STOCK[],19,FALSE)*VENTAS[[#This Row],[Cantidad]],VENTAS[[#This Row],[Total]])</f>
        <v>7.15681818181818</v>
      </c>
      <c r="L619" s="35">
        <f>VENTAS[[#This Row],[Total]]-VENTAS[[#This Row],[Comisión 10%]]-VENTAS[[#This Row],[Costo SIN Comision]]</f>
        <v>4.84318181818182</v>
      </c>
      <c r="M619" s="35"/>
    </row>
    <row r="620" ht="20" customHeight="1" spans="1:13">
      <c r="A620" s="29" t="s">
        <v>3455</v>
      </c>
      <c r="B620" s="30" t="str">
        <f>IFERROR(VLOOKUP(VENTAS[[#This Row],[Código del producto Vendido]],STOCK[],25,FALSE),"-")</f>
        <v>Viaje Agosto</v>
      </c>
      <c r="C620" s="30"/>
      <c r="D620" s="30"/>
      <c r="E620" s="30" t="s">
        <v>1262</v>
      </c>
      <c r="F620" s="34" t="str">
        <f>IFERROR(VLOOKUP(VENTAS[[#This Row],[Código del producto Vendido]],STOCK[],5,FALSE),"-")</f>
        <v>Maxi vestido playero naranja quemada</v>
      </c>
      <c r="G620" s="34">
        <v>2</v>
      </c>
      <c r="H620" s="35">
        <v>35</v>
      </c>
      <c r="I620" s="35">
        <f>VENTAS[[#This Row],[Cantidad]]*VENTAS[[#This Row],[Precio Venta]]</f>
        <v>70</v>
      </c>
      <c r="J620" s="35">
        <f>IF(VENTAS[[#This Row],[Nombre del Gestor]]&gt;1,VENTAS[[#This Row],[Total]]*10%,0)</f>
        <v>0</v>
      </c>
      <c r="K620" s="35">
        <f>IFERROR(VLOOKUP(VENTAS[[#This Row],[Código del producto Vendido]],STOCK[],16,FALSE)*VENTAS[[#This Row],[Cantidad]]+VLOOKUP(VENTAS[[#This Row],[Código del producto Vendido]],STOCK[],19,FALSE)*VENTAS[[#This Row],[Cantidad]],VENTAS[[#This Row],[Total]])</f>
        <v>47.9</v>
      </c>
      <c r="L620" s="35">
        <f>VENTAS[[#This Row],[Total]]-VENTAS[[#This Row],[Comisión 10%]]-VENTAS[[#This Row],[Costo SIN Comision]]</f>
        <v>22.1</v>
      </c>
      <c r="M620" s="35"/>
    </row>
    <row r="621" ht="20" customHeight="1" spans="1:13">
      <c r="A621" s="29" t="s">
        <v>3455</v>
      </c>
      <c r="B621" s="30">
        <f>IFERROR(VLOOKUP(VENTAS[[#This Row],[Código del producto Vendido]],STOCK[],25,FALSE),"-")</f>
        <v>0</v>
      </c>
      <c r="C621" s="30"/>
      <c r="D621" s="30"/>
      <c r="E621" s="30" t="s">
        <v>1313</v>
      </c>
      <c r="F621" s="34" t="str">
        <f>IFERROR(VLOOKUP(VENTAS[[#This Row],[Código del producto Vendido]],STOCK[],5,FALSE),"-")</f>
        <v>Blazer Crema</v>
      </c>
      <c r="G621" s="34">
        <v>1</v>
      </c>
      <c r="H621" s="35">
        <v>40</v>
      </c>
      <c r="I621" s="35">
        <f>VENTAS[[#This Row],[Cantidad]]*VENTAS[[#This Row],[Precio Venta]]</f>
        <v>40</v>
      </c>
      <c r="J621" s="35">
        <f>IF(VENTAS[[#This Row],[Nombre del Gestor]]&gt;1,VENTAS[[#This Row],[Total]]*10%,0)</f>
        <v>0</v>
      </c>
      <c r="K621" s="35">
        <f>IFERROR(VLOOKUP(VENTAS[[#This Row],[Código del producto Vendido]],STOCK[],16,FALSE)*VENTAS[[#This Row],[Cantidad]]+VLOOKUP(VENTAS[[#This Row],[Código del producto Vendido]],STOCK[],19,FALSE)*VENTAS[[#This Row],[Cantidad]],VENTAS[[#This Row],[Total]])</f>
        <v>30</v>
      </c>
      <c r="L621" s="35">
        <f>VENTAS[[#This Row],[Total]]-VENTAS[[#This Row],[Comisión 10%]]-VENTAS[[#This Row],[Costo SIN Comision]]</f>
        <v>10</v>
      </c>
      <c r="M621" s="35"/>
    </row>
    <row r="622" ht="20" customHeight="1" spans="1:13">
      <c r="A622" s="29" t="s">
        <v>3455</v>
      </c>
      <c r="B622" s="30">
        <f>IFERROR(VLOOKUP(VENTAS[[#This Row],[Código del producto Vendido]],STOCK[],25,FALSE),"-")</f>
        <v>0</v>
      </c>
      <c r="C622" s="30"/>
      <c r="D622" s="30"/>
      <c r="E622" s="30" t="s">
        <v>1324</v>
      </c>
      <c r="F622" s="34" t="str">
        <f>IFERROR(VLOOKUP(VENTAS[[#This Row],[Código del producto Vendido]],STOCK[],5,FALSE),"-")</f>
        <v>Camisa Blanca </v>
      </c>
      <c r="G622" s="34">
        <v>1</v>
      </c>
      <c r="H622" s="35">
        <v>25</v>
      </c>
      <c r="I622" s="35">
        <f>VENTAS[[#This Row],[Cantidad]]*VENTAS[[#This Row],[Precio Venta]]</f>
        <v>25</v>
      </c>
      <c r="J622" s="35">
        <f>IF(VENTAS[[#This Row],[Nombre del Gestor]]&gt;1,VENTAS[[#This Row],[Total]]*10%,0)</f>
        <v>0</v>
      </c>
      <c r="K622" s="35">
        <f>IFERROR(VLOOKUP(VENTAS[[#This Row],[Código del producto Vendido]],STOCK[],16,FALSE)*VENTAS[[#This Row],[Cantidad]]+VLOOKUP(VENTAS[[#This Row],[Código del producto Vendido]],STOCK[],19,FALSE)*VENTAS[[#This Row],[Cantidad]],VENTAS[[#This Row],[Total]])</f>
        <v>19</v>
      </c>
      <c r="L622" s="35">
        <f>VENTAS[[#This Row],[Total]]-VENTAS[[#This Row],[Comisión 10%]]-VENTAS[[#This Row],[Costo SIN Comision]]</f>
        <v>6</v>
      </c>
      <c r="M622" s="35"/>
    </row>
    <row r="623" ht="20" customHeight="1" spans="1:13">
      <c r="A623" s="29" t="s">
        <v>3455</v>
      </c>
      <c r="B623" s="30">
        <f>IFERROR(VLOOKUP(VENTAS[[#This Row],[Código del producto Vendido]],STOCK[],25,FALSE),"-")</f>
        <v>0</v>
      </c>
      <c r="C623" s="30"/>
      <c r="D623" s="30"/>
      <c r="E623" s="30" t="s">
        <v>1335</v>
      </c>
      <c r="F623" s="34" t="str">
        <f>IFERROR(VLOOKUP(VENTAS[[#This Row],[Código del producto Vendido]],STOCK[],5,FALSE),"-")</f>
        <v>Blusa Camisa de puño largo</v>
      </c>
      <c r="G623" s="34">
        <v>2</v>
      </c>
      <c r="H623" s="35">
        <v>25</v>
      </c>
      <c r="I623" s="35">
        <f>VENTAS[[#This Row],[Cantidad]]*VENTAS[[#This Row],[Precio Venta]]</f>
        <v>50</v>
      </c>
      <c r="J623" s="35">
        <f>IF(VENTAS[[#This Row],[Nombre del Gestor]]&gt;1,VENTAS[[#This Row],[Total]]*10%,0)</f>
        <v>0</v>
      </c>
      <c r="K623" s="35">
        <f>IFERROR(VLOOKUP(VENTAS[[#This Row],[Código del producto Vendido]],STOCK[],16,FALSE)*VENTAS[[#This Row],[Cantidad]]+VLOOKUP(VENTAS[[#This Row],[Código del producto Vendido]],STOCK[],19,FALSE)*VENTAS[[#This Row],[Cantidad]],VENTAS[[#This Row],[Total]])</f>
        <v>32.74</v>
      </c>
      <c r="L623" s="35">
        <f>VENTAS[[#This Row],[Total]]-VENTAS[[#This Row],[Comisión 10%]]-VENTAS[[#This Row],[Costo SIN Comision]]</f>
        <v>17.26</v>
      </c>
      <c r="M623" s="35"/>
    </row>
    <row r="624" ht="20" customHeight="1" spans="1:13">
      <c r="A624" s="29" t="s">
        <v>3455</v>
      </c>
      <c r="B624" s="30">
        <f>IFERROR(VLOOKUP(VENTAS[[#This Row],[Código del producto Vendido]],STOCK[],25,FALSE),"-")</f>
        <v>0</v>
      </c>
      <c r="C624" s="30"/>
      <c r="D624" s="30"/>
      <c r="E624" s="30" t="s">
        <v>1337</v>
      </c>
      <c r="F624" s="34" t="str">
        <f>IFERROR(VLOOKUP(VENTAS[[#This Row],[Código del producto Vendido]],STOCK[],5,FALSE),"-")</f>
        <v>Blusa camisa de puño largo</v>
      </c>
      <c r="G624" s="34">
        <v>1</v>
      </c>
      <c r="H624" s="35">
        <v>25</v>
      </c>
      <c r="I624" s="35">
        <f>VENTAS[[#This Row],[Cantidad]]*VENTAS[[#This Row],[Precio Venta]]</f>
        <v>25</v>
      </c>
      <c r="J624" s="35">
        <f>IF(VENTAS[[#This Row],[Nombre del Gestor]]&gt;1,VENTAS[[#This Row],[Total]]*10%,0)</f>
        <v>0</v>
      </c>
      <c r="K624" s="35">
        <f>IFERROR(VLOOKUP(VENTAS[[#This Row],[Código del producto Vendido]],STOCK[],16,FALSE)*VENTAS[[#This Row],[Cantidad]]+VLOOKUP(VENTAS[[#This Row],[Código del producto Vendido]],STOCK[],19,FALSE)*VENTAS[[#This Row],[Cantidad]],VENTAS[[#This Row],[Total]])</f>
        <v>16.37</v>
      </c>
      <c r="L624" s="35">
        <f>VENTAS[[#This Row],[Total]]-VENTAS[[#This Row],[Comisión 10%]]-VENTAS[[#This Row],[Costo SIN Comision]]</f>
        <v>8.63</v>
      </c>
      <c r="M624" s="35"/>
    </row>
    <row r="625" ht="20" customHeight="1" spans="1:13">
      <c r="A625" s="29" t="s">
        <v>3455</v>
      </c>
      <c r="B625" s="30">
        <f>IFERROR(VLOOKUP(VENTAS[[#This Row],[Código del producto Vendido]],STOCK[],25,FALSE),"-")</f>
        <v>0</v>
      </c>
      <c r="C625" s="30"/>
      <c r="D625" s="30"/>
      <c r="E625" s="30" t="s">
        <v>1339</v>
      </c>
      <c r="F625" s="34" t="str">
        <f>IFERROR(VLOOKUP(VENTAS[[#This Row],[Código del producto Vendido]],STOCK[],5,FALSE),"-")</f>
        <v>Camisa entallada dazy</v>
      </c>
      <c r="G625" s="34">
        <v>2</v>
      </c>
      <c r="H625" s="35">
        <v>25</v>
      </c>
      <c r="I625" s="35">
        <f>VENTAS[[#This Row],[Cantidad]]*VENTAS[[#This Row],[Precio Venta]]</f>
        <v>50</v>
      </c>
      <c r="J625" s="35">
        <f>IF(VENTAS[[#This Row],[Nombre del Gestor]]&gt;1,VENTAS[[#This Row],[Total]]*10%,0)</f>
        <v>0</v>
      </c>
      <c r="K625" s="35">
        <f>IFERROR(VLOOKUP(VENTAS[[#This Row],[Código del producto Vendido]],STOCK[],16,FALSE)*VENTAS[[#This Row],[Cantidad]]+VLOOKUP(VENTAS[[#This Row],[Código del producto Vendido]],STOCK[],19,FALSE)*VENTAS[[#This Row],[Cantidad]],VENTAS[[#This Row],[Total]])</f>
        <v>31.3</v>
      </c>
      <c r="L625" s="35">
        <f>VENTAS[[#This Row],[Total]]-VENTAS[[#This Row],[Comisión 10%]]-VENTAS[[#This Row],[Costo SIN Comision]]</f>
        <v>18.7</v>
      </c>
      <c r="M625" s="35"/>
    </row>
    <row r="626" ht="20" customHeight="1" spans="1:13">
      <c r="A626" s="29" t="s">
        <v>3455</v>
      </c>
      <c r="B626" s="30">
        <f>IFERROR(VLOOKUP(VENTAS[[#This Row],[Código del producto Vendido]],STOCK[],25,FALSE),"-")</f>
        <v>0</v>
      </c>
      <c r="C626" s="30"/>
      <c r="D626" s="30"/>
      <c r="E626" s="30" t="s">
        <v>1341</v>
      </c>
      <c r="F626" s="34" t="str">
        <f>IFERROR(VLOOKUP(VENTAS[[#This Row],[Código del producto Vendido]],STOCK[],5,FALSE),"-")</f>
        <v>Camisa entallada dazy</v>
      </c>
      <c r="G626" s="34">
        <v>2</v>
      </c>
      <c r="H626" s="35">
        <v>25</v>
      </c>
      <c r="I626" s="35">
        <f>VENTAS[[#This Row],[Cantidad]]*VENTAS[[#This Row],[Precio Venta]]</f>
        <v>50</v>
      </c>
      <c r="J626" s="35">
        <f>IF(VENTAS[[#This Row],[Nombre del Gestor]]&gt;1,VENTAS[[#This Row],[Total]]*10%,0)</f>
        <v>0</v>
      </c>
      <c r="K626" s="35">
        <f>IFERROR(VLOOKUP(VENTAS[[#This Row],[Código del producto Vendido]],STOCK[],16,FALSE)*VENTAS[[#This Row],[Cantidad]]+VLOOKUP(VENTAS[[#This Row],[Código del producto Vendido]],STOCK[],19,FALSE)*VENTAS[[#This Row],[Cantidad]],VENTAS[[#This Row],[Total]])</f>
        <v>31.3</v>
      </c>
      <c r="L626" s="35">
        <f>VENTAS[[#This Row],[Total]]-VENTAS[[#This Row],[Comisión 10%]]-VENTAS[[#This Row],[Costo SIN Comision]]</f>
        <v>18.7</v>
      </c>
      <c r="M626" s="35"/>
    </row>
    <row r="627" ht="20" customHeight="1" spans="1:13">
      <c r="A627" s="29" t="s">
        <v>3455</v>
      </c>
      <c r="B627" s="30">
        <f>IFERROR(VLOOKUP(VENTAS[[#This Row],[Código del producto Vendido]],STOCK[],25,FALSE),"-")</f>
        <v>0</v>
      </c>
      <c r="C627" s="30"/>
      <c r="D627" s="30"/>
      <c r="E627" s="30" t="s">
        <v>1388</v>
      </c>
      <c r="F627" s="34" t="str">
        <f>IFERROR(VLOOKUP(VENTAS[[#This Row],[Código del producto Vendido]],STOCK[],5,FALSE),"-")</f>
        <v>Playera negra de cuello cisne</v>
      </c>
      <c r="G627" s="34">
        <v>1</v>
      </c>
      <c r="H627" s="35">
        <v>18</v>
      </c>
      <c r="I627" s="35">
        <f>VENTAS[[#This Row],[Cantidad]]*VENTAS[[#This Row],[Precio Venta]]</f>
        <v>18</v>
      </c>
      <c r="J627" s="35">
        <f>IF(VENTAS[[#This Row],[Nombre del Gestor]]&gt;1,VENTAS[[#This Row],[Total]]*10%,0)</f>
        <v>0</v>
      </c>
      <c r="K627" s="35">
        <f>IFERROR(VLOOKUP(VENTAS[[#This Row],[Código del producto Vendido]],STOCK[],16,FALSE)*VENTAS[[#This Row],[Cantidad]]+VLOOKUP(VENTAS[[#This Row],[Código del producto Vendido]],STOCK[],19,FALSE)*VENTAS[[#This Row],[Cantidad]],VENTAS[[#This Row],[Total]])</f>
        <v>11.32</v>
      </c>
      <c r="L627" s="35">
        <f>VENTAS[[#This Row],[Total]]-VENTAS[[#This Row],[Comisión 10%]]-VENTAS[[#This Row],[Costo SIN Comision]]</f>
        <v>6.68</v>
      </c>
      <c r="M627" s="35"/>
    </row>
    <row r="628" ht="20" customHeight="1" spans="1:13">
      <c r="A628" s="29" t="s">
        <v>3455</v>
      </c>
      <c r="B628" s="30">
        <f>IFERROR(VLOOKUP(VENTAS[[#This Row],[Código del producto Vendido]],STOCK[],25,FALSE),"-")</f>
        <v>0</v>
      </c>
      <c r="C628" s="30"/>
      <c r="D628" s="30"/>
      <c r="E628" s="30" t="s">
        <v>1392</v>
      </c>
      <c r="F628" s="34" t="str">
        <f>IFERROR(VLOOKUP(VENTAS[[#This Row],[Código del producto Vendido]],STOCK[],5,FALSE),"-")</f>
        <v>Playera negra de cuello cisne</v>
      </c>
      <c r="G628" s="34">
        <v>1</v>
      </c>
      <c r="H628" s="35">
        <v>18</v>
      </c>
      <c r="I628" s="35">
        <f>VENTAS[[#This Row],[Cantidad]]*VENTAS[[#This Row],[Precio Venta]]</f>
        <v>18</v>
      </c>
      <c r="J628" s="35">
        <f>IF(VENTAS[[#This Row],[Nombre del Gestor]]&gt;1,VENTAS[[#This Row],[Total]]*10%,0)</f>
        <v>0</v>
      </c>
      <c r="K628" s="35">
        <f>IFERROR(VLOOKUP(VENTAS[[#This Row],[Código del producto Vendido]],STOCK[],16,FALSE)*VENTAS[[#This Row],[Cantidad]]+VLOOKUP(VENTAS[[#This Row],[Código del producto Vendido]],STOCK[],19,FALSE)*VENTAS[[#This Row],[Cantidad]],VENTAS[[#This Row],[Total]])</f>
        <v>11.32</v>
      </c>
      <c r="L628" s="35">
        <f>VENTAS[[#This Row],[Total]]-VENTAS[[#This Row],[Comisión 10%]]-VENTAS[[#This Row],[Costo SIN Comision]]</f>
        <v>6.68</v>
      </c>
      <c r="M628" s="35"/>
    </row>
    <row r="629" ht="20" customHeight="1" spans="1:13">
      <c r="A629" s="29" t="s">
        <v>3455</v>
      </c>
      <c r="B629" s="30" t="str">
        <f>IFERROR(VLOOKUP(VENTAS[[#This Row],[Código del producto Vendido]],STOCK[],25,FALSE),"-")</f>
        <v>Compra 11 dic 2023</v>
      </c>
      <c r="C629" s="30"/>
      <c r="D629" s="30"/>
      <c r="E629" s="30" t="s">
        <v>1402</v>
      </c>
      <c r="F629" s="34" t="str">
        <f>IFERROR(VLOOKUP(VENTAS[[#This Row],[Código del producto Vendido]],STOCK[],5,FALSE),"-")</f>
        <v>Top bustier corsetero</v>
      </c>
      <c r="G629" s="34">
        <v>1</v>
      </c>
      <c r="H629" s="35">
        <v>22</v>
      </c>
      <c r="I629" s="35">
        <f>VENTAS[[#This Row],[Cantidad]]*VENTAS[[#This Row],[Precio Venta]]</f>
        <v>22</v>
      </c>
      <c r="J629" s="35">
        <f>IF(VENTAS[[#This Row],[Nombre del Gestor]]&gt;1,VENTAS[[#This Row],[Total]]*10%,0)</f>
        <v>0</v>
      </c>
      <c r="K629" s="35">
        <f>IFERROR(VLOOKUP(VENTAS[[#This Row],[Código del producto Vendido]],STOCK[],16,FALSE)*VENTAS[[#This Row],[Cantidad]]+VLOOKUP(VENTAS[[#This Row],[Código del producto Vendido]],STOCK[],19,FALSE)*VENTAS[[#This Row],[Cantidad]],VENTAS[[#This Row],[Total]])</f>
        <v>5.5</v>
      </c>
      <c r="L629" s="35">
        <f>VENTAS[[#This Row],[Total]]-VENTAS[[#This Row],[Comisión 10%]]-VENTAS[[#This Row],[Costo SIN Comision]]</f>
        <v>16.5</v>
      </c>
      <c r="M629" s="35"/>
    </row>
    <row r="630" ht="20" customHeight="1" spans="1:13">
      <c r="A630" s="29" t="s">
        <v>3455</v>
      </c>
      <c r="B630" s="30">
        <f>IFERROR(VLOOKUP(VENTAS[[#This Row],[Código del producto Vendido]],STOCK[],25,FALSE),"-")</f>
        <v>0</v>
      </c>
      <c r="C630" s="30"/>
      <c r="D630" s="30"/>
      <c r="E630" s="30" t="s">
        <v>1418</v>
      </c>
      <c r="F630" s="34" t="str">
        <f>IFERROR(VLOOKUP(VENTAS[[#This Row],[Código del producto Vendido]],STOCK[],5,FALSE),"-")</f>
        <v>Vestido acanalado cruzado color crema</v>
      </c>
      <c r="G630" s="34">
        <v>2</v>
      </c>
      <c r="H630" s="35">
        <v>28</v>
      </c>
      <c r="I630" s="35">
        <f>VENTAS[[#This Row],[Cantidad]]*VENTAS[[#This Row],[Precio Venta]]</f>
        <v>56</v>
      </c>
      <c r="J630" s="35">
        <f>IF(VENTAS[[#This Row],[Nombre del Gestor]]&gt;1,VENTAS[[#This Row],[Total]]*10%,0)</f>
        <v>0</v>
      </c>
      <c r="K630" s="35">
        <f>IFERROR(VLOOKUP(VENTAS[[#This Row],[Código del producto Vendido]],STOCK[],16,FALSE)*VENTAS[[#This Row],[Cantidad]]+VLOOKUP(VENTAS[[#This Row],[Código del producto Vendido]],STOCK[],19,FALSE)*VENTAS[[#This Row],[Cantidad]],VENTAS[[#This Row],[Total]])</f>
        <v>49.18</v>
      </c>
      <c r="L630" s="35">
        <f>VENTAS[[#This Row],[Total]]-VENTAS[[#This Row],[Comisión 10%]]-VENTAS[[#This Row],[Costo SIN Comision]]</f>
        <v>6.82</v>
      </c>
      <c r="M630" s="35"/>
    </row>
    <row r="631" ht="20" customHeight="1" spans="1:13">
      <c r="A631" s="29" t="s">
        <v>3455</v>
      </c>
      <c r="B631" s="30">
        <f>IFERROR(VLOOKUP(VENTAS[[#This Row],[Código del producto Vendido]],STOCK[],25,FALSE),"-")</f>
        <v>0</v>
      </c>
      <c r="C631" s="30"/>
      <c r="D631" s="30"/>
      <c r="E631" s="30" t="s">
        <v>1419</v>
      </c>
      <c r="F631" s="34" t="str">
        <f>IFERROR(VLOOKUP(VENTAS[[#This Row],[Código del producto Vendido]],STOCK[],5,FALSE),"-")</f>
        <v>Short de tela suave con cinturón</v>
      </c>
      <c r="G631" s="34">
        <v>1</v>
      </c>
      <c r="H631" s="35">
        <v>20</v>
      </c>
      <c r="I631" s="35">
        <f>VENTAS[[#This Row],[Cantidad]]*VENTAS[[#This Row],[Precio Venta]]</f>
        <v>20</v>
      </c>
      <c r="J631" s="35">
        <f>IF(VENTAS[[#This Row],[Nombre del Gestor]]&gt;1,VENTAS[[#This Row],[Total]]*10%,0)</f>
        <v>0</v>
      </c>
      <c r="K631" s="35">
        <f>IFERROR(VLOOKUP(VENTAS[[#This Row],[Código del producto Vendido]],STOCK[],16,FALSE)*VENTAS[[#This Row],[Cantidad]]+VLOOKUP(VENTAS[[#This Row],[Código del producto Vendido]],STOCK[],19,FALSE)*VENTAS[[#This Row],[Cantidad]],VENTAS[[#This Row],[Total]])</f>
        <v>12.99</v>
      </c>
      <c r="L631" s="35">
        <f>VENTAS[[#This Row],[Total]]-VENTAS[[#This Row],[Comisión 10%]]-VENTAS[[#This Row],[Costo SIN Comision]]</f>
        <v>7.01</v>
      </c>
      <c r="M631" s="35"/>
    </row>
    <row r="632" ht="20" customHeight="1" spans="1:13">
      <c r="A632" s="29" t="s">
        <v>3455</v>
      </c>
      <c r="B632" s="30" t="str">
        <f>IFERROR(VLOOKUP(VENTAS[[#This Row],[Código del producto Vendido]],STOCK[],25,FALSE),"-")</f>
        <v>Yenma 19 Mayo</v>
      </c>
      <c r="C632" s="30"/>
      <c r="D632" s="30"/>
      <c r="E632" s="30" t="s">
        <v>205</v>
      </c>
      <c r="F632" s="34" t="str">
        <f>IFERROR(VLOOKUP(VENTAS[[#This Row],[Código del producto Vendido]],STOCK[],5,FALSE),"-")</f>
        <v>Vestido de satén ajustado de tirantes fruncido</v>
      </c>
      <c r="G632" s="34">
        <v>1</v>
      </c>
      <c r="H632" s="35">
        <v>25</v>
      </c>
      <c r="I632" s="35">
        <f>VENTAS[[#This Row],[Cantidad]]*VENTAS[[#This Row],[Precio Venta]]</f>
        <v>25</v>
      </c>
      <c r="J632" s="35">
        <f>IF(VENTAS[[#This Row],[Nombre del Gestor]]&gt;1,VENTAS[[#This Row],[Total]]*10%,0)</f>
        <v>0</v>
      </c>
      <c r="K632" s="35">
        <f>IFERROR(VLOOKUP(VENTAS[[#This Row],[Código del producto Vendido]],STOCK[],16,FALSE)*VENTAS[[#This Row],[Cantidad]]+VLOOKUP(VENTAS[[#This Row],[Código del producto Vendido]],STOCK[],19,FALSE)*VENTAS[[#This Row],[Cantidad]],VENTAS[[#This Row],[Total]])</f>
        <v>12.8755555555556</v>
      </c>
      <c r="L632" s="35">
        <f>VENTAS[[#This Row],[Total]]-VENTAS[[#This Row],[Comisión 10%]]-VENTAS[[#This Row],[Costo SIN Comision]]</f>
        <v>12.1244444444444</v>
      </c>
      <c r="M632" s="35"/>
    </row>
    <row r="633" ht="20" customHeight="1" spans="1:13">
      <c r="A633" s="29" t="s">
        <v>3455</v>
      </c>
      <c r="B633" s="30">
        <f>IFERROR(VLOOKUP(VENTAS[[#This Row],[Código del producto Vendido]],STOCK[],25,FALSE),"-")</f>
        <v>0</v>
      </c>
      <c r="C633" s="30"/>
      <c r="D633" s="30"/>
      <c r="E633" s="30" t="s">
        <v>646</v>
      </c>
      <c r="F633" s="34" t="str">
        <f>IFERROR(VLOOKUP(VENTAS[[#This Row],[Código del producto Vendido]],STOCK[],5,FALSE),"-")</f>
        <v>Vestido con estampado jungla</v>
      </c>
      <c r="G633" s="34">
        <v>1</v>
      </c>
      <c r="H633" s="35">
        <v>16</v>
      </c>
      <c r="I633" s="35">
        <f>VENTAS[[#This Row],[Cantidad]]*VENTAS[[#This Row],[Precio Venta]]</f>
        <v>16</v>
      </c>
      <c r="J633" s="35">
        <f>IF(VENTAS[[#This Row],[Nombre del Gestor]]&gt;1,VENTAS[[#This Row],[Total]]*10%,0)</f>
        <v>0</v>
      </c>
      <c r="K633" s="35">
        <f>IFERROR(VLOOKUP(VENTAS[[#This Row],[Código del producto Vendido]],STOCK[],16,FALSE)*VENTAS[[#This Row],[Cantidad]]+VLOOKUP(VENTAS[[#This Row],[Código del producto Vendido]],STOCK[],19,FALSE)*VENTAS[[#This Row],[Cantidad]],VENTAS[[#This Row],[Total]])</f>
        <v>10.7222222222222</v>
      </c>
      <c r="L633" s="35">
        <f>VENTAS[[#This Row],[Total]]-VENTAS[[#This Row],[Comisión 10%]]-VENTAS[[#This Row],[Costo SIN Comision]]</f>
        <v>5.27777777777778</v>
      </c>
      <c r="M633" s="35"/>
    </row>
    <row r="634" ht="20" customHeight="1" spans="1:13">
      <c r="A634" s="29" t="s">
        <v>3455</v>
      </c>
      <c r="B634" s="30" t="str">
        <f>IFERROR(VLOOKUP(VENTAS[[#This Row],[Código del producto Vendido]],STOCK[],25,FALSE),"-")</f>
        <v>Compra 7/12/2023</v>
      </c>
      <c r="C634" s="30"/>
      <c r="D634" s="30"/>
      <c r="E634" s="30" t="s">
        <v>1525</v>
      </c>
      <c r="F634" s="34" t="str">
        <f>IFERROR(VLOOKUP(VENTAS[[#This Row],[Código del producto Vendido]],STOCK[],5,FALSE),"-")</f>
        <v>Top Bustier encaje</v>
      </c>
      <c r="G634" s="34">
        <v>1</v>
      </c>
      <c r="H634" s="35">
        <v>22</v>
      </c>
      <c r="I634" s="35">
        <f>VENTAS[[#This Row],[Cantidad]]*VENTAS[[#This Row],[Precio Venta]]</f>
        <v>22</v>
      </c>
      <c r="J634" s="35">
        <f>IF(VENTAS[[#This Row],[Nombre del Gestor]]&gt;1,VENTAS[[#This Row],[Total]]*10%,0)</f>
        <v>0</v>
      </c>
      <c r="K634" s="35">
        <f>IFERROR(VLOOKUP(VENTAS[[#This Row],[Código del producto Vendido]],STOCK[],16,FALSE)*VENTAS[[#This Row],[Cantidad]]+VLOOKUP(VENTAS[[#This Row],[Código del producto Vendido]],STOCK[],19,FALSE)*VENTAS[[#This Row],[Cantidad]],VENTAS[[#This Row],[Total]])</f>
        <v>14.7</v>
      </c>
      <c r="L634" s="35">
        <f>VENTAS[[#This Row],[Total]]-VENTAS[[#This Row],[Comisión 10%]]-VENTAS[[#This Row],[Costo SIN Comision]]</f>
        <v>7.3</v>
      </c>
      <c r="M634" s="35"/>
    </row>
    <row r="635" ht="20" customHeight="1" spans="1:13">
      <c r="A635" s="29" t="s">
        <v>3455</v>
      </c>
      <c r="B635" s="30" t="str">
        <f>IFERROR(VLOOKUP(VENTAS[[#This Row],[Código del producto Vendido]],STOCK[],25,FALSE),"-")</f>
        <v>Compra 7/12/2023</v>
      </c>
      <c r="C635" s="30"/>
      <c r="D635" s="30"/>
      <c r="E635" s="30" t="s">
        <v>1544</v>
      </c>
      <c r="F635" s="34" t="str">
        <f>IFERROR(VLOOKUP(VENTAS[[#This Row],[Código del producto Vendido]],STOCK[],5,FALSE),"-")</f>
        <v>Gafas de sol Dama</v>
      </c>
      <c r="G635" s="34">
        <v>1</v>
      </c>
      <c r="H635" s="35">
        <v>9</v>
      </c>
      <c r="I635" s="35">
        <f>VENTAS[[#This Row],[Cantidad]]*VENTAS[[#This Row],[Precio Venta]]</f>
        <v>9</v>
      </c>
      <c r="J635" s="35">
        <f>IF(VENTAS[[#This Row],[Nombre del Gestor]]&gt;1,VENTAS[[#This Row],[Total]]*10%,0)</f>
        <v>0</v>
      </c>
      <c r="K635" s="35">
        <f>IFERROR(VLOOKUP(VENTAS[[#This Row],[Código del producto Vendido]],STOCK[],16,FALSE)*VENTAS[[#This Row],[Cantidad]]+VLOOKUP(VENTAS[[#This Row],[Código del producto Vendido]],STOCK[],19,FALSE)*VENTAS[[#This Row],[Cantidad]],VENTAS[[#This Row],[Total]])</f>
        <v>6.05</v>
      </c>
      <c r="L635" s="35">
        <f>VENTAS[[#This Row],[Total]]-VENTAS[[#This Row],[Comisión 10%]]-VENTAS[[#This Row],[Costo SIN Comision]]</f>
        <v>2.95</v>
      </c>
      <c r="M635" s="35"/>
    </row>
    <row r="636" ht="20" customHeight="1" spans="1:13">
      <c r="A636" s="29" t="s">
        <v>3455</v>
      </c>
      <c r="B636" s="30" t="str">
        <f>IFERROR(VLOOKUP(VENTAS[[#This Row],[Código del producto Vendido]],STOCK[],25,FALSE),"-")</f>
        <v>Compra 9/12/2023</v>
      </c>
      <c r="C636" s="30"/>
      <c r="D636" s="30"/>
      <c r="E636" s="30" t="s">
        <v>1677</v>
      </c>
      <c r="F636" s="34" t="str">
        <f>IFERROR(VLOOKUP(VENTAS[[#This Row],[Código del producto Vendido]],STOCK[],5,FALSE),"-")</f>
        <v>Botas negras de zíper</v>
      </c>
      <c r="G636" s="34">
        <v>1</v>
      </c>
      <c r="H636" s="35">
        <v>40</v>
      </c>
      <c r="I636" s="35">
        <f>VENTAS[[#This Row],[Cantidad]]*VENTAS[[#This Row],[Precio Venta]]</f>
        <v>40</v>
      </c>
      <c r="J636" s="35">
        <f>IF(VENTAS[[#This Row],[Nombre del Gestor]]&gt;1,VENTAS[[#This Row],[Total]]*10%,0)</f>
        <v>0</v>
      </c>
      <c r="K636" s="35">
        <f>IFERROR(VLOOKUP(VENTAS[[#This Row],[Código del producto Vendido]],STOCK[],16,FALSE)*VENTAS[[#This Row],[Cantidad]]+VLOOKUP(VENTAS[[#This Row],[Código del producto Vendido]],STOCK[],19,FALSE)*VENTAS[[#This Row],[Cantidad]],VENTAS[[#This Row],[Total]])</f>
        <v>22.42</v>
      </c>
      <c r="L636" s="35">
        <f>VENTAS[[#This Row],[Total]]-VENTAS[[#This Row],[Comisión 10%]]-VENTAS[[#This Row],[Costo SIN Comision]]</f>
        <v>17.58</v>
      </c>
      <c r="M636" s="35"/>
    </row>
    <row r="637" ht="20" customHeight="1" spans="1:13">
      <c r="A637" s="29" t="s">
        <v>3455</v>
      </c>
      <c r="B637" s="30" t="str">
        <f>IFERROR(VLOOKUP(VENTAS[[#This Row],[Código del producto Vendido]],STOCK[],25,FALSE),"-")</f>
        <v>Compra 7/12/2023</v>
      </c>
      <c r="C637" s="30" t="s">
        <v>3457</v>
      </c>
      <c r="D637" s="30" t="s">
        <v>3458</v>
      </c>
      <c r="E637" s="30" t="s">
        <v>1521</v>
      </c>
      <c r="F637" s="34" t="str">
        <f>IFERROR(VLOOKUP(VENTAS[[#This Row],[Código del producto Vendido]],STOCK[],5,FALSE),"-")</f>
        <v>Sandalias Albaricoque</v>
      </c>
      <c r="G637" s="34">
        <v>1</v>
      </c>
      <c r="H637" s="35">
        <v>40</v>
      </c>
      <c r="I637" s="35">
        <f>VENTAS[[#This Row],[Cantidad]]*VENTAS[[#This Row],[Precio Venta]]</f>
        <v>40</v>
      </c>
      <c r="J637" s="35">
        <f>IF(VENTAS[[#This Row],[Nombre del Gestor]]&gt;1,VENTAS[[#This Row],[Total]]*10%,0)</f>
        <v>4</v>
      </c>
      <c r="K637" s="35">
        <f>IFERROR(VLOOKUP(VENTAS[[#This Row],[Código del producto Vendido]],STOCK[],16,FALSE)*VENTAS[[#This Row],[Cantidad]]+VLOOKUP(VENTAS[[#This Row],[Código del producto Vendido]],STOCK[],19,FALSE)*VENTAS[[#This Row],[Cantidad]],VENTAS[[#This Row],[Total]])</f>
        <v>23</v>
      </c>
      <c r="L637" s="35">
        <f>VENTAS[[#This Row],[Total]]-VENTAS[[#This Row],[Comisión 10%]]-VENTAS[[#This Row],[Costo SIN Comision]]</f>
        <v>13</v>
      </c>
      <c r="M637" s="35"/>
    </row>
    <row r="638" ht="20" customHeight="1" spans="1:13">
      <c r="A638" s="29" t="s">
        <v>3455</v>
      </c>
      <c r="B638" s="30" t="str">
        <f>IFERROR(VLOOKUP(VENTAS[[#This Row],[Código del producto Vendido]],STOCK[],25,FALSE),"-")</f>
        <v>Compra 7/12/2023</v>
      </c>
      <c r="C638" s="30"/>
      <c r="D638" s="30" t="s">
        <v>3459</v>
      </c>
      <c r="E638" s="30" t="s">
        <v>1536</v>
      </c>
      <c r="F638" s="34" t="str">
        <f>IFERROR(VLOOKUP(VENTAS[[#This Row],[Código del producto Vendido]],STOCK[],5,FALSE),"-")</f>
        <v>Falda de mezclilla negra a la cintura</v>
      </c>
      <c r="G638" s="34">
        <v>1</v>
      </c>
      <c r="H638" s="35">
        <v>0</v>
      </c>
      <c r="I638" s="35">
        <f>VENTAS[[#This Row],[Cantidad]]*VENTAS[[#This Row],[Precio Venta]]</f>
        <v>0</v>
      </c>
      <c r="J638" s="35">
        <f>IF(VENTAS[[#This Row],[Nombre del Gestor]]&gt;1,VENTAS[[#This Row],[Total]]*10%,0)</f>
        <v>0</v>
      </c>
      <c r="K638" s="35">
        <f>IFERROR(VLOOKUP(VENTAS[[#This Row],[Código del producto Vendido]],STOCK[],16,FALSE)*VENTAS[[#This Row],[Cantidad]]+VLOOKUP(VENTAS[[#This Row],[Código del producto Vendido]],STOCK[],19,FALSE)*VENTAS[[#This Row],[Cantidad]],VENTAS[[#This Row],[Total]])</f>
        <v>15</v>
      </c>
      <c r="L638" s="35">
        <f>VENTAS[[#This Row],[Total]]-VENTAS[[#This Row],[Comisión 10%]]-VENTAS[[#This Row],[Costo SIN Comision]]</f>
        <v>-15</v>
      </c>
      <c r="M638" s="35"/>
    </row>
    <row r="639" ht="20" customHeight="1" spans="1:13">
      <c r="A639" s="29" t="s">
        <v>3455</v>
      </c>
      <c r="B639" s="30" t="str">
        <f>IFERROR(VLOOKUP(VENTAS[[#This Row],[Código del producto Vendido]],STOCK[],25,FALSE),"-")</f>
        <v>Compra 7/12/2023</v>
      </c>
      <c r="C639" s="30"/>
      <c r="D639" s="30" t="s">
        <v>3460</v>
      </c>
      <c r="E639" s="30" t="s">
        <v>1504</v>
      </c>
      <c r="F639" s="34" t="str">
        <f>IFERROR(VLOOKUP(VENTAS[[#This Row],[Código del producto Vendido]],STOCK[],5,FALSE),"-")</f>
        <v>Vestido Frenchy Ajustado</v>
      </c>
      <c r="G639" s="34">
        <v>1</v>
      </c>
      <c r="H639" s="35">
        <v>25</v>
      </c>
      <c r="I639" s="35">
        <f>VENTAS[[#This Row],[Cantidad]]*VENTAS[[#This Row],[Precio Venta]]</f>
        <v>25</v>
      </c>
      <c r="J639" s="35">
        <f>IF(VENTAS[[#This Row],[Nombre del Gestor]]&gt;1,VENTAS[[#This Row],[Total]]*10%,0)</f>
        <v>2.5</v>
      </c>
      <c r="K639" s="35">
        <f>IFERROR(VLOOKUP(VENTAS[[#This Row],[Código del producto Vendido]],STOCK[],16,FALSE)*VENTAS[[#This Row],[Cantidad]]+VLOOKUP(VENTAS[[#This Row],[Código del producto Vendido]],STOCK[],19,FALSE)*VENTAS[[#This Row],[Cantidad]],VENTAS[[#This Row],[Total]])</f>
        <v>11.5</v>
      </c>
      <c r="L639" s="35">
        <f>VENTAS[[#This Row],[Total]]-VENTAS[[#This Row],[Comisión 10%]]-VENTAS[[#This Row],[Costo SIN Comision]]</f>
        <v>11</v>
      </c>
      <c r="M639" s="35"/>
    </row>
    <row r="640" ht="20" customHeight="1" spans="1:13">
      <c r="A640" s="29" t="s">
        <v>3455</v>
      </c>
      <c r="B640" s="30" t="str">
        <f>IFERROR(VLOOKUP(VENTAS[[#This Row],[Código del producto Vendido]],STOCK[],25,FALSE),"-")</f>
        <v>Compra 7/12/2023</v>
      </c>
      <c r="C640" s="30"/>
      <c r="D640" s="30" t="s">
        <v>3456</v>
      </c>
      <c r="E640" s="30" t="s">
        <v>1510</v>
      </c>
      <c r="F640" s="34" t="str">
        <f>IFERROR(VLOOKUP(VENTAS[[#This Row],[Código del producto Vendido]],STOCK[],5,FALSE),"-")</f>
        <v>Pantalón Negro Acampanado</v>
      </c>
      <c r="G640" s="34">
        <v>1</v>
      </c>
      <c r="H640" s="35">
        <v>28</v>
      </c>
      <c r="I640" s="35">
        <f>VENTAS[[#This Row],[Cantidad]]*VENTAS[[#This Row],[Precio Venta]]</f>
        <v>28</v>
      </c>
      <c r="J640" s="35">
        <f>IF(VENTAS[[#This Row],[Nombre del Gestor]]&gt;1,VENTAS[[#This Row],[Total]]*10%,0)</f>
        <v>2.8</v>
      </c>
      <c r="K640" s="35">
        <f>IFERROR(VLOOKUP(VENTAS[[#This Row],[Código del producto Vendido]],STOCK[],16,FALSE)*VENTAS[[#This Row],[Cantidad]]+VLOOKUP(VENTAS[[#This Row],[Código del producto Vendido]],STOCK[],19,FALSE)*VENTAS[[#This Row],[Cantidad]],VENTAS[[#This Row],[Total]])</f>
        <v>16.5</v>
      </c>
      <c r="L640" s="35">
        <f>VENTAS[[#This Row],[Total]]-VENTAS[[#This Row],[Comisión 10%]]-VENTAS[[#This Row],[Costo SIN Comision]]</f>
        <v>8.7</v>
      </c>
      <c r="M640" s="35"/>
    </row>
    <row r="641" ht="20" customHeight="1" spans="1:13">
      <c r="A641" s="29" t="s">
        <v>3455</v>
      </c>
      <c r="B641" s="30" t="str">
        <f>IFERROR(VLOOKUP(VENTAS[[#This Row],[Código del producto Vendido]],STOCK[],25,FALSE),"-")</f>
        <v>-</v>
      </c>
      <c r="C641" s="30"/>
      <c r="D641" s="30" t="s">
        <v>3460</v>
      </c>
      <c r="E641" s="30" t="s">
        <v>3461</v>
      </c>
      <c r="F641" s="34" t="str">
        <f>IFERROR(VLOOKUP(VENTAS[[#This Row],[Código del producto Vendido]],STOCK[],5,FALSE),"-")</f>
        <v>-</v>
      </c>
      <c r="G641" s="34">
        <v>1</v>
      </c>
      <c r="H641" s="35">
        <v>13</v>
      </c>
      <c r="I641" s="35">
        <f>VENTAS[[#This Row],[Cantidad]]*VENTAS[[#This Row],[Precio Venta]]</f>
        <v>13</v>
      </c>
      <c r="J641" s="35">
        <f>IF(VENTAS[[#This Row],[Nombre del Gestor]]&gt;1,VENTAS[[#This Row],[Total]]*10%,0)</f>
        <v>1.3</v>
      </c>
      <c r="K641" s="35">
        <f>IFERROR(VLOOKUP(VENTAS[[#This Row],[Código del producto Vendido]],STOCK[],16,FALSE)*VENTAS[[#This Row],[Cantidad]]+VLOOKUP(VENTAS[[#This Row],[Código del producto Vendido]],STOCK[],19,FALSE)*VENTAS[[#This Row],[Cantidad]],VENTAS[[#This Row],[Total]])</f>
        <v>13</v>
      </c>
      <c r="L641" s="35">
        <f>VENTAS[[#This Row],[Total]]-VENTAS[[#This Row],[Comisión 10%]]-VENTAS[[#This Row],[Costo SIN Comision]]</f>
        <v>-1.3</v>
      </c>
      <c r="M641" s="35"/>
    </row>
    <row r="642" ht="20" customHeight="1" spans="1:13">
      <c r="A642" s="29" t="s">
        <v>3455</v>
      </c>
      <c r="B642" s="30" t="str">
        <f>IFERROR(VLOOKUP(VENTAS[[#This Row],[Código del producto Vendido]],STOCK[],25,FALSE),"-")</f>
        <v>Compra 7/12/2023</v>
      </c>
      <c r="C642" s="30"/>
      <c r="D642" s="30" t="s">
        <v>3460</v>
      </c>
      <c r="E642" s="30" t="s">
        <v>1503</v>
      </c>
      <c r="F642" s="34" t="str">
        <f>IFERROR(VLOOKUP(VENTAS[[#This Row],[Código del producto Vendido]],STOCK[],5,FALSE),"-")</f>
        <v>Pullover Dazy cuello redondo Blanco</v>
      </c>
      <c r="G642" s="34">
        <v>1</v>
      </c>
      <c r="H642" s="35">
        <v>13</v>
      </c>
      <c r="I642" s="35">
        <f>VENTAS[[#This Row],[Cantidad]]*VENTAS[[#This Row],[Precio Venta]]</f>
        <v>13</v>
      </c>
      <c r="J642" s="35">
        <f>IF(VENTAS[[#This Row],[Nombre del Gestor]]&gt;1,VENTAS[[#This Row],[Total]]*10%,0)</f>
        <v>1.3</v>
      </c>
      <c r="K642" s="35">
        <f>IFERROR(VLOOKUP(VENTAS[[#This Row],[Código del producto Vendido]],STOCK[],16,FALSE)*VENTAS[[#This Row],[Cantidad]]+VLOOKUP(VENTAS[[#This Row],[Código del producto Vendido]],STOCK[],19,FALSE)*VENTAS[[#This Row],[Cantidad]],VENTAS[[#This Row],[Total]])</f>
        <v>7.5</v>
      </c>
      <c r="L642" s="35">
        <f>VENTAS[[#This Row],[Total]]-VENTAS[[#This Row],[Comisión 10%]]-VENTAS[[#This Row],[Costo SIN Comision]]</f>
        <v>4.2</v>
      </c>
      <c r="M642" s="35"/>
    </row>
    <row r="643" ht="20" customHeight="1" spans="1:13">
      <c r="A643" s="29" t="s">
        <v>3455</v>
      </c>
      <c r="B643" s="30" t="str">
        <f>IFERROR(VLOOKUP(VENTAS[[#This Row],[Código del producto Vendido]],STOCK[],25,FALSE),"-")</f>
        <v>Recibido Freddy 24Mayo</v>
      </c>
      <c r="C643" s="30"/>
      <c r="D643" s="30" t="s">
        <v>3460</v>
      </c>
      <c r="E643" s="30" t="s">
        <v>1018</v>
      </c>
      <c r="F643" s="34" t="str">
        <f>IFERROR(VLOOKUP(VENTAS[[#This Row],[Código del producto Vendido]],STOCK[],5,FALSE),"-")</f>
        <v>Top Dreamer Negro</v>
      </c>
      <c r="G643" s="34">
        <v>1</v>
      </c>
      <c r="H643" s="35">
        <v>12</v>
      </c>
      <c r="I643" s="35">
        <f>VENTAS[[#This Row],[Cantidad]]*VENTAS[[#This Row],[Precio Venta]]</f>
        <v>12</v>
      </c>
      <c r="J643" s="35">
        <f>IF(VENTAS[[#This Row],[Nombre del Gestor]]&gt;1,VENTAS[[#This Row],[Total]]*10%,0)</f>
        <v>1.2</v>
      </c>
      <c r="K643" s="35">
        <f>IFERROR(VLOOKUP(VENTAS[[#This Row],[Código del producto Vendido]],STOCK[],16,FALSE)*VENTAS[[#This Row],[Cantidad]]+VLOOKUP(VENTAS[[#This Row],[Código del producto Vendido]],STOCK[],19,FALSE)*VENTAS[[#This Row],[Cantidad]],VENTAS[[#This Row],[Total]])</f>
        <v>7.15681818181818</v>
      </c>
      <c r="L643" s="35">
        <f>VENTAS[[#This Row],[Total]]-VENTAS[[#This Row],[Comisión 10%]]-VENTAS[[#This Row],[Costo SIN Comision]]</f>
        <v>3.64318181818182</v>
      </c>
      <c r="M643" s="35"/>
    </row>
    <row r="644" ht="20" customHeight="1" spans="1:13">
      <c r="A644" s="29" t="s">
        <v>3455</v>
      </c>
      <c r="B644" s="30" t="str">
        <f>IFERROR(VLOOKUP(VENTAS[[#This Row],[Código del producto Vendido]],STOCK[],25,FALSE),"-")</f>
        <v>Viaje Agosto</v>
      </c>
      <c r="C644" s="30"/>
      <c r="D644" s="30" t="s">
        <v>3460</v>
      </c>
      <c r="E644" s="30" t="s">
        <v>1155</v>
      </c>
      <c r="F644" s="34" t="str">
        <f>IFERROR(VLOOKUP(VENTAS[[#This Row],[Código del producto Vendido]],STOCK[],5,FALSE),"-")</f>
        <v>Pullover negro cuello redondo</v>
      </c>
      <c r="G644" s="34">
        <v>1</v>
      </c>
      <c r="H644" s="35">
        <v>12</v>
      </c>
      <c r="I644" s="35">
        <f>VENTAS[[#This Row],[Cantidad]]*VENTAS[[#This Row],[Precio Venta]]</f>
        <v>12</v>
      </c>
      <c r="J644" s="35">
        <f>IF(VENTAS[[#This Row],[Nombre del Gestor]]&gt;1,VENTAS[[#This Row],[Total]]*10%,0)</f>
        <v>1.2</v>
      </c>
      <c r="K644" s="35">
        <f>IFERROR(VLOOKUP(VENTAS[[#This Row],[Código del producto Vendido]],STOCK[],16,FALSE)*VENTAS[[#This Row],[Cantidad]]+VLOOKUP(VENTAS[[#This Row],[Código del producto Vendido]],STOCK[],19,FALSE)*VENTAS[[#This Row],[Cantidad]],VENTAS[[#This Row],[Total]])</f>
        <v>8.53</v>
      </c>
      <c r="L644" s="35">
        <f>VENTAS[[#This Row],[Total]]-VENTAS[[#This Row],[Comisión 10%]]-VENTAS[[#This Row],[Costo SIN Comision]]</f>
        <v>2.27</v>
      </c>
      <c r="M644" s="35"/>
    </row>
    <row r="645" ht="20" customHeight="1" spans="1:13">
      <c r="A645" s="29" t="s">
        <v>3455</v>
      </c>
      <c r="B645" s="30" t="str">
        <f>IFERROR(VLOOKUP(VENTAS[[#This Row],[Código del producto Vendido]],STOCK[],25,FALSE),"-")</f>
        <v>Compra 7/12/2023</v>
      </c>
      <c r="C645" s="30"/>
      <c r="D645" s="30"/>
      <c r="E645" s="30" t="s">
        <v>1475</v>
      </c>
      <c r="F645" s="34" t="str">
        <f>IFERROR(VLOOKUP(VENTAS[[#This Row],[Código del producto Vendido]],STOCK[],5,FALSE),"-")</f>
        <v>Camiseta Dazy Blanco</v>
      </c>
      <c r="G645" s="34">
        <v>1</v>
      </c>
      <c r="H645" s="35">
        <v>13</v>
      </c>
      <c r="I645" s="35">
        <f>VENTAS[[#This Row],[Cantidad]]*VENTAS[[#This Row],[Precio Venta]]</f>
        <v>13</v>
      </c>
      <c r="J645" s="35">
        <f>IF(VENTAS[[#This Row],[Nombre del Gestor]]&gt;1,VENTAS[[#This Row],[Total]]*10%,0)</f>
        <v>0</v>
      </c>
      <c r="K645" s="35">
        <f>IFERROR(VLOOKUP(VENTAS[[#This Row],[Código del producto Vendido]],STOCK[],16,FALSE)*VENTAS[[#This Row],[Cantidad]]+VLOOKUP(VENTAS[[#This Row],[Código del producto Vendido]],STOCK[],19,FALSE)*VENTAS[[#This Row],[Cantidad]],VENTAS[[#This Row],[Total]])</f>
        <v>11</v>
      </c>
      <c r="L645" s="35">
        <f>VENTAS[[#This Row],[Total]]-VENTAS[[#This Row],[Comisión 10%]]-VENTAS[[#This Row],[Costo SIN Comision]]</f>
        <v>2</v>
      </c>
      <c r="M645" s="35"/>
    </row>
    <row r="646" ht="20" customHeight="1" spans="1:13">
      <c r="A646" s="29" t="s">
        <v>3455</v>
      </c>
      <c r="B646" s="30" t="str">
        <f>IFERROR(VLOOKUP(VENTAS[[#This Row],[Código del producto Vendido]],STOCK[],25,FALSE),"-")</f>
        <v>Compra 7/12/2023</v>
      </c>
      <c r="C646" s="30"/>
      <c r="D646" s="30"/>
      <c r="E646" s="30" t="s">
        <v>1477</v>
      </c>
      <c r="F646" s="34" t="str">
        <f>IFERROR(VLOOKUP(VENTAS[[#This Row],[Código del producto Vendido]],STOCK[],5,FALSE),"-")</f>
        <v>Pantalón negro acampanado</v>
      </c>
      <c r="G646" s="34">
        <v>1</v>
      </c>
      <c r="H646" s="35">
        <v>28</v>
      </c>
      <c r="I646" s="35">
        <f>VENTAS[[#This Row],[Cantidad]]*VENTAS[[#This Row],[Precio Venta]]</f>
        <v>28</v>
      </c>
      <c r="J646" s="35">
        <f>IF(VENTAS[[#This Row],[Nombre del Gestor]]&gt;1,VENTAS[[#This Row],[Total]]*10%,0)</f>
        <v>0</v>
      </c>
      <c r="K646" s="35">
        <f>IFERROR(VLOOKUP(VENTAS[[#This Row],[Código del producto Vendido]],STOCK[],16,FALSE)*VENTAS[[#This Row],[Cantidad]]+VLOOKUP(VENTAS[[#This Row],[Código del producto Vendido]],STOCK[],19,FALSE)*VENTAS[[#This Row],[Cantidad]],VENTAS[[#This Row],[Total]])</f>
        <v>18.5</v>
      </c>
      <c r="L646" s="35">
        <f>VENTAS[[#This Row],[Total]]-VENTAS[[#This Row],[Comisión 10%]]-VENTAS[[#This Row],[Costo SIN Comision]]</f>
        <v>9.5</v>
      </c>
      <c r="M646" s="35"/>
    </row>
    <row r="647" ht="20" customHeight="1" spans="1:13">
      <c r="A647" s="29" t="s">
        <v>3455</v>
      </c>
      <c r="B647" s="30" t="str">
        <f>IFERROR(VLOOKUP(VENTAS[[#This Row],[Código del producto Vendido]],STOCK[],25,FALSE),"-")</f>
        <v>Compra 7/12/2023</v>
      </c>
      <c r="C647" s="30"/>
      <c r="D647" s="30" t="s">
        <v>3462</v>
      </c>
      <c r="E647" s="30" t="s">
        <v>1485</v>
      </c>
      <c r="F647" s="34" t="str">
        <f>IFERROR(VLOOKUP(VENTAS[[#This Row],[Código del producto Vendido]],STOCK[],5,FALSE),"-")</f>
        <v>Vestido Camisero flores</v>
      </c>
      <c r="G647" s="34">
        <v>1</v>
      </c>
      <c r="H647" s="35">
        <v>35</v>
      </c>
      <c r="I647" s="35">
        <f>VENTAS[[#This Row],[Cantidad]]*VENTAS[[#This Row],[Precio Venta]]</f>
        <v>35</v>
      </c>
      <c r="J647" s="35">
        <f>IF(VENTAS[[#This Row],[Nombre del Gestor]]&gt;1,VENTAS[[#This Row],[Total]]*10%,0)</f>
        <v>3.5</v>
      </c>
      <c r="K647" s="35">
        <f>IFERROR(VLOOKUP(VENTAS[[#This Row],[Código del producto Vendido]],STOCK[],16,FALSE)*VENTAS[[#This Row],[Cantidad]]+VLOOKUP(VENTAS[[#This Row],[Código del producto Vendido]],STOCK[],19,FALSE)*VENTAS[[#This Row],[Cantidad]],VENTAS[[#This Row],[Total]])</f>
        <v>20.6</v>
      </c>
      <c r="L647" s="35">
        <f>VENTAS[[#This Row],[Total]]-VENTAS[[#This Row],[Comisión 10%]]-VENTAS[[#This Row],[Costo SIN Comision]]</f>
        <v>10.9</v>
      </c>
      <c r="M647" s="35"/>
    </row>
    <row r="648" ht="20" customHeight="1" spans="1:13">
      <c r="A648" s="29" t="s">
        <v>3455</v>
      </c>
      <c r="B648" s="30" t="str">
        <f>IFERROR(VLOOKUP(VENTAS[[#This Row],[Código del producto Vendido]],STOCK[],25,FALSE),"-")</f>
        <v>Compra 7/12/2023</v>
      </c>
      <c r="C648" s="30"/>
      <c r="D648" s="30"/>
      <c r="E648" s="30" t="s">
        <v>1500</v>
      </c>
      <c r="F648" s="34" t="str">
        <f>IFERROR(VLOOKUP(VENTAS[[#This Row],[Código del producto Vendido]],STOCK[],5,FALSE),"-")</f>
        <v>Chaleco blanco botones</v>
      </c>
      <c r="G648" s="34">
        <v>1</v>
      </c>
      <c r="H648" s="35">
        <v>25</v>
      </c>
      <c r="I648" s="35">
        <f>VENTAS[[#This Row],[Cantidad]]*VENTAS[[#This Row],[Precio Venta]]</f>
        <v>25</v>
      </c>
      <c r="J648" s="35">
        <f>IF(VENTAS[[#This Row],[Nombre del Gestor]]&gt;1,VENTAS[[#This Row],[Total]]*10%,0)</f>
        <v>0</v>
      </c>
      <c r="K648" s="35">
        <f>IFERROR(VLOOKUP(VENTAS[[#This Row],[Código del producto Vendido]],STOCK[],16,FALSE)*VENTAS[[#This Row],[Cantidad]]+VLOOKUP(VENTAS[[#This Row],[Código del producto Vendido]],STOCK[],19,FALSE)*VENTAS[[#This Row],[Cantidad]],VENTAS[[#This Row],[Total]])</f>
        <v>13.5</v>
      </c>
      <c r="L648" s="35">
        <f>VENTAS[[#This Row],[Total]]-VENTAS[[#This Row],[Comisión 10%]]-VENTAS[[#This Row],[Costo SIN Comision]]</f>
        <v>11.5</v>
      </c>
      <c r="M648" s="35"/>
    </row>
    <row r="649" ht="20" customHeight="1" spans="1:13">
      <c r="A649" s="29" t="s">
        <v>3455</v>
      </c>
      <c r="B649" s="30" t="str">
        <f>IFERROR(VLOOKUP(VENTAS[[#This Row],[Código del producto Vendido]],STOCK[],25,FALSE),"-")</f>
        <v>Compra 7/12/2023</v>
      </c>
      <c r="C649" s="30"/>
      <c r="D649" s="30"/>
      <c r="E649" s="30" t="s">
        <v>1516</v>
      </c>
      <c r="F649" s="34" t="str">
        <f>IFERROR(VLOOKUP(VENTAS[[#This Row],[Código del producto Vendido]],STOCK[],5,FALSE),"-")</f>
        <v>Chaleco de traje</v>
      </c>
      <c r="G649" s="34">
        <v>1</v>
      </c>
      <c r="H649" s="35">
        <v>25</v>
      </c>
      <c r="I649" s="35">
        <f>VENTAS[[#This Row],[Cantidad]]*VENTAS[[#This Row],[Precio Venta]]</f>
        <v>25</v>
      </c>
      <c r="J649" s="35">
        <f>IF(VENTAS[[#This Row],[Nombre del Gestor]]&gt;1,VENTAS[[#This Row],[Total]]*10%,0)</f>
        <v>0</v>
      </c>
      <c r="K649" s="35">
        <f>IFERROR(VLOOKUP(VENTAS[[#This Row],[Código del producto Vendido]],STOCK[],16,FALSE)*VENTAS[[#This Row],[Cantidad]]+VLOOKUP(VENTAS[[#This Row],[Código del producto Vendido]],STOCK[],19,FALSE)*VENTAS[[#This Row],[Cantidad]],VENTAS[[#This Row],[Total]])</f>
        <v>13.5</v>
      </c>
      <c r="L649" s="35">
        <f>VENTAS[[#This Row],[Total]]-VENTAS[[#This Row],[Comisión 10%]]-VENTAS[[#This Row],[Costo SIN Comision]]</f>
        <v>11.5</v>
      </c>
      <c r="M649" s="35"/>
    </row>
    <row r="650" ht="20" customHeight="1" spans="1:13">
      <c r="A650" s="29" t="s">
        <v>3455</v>
      </c>
      <c r="B650" s="30" t="str">
        <f>IFERROR(VLOOKUP(VENTAS[[#This Row],[Código del producto Vendido]],STOCK[],25,FALSE),"-")</f>
        <v>Compra 7/12/2023</v>
      </c>
      <c r="C650" s="30"/>
      <c r="D650" s="30"/>
      <c r="E650" s="30" t="s">
        <v>1518</v>
      </c>
      <c r="F650" s="34" t="str">
        <f>IFERROR(VLOOKUP(VENTAS[[#This Row],[Código del producto Vendido]],STOCK[],5,FALSE),"-")</f>
        <v>Chaleco de traje</v>
      </c>
      <c r="G650" s="34">
        <v>1</v>
      </c>
      <c r="H650" s="35">
        <v>25</v>
      </c>
      <c r="I650" s="35">
        <f>VENTAS[[#This Row],[Cantidad]]*VENTAS[[#This Row],[Precio Venta]]</f>
        <v>25</v>
      </c>
      <c r="J650" s="35">
        <f>IF(VENTAS[[#This Row],[Nombre del Gestor]]&gt;1,VENTAS[[#This Row],[Total]]*10%,0)</f>
        <v>0</v>
      </c>
      <c r="K650" s="35">
        <f>IFERROR(VLOOKUP(VENTAS[[#This Row],[Código del producto Vendido]],STOCK[],16,FALSE)*VENTAS[[#This Row],[Cantidad]]+VLOOKUP(VENTAS[[#This Row],[Código del producto Vendido]],STOCK[],19,FALSE)*VENTAS[[#This Row],[Cantidad]],VENTAS[[#This Row],[Total]])</f>
        <v>13.5</v>
      </c>
      <c r="L650" s="35">
        <f>VENTAS[[#This Row],[Total]]-VENTAS[[#This Row],[Comisión 10%]]-VENTAS[[#This Row],[Costo SIN Comision]]</f>
        <v>11.5</v>
      </c>
      <c r="M650" s="35"/>
    </row>
    <row r="651" ht="20" customHeight="1" spans="1:13">
      <c r="A651" s="29" t="s">
        <v>3455</v>
      </c>
      <c r="B651" s="30" t="str">
        <f>IFERROR(VLOOKUP(VENTAS[[#This Row],[Código del producto Vendido]],STOCK[],25,FALSE),"-")</f>
        <v>Compra 7/12/2023</v>
      </c>
      <c r="C651" s="30"/>
      <c r="D651" s="30"/>
      <c r="E651" s="30" t="s">
        <v>1533</v>
      </c>
      <c r="F651" s="34" t="str">
        <f>IFERROR(VLOOKUP(VENTAS[[#This Row],[Código del producto Vendido]],STOCK[],5,FALSE),"-")</f>
        <v>Top de encaje</v>
      </c>
      <c r="G651" s="34">
        <v>1</v>
      </c>
      <c r="H651" s="35">
        <v>22</v>
      </c>
      <c r="I651" s="35">
        <f>VENTAS[[#This Row],[Cantidad]]*VENTAS[[#This Row],[Precio Venta]]</f>
        <v>22</v>
      </c>
      <c r="J651" s="35">
        <f>IF(VENTAS[[#This Row],[Nombre del Gestor]]&gt;1,VENTAS[[#This Row],[Total]]*10%,0)</f>
        <v>0</v>
      </c>
      <c r="K651" s="35">
        <f>IFERROR(VLOOKUP(VENTAS[[#This Row],[Código del producto Vendido]],STOCK[],16,FALSE)*VENTAS[[#This Row],[Cantidad]]+VLOOKUP(VENTAS[[#This Row],[Código del producto Vendido]],STOCK[],19,FALSE)*VENTAS[[#This Row],[Cantidad]],VENTAS[[#This Row],[Total]])</f>
        <v>14.7</v>
      </c>
      <c r="L651" s="35">
        <f>VENTAS[[#This Row],[Total]]-VENTAS[[#This Row],[Comisión 10%]]-VENTAS[[#This Row],[Costo SIN Comision]]</f>
        <v>7.3</v>
      </c>
      <c r="M651" s="35"/>
    </row>
    <row r="652" ht="20" customHeight="1" spans="1:13">
      <c r="A652" s="29" t="s">
        <v>3455</v>
      </c>
      <c r="B652" s="30" t="str">
        <f>IFERROR(VLOOKUP(VENTAS[[#This Row],[Código del producto Vendido]],STOCK[],25,FALSE),"-")</f>
        <v>Compra 7/12/2023</v>
      </c>
      <c r="C652" s="30"/>
      <c r="D652" s="30"/>
      <c r="E652" s="30" t="s">
        <v>1471</v>
      </c>
      <c r="F652" s="34" t="str">
        <f>IFERROR(VLOOKUP(VENTAS[[#This Row],[Código del producto Vendido]],STOCK[],5,FALSE),"-")</f>
        <v>Camiseta Dazy Negro</v>
      </c>
      <c r="G652" s="34">
        <v>1</v>
      </c>
      <c r="H652" s="35">
        <v>13</v>
      </c>
      <c r="I652" s="35">
        <f>VENTAS[[#This Row],[Cantidad]]*VENTAS[[#This Row],[Precio Venta]]</f>
        <v>13</v>
      </c>
      <c r="J652" s="35">
        <f>IF(VENTAS[[#This Row],[Nombre del Gestor]]&gt;1,VENTAS[[#This Row],[Total]]*10%,0)</f>
        <v>0</v>
      </c>
      <c r="K652" s="35">
        <f>IFERROR(VLOOKUP(VENTAS[[#This Row],[Código del producto Vendido]],STOCK[],16,FALSE)*VENTAS[[#This Row],[Cantidad]]+VLOOKUP(VENTAS[[#This Row],[Código del producto Vendido]],STOCK[],19,FALSE)*VENTAS[[#This Row],[Cantidad]],VENTAS[[#This Row],[Total]])</f>
        <v>11</v>
      </c>
      <c r="L652" s="35">
        <f>VENTAS[[#This Row],[Total]]-VENTAS[[#This Row],[Comisión 10%]]-VENTAS[[#This Row],[Costo SIN Comision]]</f>
        <v>2</v>
      </c>
      <c r="M652" s="35"/>
    </row>
    <row r="653" ht="20" customHeight="1" spans="1:13">
      <c r="A653" s="29" t="s">
        <v>3455</v>
      </c>
      <c r="B653" s="30" t="str">
        <f>IFERROR(VLOOKUP(VENTAS[[#This Row],[Código del producto Vendido]],STOCK[],25,FALSE),"-")</f>
        <v>Compra 7/12/2023</v>
      </c>
      <c r="C653" s="30"/>
      <c r="D653" s="30" t="s">
        <v>3460</v>
      </c>
      <c r="E653" s="30" t="s">
        <v>1506</v>
      </c>
      <c r="F653" s="34" t="str">
        <f>IFERROR(VLOOKUP(VENTAS[[#This Row],[Código del producto Vendido]],STOCK[],5,FALSE),"-")</f>
        <v>Camiseta Dazy Blanco</v>
      </c>
      <c r="G653" s="34">
        <v>1</v>
      </c>
      <c r="H653" s="35">
        <v>13</v>
      </c>
      <c r="I653" s="35">
        <f>VENTAS[[#This Row],[Cantidad]]*VENTAS[[#This Row],[Precio Venta]]</f>
        <v>13</v>
      </c>
      <c r="J653" s="35">
        <f>IF(VENTAS[[#This Row],[Nombre del Gestor]]&gt;1,VENTAS[[#This Row],[Total]]*10%,0)</f>
        <v>1.3</v>
      </c>
      <c r="K653" s="35">
        <f>IFERROR(VLOOKUP(VENTAS[[#This Row],[Código del producto Vendido]],STOCK[],16,FALSE)*VENTAS[[#This Row],[Cantidad]]+VLOOKUP(VENTAS[[#This Row],[Código del producto Vendido]],STOCK[],19,FALSE)*VENTAS[[#This Row],[Cantidad]],VENTAS[[#This Row],[Total]])</f>
        <v>1.5</v>
      </c>
      <c r="L653" s="35">
        <f>VENTAS[[#This Row],[Total]]-VENTAS[[#This Row],[Comisión 10%]]-VENTAS[[#This Row],[Costo SIN Comision]]</f>
        <v>10.2</v>
      </c>
      <c r="M653" s="35"/>
    </row>
    <row r="654" ht="20" customHeight="1" spans="1:13">
      <c r="A654" s="29" t="s">
        <v>3455</v>
      </c>
      <c r="B654" s="30" t="str">
        <f>IFERROR(VLOOKUP(VENTAS[[#This Row],[Código del producto Vendido]],STOCK[],25,FALSE),"-")</f>
        <v>COMPRA F21</v>
      </c>
      <c r="C654" s="30"/>
      <c r="D654" s="30"/>
      <c r="E654" s="30" t="s">
        <v>1450</v>
      </c>
      <c r="F654" s="34" t="str">
        <f>IFERROR(VLOOKUP(VENTAS[[#This Row],[Código del producto Vendido]],STOCK[],5,FALSE),"-")</f>
        <v>Sandalias minimalistas de plataforma</v>
      </c>
      <c r="G654" s="34">
        <v>1</v>
      </c>
      <c r="H654" s="35">
        <v>30</v>
      </c>
      <c r="I654" s="35">
        <f>VENTAS[[#This Row],[Cantidad]]*VENTAS[[#This Row],[Precio Venta]]</f>
        <v>30</v>
      </c>
      <c r="J654" s="35">
        <f>IF(VENTAS[[#This Row],[Nombre del Gestor]]&gt;1,VENTAS[[#This Row],[Total]]*10%,0)</f>
        <v>0</v>
      </c>
      <c r="K654" s="35">
        <f>IFERROR(VLOOKUP(VENTAS[[#This Row],[Código del producto Vendido]],STOCK[],16,FALSE)*VENTAS[[#This Row],[Cantidad]]+VLOOKUP(VENTAS[[#This Row],[Código del producto Vendido]],STOCK[],19,FALSE)*VENTAS[[#This Row],[Cantidad]],VENTAS[[#This Row],[Total]])</f>
        <v>22.49</v>
      </c>
      <c r="L654" s="35">
        <f>VENTAS[[#This Row],[Total]]-VENTAS[[#This Row],[Comisión 10%]]-VENTAS[[#This Row],[Costo SIN Comision]]</f>
        <v>7.51</v>
      </c>
      <c r="M654" s="35"/>
    </row>
    <row r="655" ht="20" customHeight="1" spans="1:13">
      <c r="A655" s="29" t="s">
        <v>3455</v>
      </c>
      <c r="B655" s="30" t="str">
        <f>IFERROR(VLOOKUP(VENTAS[[#This Row],[Código del producto Vendido]],STOCK[],25,FALSE),"-")</f>
        <v>COMPRA F21</v>
      </c>
      <c r="C655" s="30"/>
      <c r="D655" s="30"/>
      <c r="E655" s="30" t="s">
        <v>1452</v>
      </c>
      <c r="F655" s="34" t="str">
        <f>IFERROR(VLOOKUP(VENTAS[[#This Row],[Código del producto Vendido]],STOCK[],5,FALSE),"-")</f>
        <v>Sandalias minimalistas de plataforma</v>
      </c>
      <c r="G655" s="34">
        <v>1</v>
      </c>
      <c r="H655" s="35">
        <v>35</v>
      </c>
      <c r="I655" s="35">
        <f>VENTAS[[#This Row],[Cantidad]]*VENTAS[[#This Row],[Precio Venta]]</f>
        <v>35</v>
      </c>
      <c r="J655" s="35">
        <f>IF(VENTAS[[#This Row],[Nombre del Gestor]]&gt;1,VENTAS[[#This Row],[Total]]*10%,0)</f>
        <v>0</v>
      </c>
      <c r="K655" s="35">
        <f>IFERROR(VLOOKUP(VENTAS[[#This Row],[Código del producto Vendido]],STOCK[],16,FALSE)*VENTAS[[#This Row],[Cantidad]]+VLOOKUP(VENTAS[[#This Row],[Código del producto Vendido]],STOCK[],19,FALSE)*VENTAS[[#This Row],[Cantidad]],VENTAS[[#This Row],[Total]])</f>
        <v>22.49</v>
      </c>
      <c r="L655" s="35">
        <f>VENTAS[[#This Row],[Total]]-VENTAS[[#This Row],[Comisión 10%]]-VENTAS[[#This Row],[Costo SIN Comision]]</f>
        <v>12.51</v>
      </c>
      <c r="M655" s="35"/>
    </row>
    <row r="656" ht="20" customHeight="1" spans="1:13">
      <c r="A656" s="29" t="s">
        <v>3455</v>
      </c>
      <c r="B656" s="30">
        <f>IFERROR(VLOOKUP(VENTAS[[#This Row],[Código del producto Vendido]],STOCK[],25,FALSE),"-")</f>
        <v>0</v>
      </c>
      <c r="C656" s="30"/>
      <c r="D656" s="30"/>
      <c r="E656" s="30" t="s">
        <v>1459</v>
      </c>
      <c r="F656" s="34" t="str">
        <f>IFERROR(VLOOKUP(VENTAS[[#This Row],[Código del producto Vendido]],STOCK[],5,FALSE),"-")</f>
        <v>Pantalón alto de bajo elegante</v>
      </c>
      <c r="G656" s="34">
        <v>1</v>
      </c>
      <c r="H656" s="35">
        <v>32</v>
      </c>
      <c r="I656" s="35">
        <f>VENTAS[[#This Row],[Cantidad]]*VENTAS[[#This Row],[Precio Venta]]</f>
        <v>32</v>
      </c>
      <c r="J656" s="35">
        <f>IF(VENTAS[[#This Row],[Nombre del Gestor]]&gt;1,VENTAS[[#This Row],[Total]]*10%,0)</f>
        <v>0</v>
      </c>
      <c r="K656" s="35">
        <f>IFERROR(VLOOKUP(VENTAS[[#This Row],[Código del producto Vendido]],STOCK[],16,FALSE)*VENTAS[[#This Row],[Cantidad]]+VLOOKUP(VENTAS[[#This Row],[Código del producto Vendido]],STOCK[],19,FALSE)*VENTAS[[#This Row],[Cantidad]],VENTAS[[#This Row],[Total]])</f>
        <v>16.19</v>
      </c>
      <c r="L656" s="35">
        <f>VENTAS[[#This Row],[Total]]-VENTAS[[#This Row],[Comisión 10%]]-VENTAS[[#This Row],[Costo SIN Comision]]</f>
        <v>15.81</v>
      </c>
      <c r="M656" s="35"/>
    </row>
    <row r="657" ht="20" customHeight="1" spans="1:13">
      <c r="A657" s="29" t="s">
        <v>3455</v>
      </c>
      <c r="B657" s="30" t="str">
        <f>IFERROR(VLOOKUP(VENTAS[[#This Row],[Código del producto Vendido]],STOCK[],25,FALSE),"-")</f>
        <v>Compra 7/12/2023</v>
      </c>
      <c r="C657" s="30"/>
      <c r="D657" s="30"/>
      <c r="E657" s="30" t="s">
        <v>1489</v>
      </c>
      <c r="F657" s="34" t="str">
        <f>IFERROR(VLOOKUP(VENTAS[[#This Row],[Código del producto Vendido]],STOCK[],5,FALSE),"-")</f>
        <v>Pullover cuello redondo</v>
      </c>
      <c r="G657" s="34">
        <v>1</v>
      </c>
      <c r="H657" s="35">
        <v>13</v>
      </c>
      <c r="I657" s="35">
        <f>VENTAS[[#This Row],[Cantidad]]*VENTAS[[#This Row],[Precio Venta]]</f>
        <v>13</v>
      </c>
      <c r="J657" s="35">
        <f>IF(VENTAS[[#This Row],[Nombre del Gestor]]&gt;1,VENTAS[[#This Row],[Total]]*10%,0)</f>
        <v>0</v>
      </c>
      <c r="K657" s="35">
        <f>IFERROR(VLOOKUP(VENTAS[[#This Row],[Código del producto Vendido]],STOCK[],16,FALSE)*VENTAS[[#This Row],[Cantidad]]+VLOOKUP(VENTAS[[#This Row],[Código del producto Vendido]],STOCK[],19,FALSE)*VENTAS[[#This Row],[Cantidad]],VENTAS[[#This Row],[Total]])</f>
        <v>7.5</v>
      </c>
      <c r="L657" s="35">
        <f>VENTAS[[#This Row],[Total]]-VENTAS[[#This Row],[Comisión 10%]]-VENTAS[[#This Row],[Costo SIN Comision]]</f>
        <v>5.5</v>
      </c>
      <c r="M657" s="35"/>
    </row>
    <row r="658" ht="20" customHeight="1" spans="1:13">
      <c r="A658" s="29" t="s">
        <v>3455</v>
      </c>
      <c r="B658" s="30">
        <f>IFERROR(VLOOKUP(VENTAS[[#This Row],[Código del producto Vendido]],STOCK[],25,FALSE),"-")</f>
        <v>0</v>
      </c>
      <c r="C658" s="30"/>
      <c r="D658" s="30"/>
      <c r="E658" s="30" t="s">
        <v>150</v>
      </c>
      <c r="F658" s="34" t="str">
        <f>IFERROR(VLOOKUP(VENTAS[[#This Row],[Código del producto Vendido]],STOCK[],5,FALSE),"-")</f>
        <v>Jean Boyfriend con rotos</v>
      </c>
      <c r="G658" s="34">
        <v>1</v>
      </c>
      <c r="H658" s="35">
        <v>30</v>
      </c>
      <c r="I658" s="35">
        <f>VENTAS[[#This Row],[Cantidad]]*VENTAS[[#This Row],[Precio Venta]]</f>
        <v>30</v>
      </c>
      <c r="J658" s="35">
        <f>IF(VENTAS[[#This Row],[Nombre del Gestor]]&gt;1,VENTAS[[#This Row],[Total]]*10%,0)</f>
        <v>0</v>
      </c>
      <c r="K658" s="35">
        <f>IFERROR(VLOOKUP(VENTAS[[#This Row],[Código del producto Vendido]],STOCK[],16,FALSE)*VENTAS[[#This Row],[Cantidad]]+VLOOKUP(VENTAS[[#This Row],[Código del producto Vendido]],STOCK[],19,FALSE)*VENTAS[[#This Row],[Cantidad]],VENTAS[[#This Row],[Total]])</f>
        <v>18.6866666666667</v>
      </c>
      <c r="L658" s="35">
        <f>VENTAS[[#This Row],[Total]]-VENTAS[[#This Row],[Comisión 10%]]-VENTAS[[#This Row],[Costo SIN Comision]]</f>
        <v>11.3133333333333</v>
      </c>
      <c r="M658" s="35"/>
    </row>
    <row r="659" ht="20" customHeight="1" spans="1:13">
      <c r="A659" s="29" t="s">
        <v>3455</v>
      </c>
      <c r="B659" s="30">
        <f>IFERROR(VLOOKUP(VENTAS[[#This Row],[Código del producto Vendido]],STOCK[],25,FALSE),"-")</f>
        <v>0</v>
      </c>
      <c r="C659" s="30"/>
      <c r="D659" s="30" t="s">
        <v>3456</v>
      </c>
      <c r="E659" s="30" t="s">
        <v>150</v>
      </c>
      <c r="F659" s="34" t="str">
        <f>IFERROR(VLOOKUP(VENTAS[[#This Row],[Código del producto Vendido]],STOCK[],5,FALSE),"-")</f>
        <v>Jean Boyfriend con rotos</v>
      </c>
      <c r="G659" s="34">
        <v>1</v>
      </c>
      <c r="H659" s="35">
        <v>30</v>
      </c>
      <c r="I659" s="35">
        <f>VENTAS[[#This Row],[Cantidad]]*VENTAS[[#This Row],[Precio Venta]]</f>
        <v>30</v>
      </c>
      <c r="J659" s="35">
        <f>IF(VENTAS[[#This Row],[Nombre del Gestor]]&gt;1,VENTAS[[#This Row],[Total]]*10%,0)</f>
        <v>3</v>
      </c>
      <c r="K659" s="35">
        <f>IFERROR(VLOOKUP(VENTAS[[#This Row],[Código del producto Vendido]],STOCK[],16,FALSE)*VENTAS[[#This Row],[Cantidad]]+VLOOKUP(VENTAS[[#This Row],[Código del producto Vendido]],STOCK[],19,FALSE)*VENTAS[[#This Row],[Cantidad]],VENTAS[[#This Row],[Total]])</f>
        <v>18.6866666666667</v>
      </c>
      <c r="L659" s="35">
        <f>VENTAS[[#This Row],[Total]]-VENTAS[[#This Row],[Comisión 10%]]-VENTAS[[#This Row],[Costo SIN Comision]]</f>
        <v>8.31333333333333</v>
      </c>
      <c r="M659" s="35"/>
    </row>
    <row r="660" ht="20" customHeight="1" spans="1:13">
      <c r="A660" s="29" t="s">
        <v>3455</v>
      </c>
      <c r="B660" s="30" t="str">
        <f>IFERROR(VLOOKUP(VENTAS[[#This Row],[Código del producto Vendido]],STOCK[],25,FALSE),"-")</f>
        <v>Compra 7/12/2023</v>
      </c>
      <c r="C660" s="30"/>
      <c r="D660" s="30"/>
      <c r="E660" s="30" t="s">
        <v>1516</v>
      </c>
      <c r="F660" s="34" t="str">
        <f>IFERROR(VLOOKUP(VENTAS[[#This Row],[Código del producto Vendido]],STOCK[],5,FALSE),"-")</f>
        <v>Chaleco de traje</v>
      </c>
      <c r="G660" s="34">
        <v>1</v>
      </c>
      <c r="H660" s="35">
        <v>25</v>
      </c>
      <c r="I660" s="35">
        <f>VENTAS[[#This Row],[Cantidad]]*VENTAS[[#This Row],[Precio Venta]]</f>
        <v>25</v>
      </c>
      <c r="J660" s="35">
        <f>IF(VENTAS[[#This Row],[Nombre del Gestor]]&gt;1,VENTAS[[#This Row],[Total]]*10%,0)</f>
        <v>0</v>
      </c>
      <c r="K660" s="35">
        <f>IFERROR(VLOOKUP(VENTAS[[#This Row],[Código del producto Vendido]],STOCK[],16,FALSE)*VENTAS[[#This Row],[Cantidad]]+VLOOKUP(VENTAS[[#This Row],[Código del producto Vendido]],STOCK[],19,FALSE)*VENTAS[[#This Row],[Cantidad]],VENTAS[[#This Row],[Total]])</f>
        <v>13.5</v>
      </c>
      <c r="L660" s="35">
        <f>VENTAS[[#This Row],[Total]]-VENTAS[[#This Row],[Comisión 10%]]-VENTAS[[#This Row],[Costo SIN Comision]]</f>
        <v>11.5</v>
      </c>
      <c r="M660" s="35"/>
    </row>
    <row r="661" ht="20" customHeight="1" spans="1:13">
      <c r="A661" s="29"/>
      <c r="B661" s="30" t="str">
        <f>IFERROR(VLOOKUP(VENTAS[[#This Row],[Código del producto Vendido]],STOCK[],25,FALSE),"-")</f>
        <v>Compra 9/12/2023</v>
      </c>
      <c r="C661" s="30"/>
      <c r="D661" s="30"/>
      <c r="E661" s="30" t="s">
        <v>1613</v>
      </c>
      <c r="F661" s="34" t="str">
        <f>IFERROR(VLOOKUP(VENTAS[[#This Row],[Código del producto Vendido]],STOCK[],5,FALSE),"-")</f>
        <v>Camisa Modely</v>
      </c>
      <c r="G661" s="34">
        <v>1</v>
      </c>
      <c r="H661" s="35">
        <v>22</v>
      </c>
      <c r="I661" s="35">
        <f>VENTAS[[#This Row],[Cantidad]]*VENTAS[[#This Row],[Precio Venta]]</f>
        <v>22</v>
      </c>
      <c r="J661" s="35">
        <f>IF(VENTAS[[#This Row],[Nombre del Gestor]]&gt;1,VENTAS[[#This Row],[Total]]*10%,0)</f>
        <v>0</v>
      </c>
      <c r="K661" s="35">
        <f>IFERROR(VLOOKUP(VENTAS[[#This Row],[Código del producto Vendido]],STOCK[],16,FALSE)*VENTAS[[#This Row],[Cantidad]]+VLOOKUP(VENTAS[[#This Row],[Código del producto Vendido]],STOCK[],19,FALSE)*VENTAS[[#This Row],[Cantidad]],VENTAS[[#This Row],[Total]])</f>
        <v>9.74</v>
      </c>
      <c r="L661" s="35">
        <f>VENTAS[[#This Row],[Total]]-VENTAS[[#This Row],[Comisión 10%]]-VENTAS[[#This Row],[Costo SIN Comision]]</f>
        <v>12.26</v>
      </c>
      <c r="M661" s="35"/>
    </row>
    <row r="662" ht="20" customHeight="1" spans="1:13">
      <c r="A662" s="29"/>
      <c r="B662" s="30" t="str">
        <f>IFERROR(VLOOKUP(VENTAS[[#This Row],[Código del producto Vendido]],STOCK[],25,FALSE),"-")</f>
        <v>Compra 9/12/2023</v>
      </c>
      <c r="C662" s="30"/>
      <c r="D662" s="30"/>
      <c r="E662" s="30" t="s">
        <v>1625</v>
      </c>
      <c r="F662" s="34" t="str">
        <f>IFERROR(VLOOKUP(VENTAS[[#This Row],[Código del producto Vendido]],STOCK[],5,FALSE),"-")</f>
        <v>Vestido Tarsha</v>
      </c>
      <c r="G662" s="34">
        <v>1</v>
      </c>
      <c r="H662" s="35">
        <v>27</v>
      </c>
      <c r="I662" s="35">
        <f>VENTAS[[#This Row],[Cantidad]]*VENTAS[[#This Row],[Precio Venta]]</f>
        <v>27</v>
      </c>
      <c r="J662" s="35">
        <f>IF(VENTAS[[#This Row],[Nombre del Gestor]]&gt;1,VENTAS[[#This Row],[Total]]*10%,0)</f>
        <v>0</v>
      </c>
      <c r="K662" s="35">
        <f>IFERROR(VLOOKUP(VENTAS[[#This Row],[Código del producto Vendido]],STOCK[],16,FALSE)*VENTAS[[#This Row],[Cantidad]]+VLOOKUP(VENTAS[[#This Row],[Código del producto Vendido]],STOCK[],19,FALSE)*VENTAS[[#This Row],[Cantidad]],VENTAS[[#This Row],[Total]])</f>
        <v>13.97</v>
      </c>
      <c r="L662" s="35">
        <f>VENTAS[[#This Row],[Total]]-VENTAS[[#This Row],[Comisión 10%]]-VENTAS[[#This Row],[Costo SIN Comision]]</f>
        <v>13.03</v>
      </c>
      <c r="M662" s="35"/>
    </row>
    <row r="663" ht="20" customHeight="1" spans="1:13">
      <c r="A663" s="29"/>
      <c r="B663" s="30" t="str">
        <f>IFERROR(VLOOKUP(VENTAS[[#This Row],[Código del producto Vendido]],STOCK[],25,FALSE),"-")</f>
        <v>Compra 9/12/2023</v>
      </c>
      <c r="C663" s="30"/>
      <c r="D663" s="30" t="s">
        <v>3433</v>
      </c>
      <c r="E663" s="30" t="s">
        <v>1638</v>
      </c>
      <c r="F663" s="34" t="str">
        <f>IFERROR(VLOOKUP(VENTAS[[#This Row],[Código del producto Vendido]],STOCK[],5,FALSE),"-")</f>
        <v>Top Asimétrico Acanalado</v>
      </c>
      <c r="G663" s="34">
        <v>1</v>
      </c>
      <c r="H663" s="35">
        <v>12</v>
      </c>
      <c r="I663" s="35">
        <f>VENTAS[[#This Row],[Cantidad]]*VENTAS[[#This Row],[Precio Venta]]</f>
        <v>12</v>
      </c>
      <c r="J663" s="35">
        <f>IF(VENTAS[[#This Row],[Nombre del Gestor]]&gt;1,VENTAS[[#This Row],[Total]]*10%,0)</f>
        <v>1.2</v>
      </c>
      <c r="K663" s="35">
        <f>IFERROR(VLOOKUP(VENTAS[[#This Row],[Código del producto Vendido]],STOCK[],16,FALSE)*VENTAS[[#This Row],[Cantidad]]+VLOOKUP(VENTAS[[#This Row],[Código del producto Vendido]],STOCK[],19,FALSE)*VENTAS[[#This Row],[Cantidad]],VENTAS[[#This Row],[Total]])</f>
        <v>5.7</v>
      </c>
      <c r="L663" s="35">
        <f>VENTAS[[#This Row],[Total]]-VENTAS[[#This Row],[Comisión 10%]]-VENTAS[[#This Row],[Costo SIN Comision]]</f>
        <v>5.1</v>
      </c>
      <c r="M663" s="35"/>
    </row>
    <row r="664" ht="20" customHeight="1" spans="1:13">
      <c r="A664" s="29"/>
      <c r="B664" s="30" t="str">
        <f>IFERROR(VLOOKUP(VENTAS[[#This Row],[Código del producto Vendido]],STOCK[],25,FALSE),"-")</f>
        <v>Compra 9/12/2023</v>
      </c>
      <c r="C664" s="30"/>
      <c r="D664" s="30" t="s">
        <v>3460</v>
      </c>
      <c r="E664" s="30" t="s">
        <v>1652</v>
      </c>
      <c r="F664" s="34" t="str">
        <f>IFERROR(VLOOKUP(VENTAS[[#This Row],[Código del producto Vendido]],STOCK[],5,FALSE),"-")</f>
        <v>Vestido Margarita</v>
      </c>
      <c r="G664" s="34">
        <v>1</v>
      </c>
      <c r="H664" s="35">
        <v>28</v>
      </c>
      <c r="I664" s="35">
        <f>VENTAS[[#This Row],[Cantidad]]*VENTAS[[#This Row],[Precio Venta]]</f>
        <v>28</v>
      </c>
      <c r="J664" s="35">
        <f>IF(VENTAS[[#This Row],[Nombre del Gestor]]&gt;1,VENTAS[[#This Row],[Total]]*10%,0)</f>
        <v>2.8</v>
      </c>
      <c r="K664" s="35">
        <f>IFERROR(VLOOKUP(VENTAS[[#This Row],[Código del producto Vendido]],STOCK[],16,FALSE)*VENTAS[[#This Row],[Cantidad]]+VLOOKUP(VENTAS[[#This Row],[Código del producto Vendido]],STOCK[],19,FALSE)*VENTAS[[#This Row],[Cantidad]],VENTAS[[#This Row],[Total]])</f>
        <v>15.05</v>
      </c>
      <c r="L664" s="35">
        <f>VENTAS[[#This Row],[Total]]-VENTAS[[#This Row],[Comisión 10%]]-VENTAS[[#This Row],[Costo SIN Comision]]</f>
        <v>10.15</v>
      </c>
      <c r="M664" s="35"/>
    </row>
    <row r="665" ht="20" customHeight="1" spans="1:13">
      <c r="A665" s="29">
        <v>45326</v>
      </c>
      <c r="B665" s="30" t="str">
        <f>IFERROR(VLOOKUP(VENTAS[[#This Row],[Código del producto Vendido]],STOCK[],25,FALSE),"-")</f>
        <v>Compra 9/12/2023</v>
      </c>
      <c r="C665" s="30"/>
      <c r="D665" s="30" t="s">
        <v>3368</v>
      </c>
      <c r="E665" s="30" t="s">
        <v>1658</v>
      </c>
      <c r="F665" s="34" t="str">
        <f>IFERROR(VLOOKUP(VENTAS[[#This Row],[Código del producto Vendido]],STOCK[],5,FALSE),"-")</f>
        <v>Suéter cuello de Cisne</v>
      </c>
      <c r="G665" s="34">
        <v>1</v>
      </c>
      <c r="H665" s="35">
        <v>15</v>
      </c>
      <c r="I665" s="35">
        <f>VENTAS[[#This Row],[Cantidad]]*VENTAS[[#This Row],[Precio Venta]]</f>
        <v>15</v>
      </c>
      <c r="J665" s="35">
        <f>IF(VENTAS[[#This Row],[Nombre del Gestor]]&gt;1,VENTAS[[#This Row],[Total]]*10%,0)</f>
        <v>1.5</v>
      </c>
      <c r="K665" s="35">
        <f>IFERROR(VLOOKUP(VENTAS[[#This Row],[Código del producto Vendido]],STOCK[],16,FALSE)*VENTAS[[#This Row],[Cantidad]]+VLOOKUP(VENTAS[[#This Row],[Código del producto Vendido]],STOCK[],19,FALSE)*VENTAS[[#This Row],[Cantidad]],VENTAS[[#This Row],[Total]])</f>
        <v>5.78</v>
      </c>
      <c r="L665" s="35">
        <f>VENTAS[[#This Row],[Total]]-VENTAS[[#This Row],[Comisión 10%]]-VENTAS[[#This Row],[Costo SIN Comision]]</f>
        <v>7.72</v>
      </c>
      <c r="M665" s="35"/>
    </row>
    <row r="666" ht="20" customHeight="1" spans="1:13">
      <c r="A666" s="29">
        <v>45326</v>
      </c>
      <c r="B666" s="30" t="str">
        <f>IFERROR(VLOOKUP(VENTAS[[#This Row],[Código del producto Vendido]],STOCK[],25,FALSE),"-")</f>
        <v>Compra 9/12/2023</v>
      </c>
      <c r="C666" s="30"/>
      <c r="D666" s="30" t="s">
        <v>3368</v>
      </c>
      <c r="E666" s="30" t="s">
        <v>1640</v>
      </c>
      <c r="F666" s="34" t="str">
        <f>IFERROR(VLOOKUP(VENTAS[[#This Row],[Código del producto Vendido]],STOCK[],5,FALSE),"-")</f>
        <v>Top Asimétrico Acanalado</v>
      </c>
      <c r="G666" s="34">
        <v>1</v>
      </c>
      <c r="H666" s="35">
        <v>12</v>
      </c>
      <c r="I666" s="35">
        <f>VENTAS[[#This Row],[Cantidad]]*VENTAS[[#This Row],[Precio Venta]]</f>
        <v>12</v>
      </c>
      <c r="J666" s="35">
        <f>IF(VENTAS[[#This Row],[Nombre del Gestor]]&gt;1,VENTAS[[#This Row],[Total]]*10%,0)</f>
        <v>1.2</v>
      </c>
      <c r="K666" s="35">
        <f>IFERROR(VLOOKUP(VENTAS[[#This Row],[Código del producto Vendido]],STOCK[],16,FALSE)*VENTAS[[#This Row],[Cantidad]]+VLOOKUP(VENTAS[[#This Row],[Código del producto Vendido]],STOCK[],19,FALSE)*VENTAS[[#This Row],[Cantidad]],VENTAS[[#This Row],[Total]])</f>
        <v>5.7</v>
      </c>
      <c r="L666" s="35">
        <f>VENTAS[[#This Row],[Total]]-VENTAS[[#This Row],[Comisión 10%]]-VENTAS[[#This Row],[Costo SIN Comision]]</f>
        <v>5.1</v>
      </c>
      <c r="M666" s="35"/>
    </row>
    <row r="667" ht="20" customHeight="1" spans="1:13">
      <c r="A667" s="29">
        <v>45326</v>
      </c>
      <c r="B667" s="30" t="str">
        <f>IFERROR(VLOOKUP(VENTAS[[#This Row],[Código del producto Vendido]],STOCK[],25,FALSE),"-")</f>
        <v>Compra 9/12/2023</v>
      </c>
      <c r="C667" s="30"/>
      <c r="D667" s="30" t="s">
        <v>3368</v>
      </c>
      <c r="E667" s="30" t="s">
        <v>1664</v>
      </c>
      <c r="F667" s="34" t="str">
        <f>IFERROR(VLOOKUP(VENTAS[[#This Row],[Código del producto Vendido]],STOCK[],5,FALSE),"-")</f>
        <v>Mono Con Botón Delantero</v>
      </c>
      <c r="G667" s="34">
        <v>1</v>
      </c>
      <c r="H667" s="35">
        <v>28</v>
      </c>
      <c r="I667" s="35">
        <f>VENTAS[[#This Row],[Cantidad]]*VENTAS[[#This Row],[Precio Venta]]</f>
        <v>28</v>
      </c>
      <c r="J667" s="35">
        <f>IF(VENTAS[[#This Row],[Nombre del Gestor]]&gt;1,VENTAS[[#This Row],[Total]]*10%,0)</f>
        <v>2.8</v>
      </c>
      <c r="K667" s="35">
        <f>IFERROR(VLOOKUP(VENTAS[[#This Row],[Código del producto Vendido]],STOCK[],16,FALSE)*VENTAS[[#This Row],[Cantidad]]+VLOOKUP(VENTAS[[#This Row],[Código del producto Vendido]],STOCK[],19,FALSE)*VENTAS[[#This Row],[Cantidad]],VENTAS[[#This Row],[Total]])</f>
        <v>18.7</v>
      </c>
      <c r="L667" s="35">
        <f>VENTAS[[#This Row],[Total]]-VENTAS[[#This Row],[Comisión 10%]]-VENTAS[[#This Row],[Costo SIN Comision]]</f>
        <v>6.5</v>
      </c>
      <c r="M667" s="35"/>
    </row>
    <row r="668" ht="20" customHeight="1" spans="1:13">
      <c r="A668" s="29">
        <v>45326</v>
      </c>
      <c r="B668" s="30">
        <f>IFERROR(VLOOKUP(VENTAS[[#This Row],[Código del producto Vendido]],STOCK[],25,FALSE),"-")</f>
        <v>0</v>
      </c>
      <c r="C668" s="30"/>
      <c r="D668" s="30" t="s">
        <v>3368</v>
      </c>
      <c r="E668" s="30" t="s">
        <v>548</v>
      </c>
      <c r="F668" s="34" t="str">
        <f>IFERROR(VLOOKUP(VENTAS[[#This Row],[Código del producto Vendido]],STOCK[],5,FALSE),"-")</f>
        <v>Shorts bajo de doblez de cintura </v>
      </c>
      <c r="G668" s="34">
        <v>1</v>
      </c>
      <c r="H668" s="35">
        <v>19</v>
      </c>
      <c r="I668" s="35">
        <f>VENTAS[[#This Row],[Cantidad]]*VENTAS[[#This Row],[Precio Venta]]</f>
        <v>19</v>
      </c>
      <c r="J668" s="35">
        <f>IF(VENTAS[[#This Row],[Nombre del Gestor]]&gt;1,VENTAS[[#This Row],[Total]]*10%,0)</f>
        <v>1.9</v>
      </c>
      <c r="K668" s="35">
        <f>IFERROR(VLOOKUP(VENTAS[[#This Row],[Código del producto Vendido]],STOCK[],16,FALSE)*VENTAS[[#This Row],[Cantidad]]+VLOOKUP(VENTAS[[#This Row],[Código del producto Vendido]],STOCK[],19,FALSE)*VENTAS[[#This Row],[Cantidad]],VENTAS[[#This Row],[Total]])</f>
        <v>8.17611111111111</v>
      </c>
      <c r="L668" s="35">
        <f>VENTAS[[#This Row],[Total]]-VENTAS[[#This Row],[Comisión 10%]]-VENTAS[[#This Row],[Costo SIN Comision]]</f>
        <v>8.92388888888889</v>
      </c>
      <c r="M668" s="35"/>
    </row>
    <row r="669" ht="20" customHeight="1" spans="1:13">
      <c r="A669" s="29">
        <v>45326</v>
      </c>
      <c r="B669" s="30">
        <f>IFERROR(VLOOKUP(VENTAS[[#This Row],[Código del producto Vendido]],STOCK[],25,FALSE),"-")</f>
        <v>0</v>
      </c>
      <c r="C669" s="30"/>
      <c r="D669" s="30" t="s">
        <v>3368</v>
      </c>
      <c r="E669" s="30" t="s">
        <v>1304</v>
      </c>
      <c r="F669" s="34" t="str">
        <f>IFERROR(VLOOKUP(VENTAS[[#This Row],[Código del producto Vendido]],STOCK[],5,FALSE),"-")</f>
        <v>Jean ajustado claro</v>
      </c>
      <c r="G669" s="34">
        <v>1</v>
      </c>
      <c r="H669" s="35">
        <v>30</v>
      </c>
      <c r="I669" s="35">
        <f>VENTAS[[#This Row],[Cantidad]]*VENTAS[[#This Row],[Precio Venta]]</f>
        <v>30</v>
      </c>
      <c r="J669" s="35">
        <f>IF(VENTAS[[#This Row],[Nombre del Gestor]]&gt;1,VENTAS[[#This Row],[Total]]*10%,0)</f>
        <v>3</v>
      </c>
      <c r="K669" s="35">
        <f>IFERROR(VLOOKUP(VENTAS[[#This Row],[Código del producto Vendido]],STOCK[],16,FALSE)*VENTAS[[#This Row],[Cantidad]]+VLOOKUP(VENTAS[[#This Row],[Código del producto Vendido]],STOCK[],19,FALSE)*VENTAS[[#This Row],[Cantidad]],VENTAS[[#This Row],[Total]])</f>
        <v>23.79</v>
      </c>
      <c r="L669" s="35">
        <f>VENTAS[[#This Row],[Total]]-VENTAS[[#This Row],[Comisión 10%]]-VENTAS[[#This Row],[Costo SIN Comision]]</f>
        <v>3.21</v>
      </c>
      <c r="M669" s="35"/>
    </row>
    <row r="670" ht="20" customHeight="1" spans="1:13">
      <c r="A670" s="29"/>
      <c r="B670" s="30" t="str">
        <f>IFERROR(VLOOKUP(VENTAS[[#This Row],[Código del producto Vendido]],STOCK[],25,FALSE),"-")</f>
        <v>Compra 9/12/2023</v>
      </c>
      <c r="C670" s="30"/>
      <c r="D670" s="30"/>
      <c r="E670" s="30" t="s">
        <v>1610</v>
      </c>
      <c r="F670" s="34" t="str">
        <f>IFERROR(VLOOKUP(VENTAS[[#This Row],[Código del producto Vendido]],STOCK[],5,FALSE),"-")</f>
        <v>Camisa Modely</v>
      </c>
      <c r="G670" s="34">
        <v>1</v>
      </c>
      <c r="H670" s="35">
        <v>22</v>
      </c>
      <c r="I670" s="35">
        <f>VENTAS[[#This Row],[Cantidad]]*VENTAS[[#This Row],[Precio Venta]]</f>
        <v>22</v>
      </c>
      <c r="J670" s="35">
        <f>IF(VENTAS[[#This Row],[Nombre del Gestor]]&gt;1,VENTAS[[#This Row],[Total]]*10%,0)</f>
        <v>0</v>
      </c>
      <c r="K670" s="35">
        <f>IFERROR(VLOOKUP(VENTAS[[#This Row],[Código del producto Vendido]],STOCK[],16,FALSE)*VENTAS[[#This Row],[Cantidad]]+VLOOKUP(VENTAS[[#This Row],[Código del producto Vendido]],STOCK[],19,FALSE)*VENTAS[[#This Row],[Cantidad]],VENTAS[[#This Row],[Total]])</f>
        <v>9.74</v>
      </c>
      <c r="L670" s="35">
        <f>VENTAS[[#This Row],[Total]]-VENTAS[[#This Row],[Comisión 10%]]-VENTAS[[#This Row],[Costo SIN Comision]]</f>
        <v>12.26</v>
      </c>
      <c r="M670" s="35"/>
    </row>
    <row r="671" ht="20" customHeight="1" spans="1:13">
      <c r="A671" s="29"/>
      <c r="B671" s="30" t="str">
        <f>IFERROR(VLOOKUP(VENTAS[[#This Row],[Código del producto Vendido]],STOCK[],25,FALSE),"-")</f>
        <v>Compra 7/12/2023</v>
      </c>
      <c r="C671" s="30"/>
      <c r="D671" s="30"/>
      <c r="E671" s="30" t="s">
        <v>1519</v>
      </c>
      <c r="F671" s="34" t="str">
        <f>IFERROR(VLOOKUP(VENTAS[[#This Row],[Código del producto Vendido]],STOCK[],5,FALSE),"-")</f>
        <v>Saya de Mezclilla a la Cintura</v>
      </c>
      <c r="G671" s="34">
        <v>1</v>
      </c>
      <c r="H671" s="35">
        <v>35</v>
      </c>
      <c r="I671" s="35">
        <f>VENTAS[[#This Row],[Cantidad]]*VENTAS[[#This Row],[Precio Venta]]</f>
        <v>35</v>
      </c>
      <c r="J671" s="35">
        <f>IF(VENTAS[[#This Row],[Nombre del Gestor]]&gt;1,VENTAS[[#This Row],[Total]]*10%,0)</f>
        <v>0</v>
      </c>
      <c r="K671" s="35">
        <f>IFERROR(VLOOKUP(VENTAS[[#This Row],[Código del producto Vendido]],STOCK[],16,FALSE)*VENTAS[[#This Row],[Cantidad]]+VLOOKUP(VENTAS[[#This Row],[Código del producto Vendido]],STOCK[],19,FALSE)*VENTAS[[#This Row],[Cantidad]],VENTAS[[#This Row],[Total]])</f>
        <v>18.5</v>
      </c>
      <c r="L671" s="35">
        <f>VENTAS[[#This Row],[Total]]-VENTAS[[#This Row],[Comisión 10%]]-VENTAS[[#This Row],[Costo SIN Comision]]</f>
        <v>16.5</v>
      </c>
      <c r="M671" s="35"/>
    </row>
    <row r="672" ht="20" customHeight="1" spans="1:13">
      <c r="A672" s="29" t="s">
        <v>3455</v>
      </c>
      <c r="B672" s="30">
        <f>IFERROR(VLOOKUP(VENTAS[[#This Row],[Código del producto Vendido]],STOCK[],25,FALSE),"-")</f>
        <v>0</v>
      </c>
      <c r="C672" s="30" t="s">
        <v>3463</v>
      </c>
      <c r="D672" s="30"/>
      <c r="E672" s="30" t="s">
        <v>753</v>
      </c>
      <c r="F672" s="34" t="str">
        <f>IFERROR(VLOOKUP(VENTAS[[#This Row],[Código del producto Vendido]],STOCK[],5,FALSE),"-")</f>
        <v>Sandalias Rojas</v>
      </c>
      <c r="G672" s="34">
        <v>1</v>
      </c>
      <c r="H672" s="35">
        <v>40</v>
      </c>
      <c r="I672" s="35">
        <f>VENTAS[[#This Row],[Cantidad]]*VENTAS[[#This Row],[Precio Venta]]</f>
        <v>40</v>
      </c>
      <c r="J672" s="35">
        <f>IF(VENTAS[[#This Row],[Nombre del Gestor]]&gt;1,VENTAS[[#This Row],[Total]]*10%,0)</f>
        <v>0</v>
      </c>
      <c r="K672" s="35">
        <f>IFERROR(VLOOKUP(VENTAS[[#This Row],[Código del producto Vendido]],STOCK[],16,FALSE)*VENTAS[[#This Row],[Cantidad]]+VLOOKUP(VENTAS[[#This Row],[Código del producto Vendido]],STOCK[],19,FALSE)*VENTAS[[#This Row],[Cantidad]],VENTAS[[#This Row],[Total]])</f>
        <v>25.7222222222222</v>
      </c>
      <c r="L672" s="35">
        <f>VENTAS[[#This Row],[Total]]-VENTAS[[#This Row],[Comisión 10%]]-VENTAS[[#This Row],[Costo SIN Comision]]</f>
        <v>14.2777777777778</v>
      </c>
      <c r="M672" s="35"/>
    </row>
    <row r="673" ht="20" customHeight="1" spans="1:13">
      <c r="A673" s="29"/>
      <c r="B673" s="30">
        <f>IFERROR(VLOOKUP(VENTAS[[#This Row],[Código del producto Vendido]],STOCK[],25,FALSE),"-")</f>
        <v>0</v>
      </c>
      <c r="C673" s="30" t="s">
        <v>3464</v>
      </c>
      <c r="D673" s="30"/>
      <c r="E673" s="30" t="s">
        <v>871</v>
      </c>
      <c r="F673" s="34" t="str">
        <f>IFERROR(VLOOKUP(VENTAS[[#This Row],[Código del producto Vendido]],STOCK[],5,FALSE),"-")</f>
        <v>Calzado hombre dos tonos</v>
      </c>
      <c r="G673" s="34">
        <v>1</v>
      </c>
      <c r="H673" s="35">
        <v>0</v>
      </c>
      <c r="I673" s="35">
        <f>VENTAS[[#This Row],[Cantidad]]*VENTAS[[#This Row],[Precio Venta]]</f>
        <v>0</v>
      </c>
      <c r="J673" s="35">
        <f>IF(VENTAS[[#This Row],[Nombre del Gestor]]&gt;1,VENTAS[[#This Row],[Total]]*10%,0)</f>
        <v>0</v>
      </c>
      <c r="K673" s="35">
        <f>IFERROR(VLOOKUP(VENTAS[[#This Row],[Código del producto Vendido]],STOCK[],16,FALSE)*VENTAS[[#This Row],[Cantidad]]+VLOOKUP(VENTAS[[#This Row],[Código del producto Vendido]],STOCK[],19,FALSE)*VENTAS[[#This Row],[Cantidad]],VENTAS[[#This Row],[Total]])</f>
        <v>33.9444444444444</v>
      </c>
      <c r="L673" s="35">
        <f>VENTAS[[#This Row],[Total]]-VENTAS[[#This Row],[Comisión 10%]]-VENTAS[[#This Row],[Costo SIN Comision]]</f>
        <v>-33.9444444444444</v>
      </c>
      <c r="M673" s="35"/>
    </row>
    <row r="674" ht="20" customHeight="1" spans="1:13">
      <c r="A674" s="29" t="s">
        <v>3465</v>
      </c>
      <c r="B674" s="30">
        <f>IFERROR(VLOOKUP(VENTAS[[#This Row],[Código del producto Vendido]],STOCK[],25,FALSE),"-")</f>
        <v>0</v>
      </c>
      <c r="C674" s="30"/>
      <c r="D674" s="30"/>
      <c r="E674" s="30" t="s">
        <v>1329</v>
      </c>
      <c r="F674" s="34" t="str">
        <f>IFERROR(VLOOKUP(VENTAS[[#This Row],[Código del producto Vendido]],STOCK[],5,FALSE),"-")</f>
        <v>Blusa de manga acampanada blanca</v>
      </c>
      <c r="G674" s="34">
        <v>1</v>
      </c>
      <c r="H674" s="35">
        <v>22</v>
      </c>
      <c r="I674" s="35">
        <f>VENTAS[[#This Row],[Cantidad]]*VENTAS[[#This Row],[Precio Venta]]</f>
        <v>22</v>
      </c>
      <c r="J674" s="35">
        <f>IF(VENTAS[[#This Row],[Nombre del Gestor]]&gt;1,VENTAS[[#This Row],[Total]]*10%,0)</f>
        <v>0</v>
      </c>
      <c r="K674" s="35">
        <f>IFERROR(VLOOKUP(VENTAS[[#This Row],[Código del producto Vendido]],STOCK[],16,FALSE)*VENTAS[[#This Row],[Cantidad]]+VLOOKUP(VENTAS[[#This Row],[Código del producto Vendido]],STOCK[],19,FALSE)*VENTAS[[#This Row],[Cantidad]],VENTAS[[#This Row],[Total]])</f>
        <v>13.24</v>
      </c>
      <c r="L674" s="35">
        <f>VENTAS[[#This Row],[Total]]-VENTAS[[#This Row],[Comisión 10%]]-VENTAS[[#This Row],[Costo SIN Comision]]</f>
        <v>8.76</v>
      </c>
      <c r="M674" s="35"/>
    </row>
    <row r="675" ht="20" customHeight="1" spans="1:13">
      <c r="A675" s="29" t="s">
        <v>3465</v>
      </c>
      <c r="B675" s="30">
        <f>IFERROR(VLOOKUP(VENTAS[[#This Row],[Código del producto Vendido]],STOCK[],25,FALSE),"-")</f>
        <v>0</v>
      </c>
      <c r="C675" s="30"/>
      <c r="D675" s="30"/>
      <c r="E675" s="30" t="s">
        <v>1331</v>
      </c>
      <c r="F675" s="34" t="str">
        <f>IFERROR(VLOOKUP(VENTAS[[#This Row],[Código del producto Vendido]],STOCK[],5,FALSE),"-")</f>
        <v>Blusa de manga acampanada negra</v>
      </c>
      <c r="G675" s="34">
        <v>1</v>
      </c>
      <c r="H675" s="35">
        <v>22</v>
      </c>
      <c r="I675" s="35">
        <f>VENTAS[[#This Row],[Cantidad]]*VENTAS[[#This Row],[Precio Venta]]</f>
        <v>22</v>
      </c>
      <c r="J675" s="35">
        <f>IF(VENTAS[[#This Row],[Nombre del Gestor]]&gt;1,VENTAS[[#This Row],[Total]]*10%,0)</f>
        <v>0</v>
      </c>
      <c r="K675" s="35">
        <f>IFERROR(VLOOKUP(VENTAS[[#This Row],[Código del producto Vendido]],STOCK[],16,FALSE)*VENTAS[[#This Row],[Cantidad]]+VLOOKUP(VENTAS[[#This Row],[Código del producto Vendido]],STOCK[],19,FALSE)*VENTAS[[#This Row],[Cantidad]],VENTAS[[#This Row],[Total]])</f>
        <v>14.24</v>
      </c>
      <c r="L675" s="35">
        <f>VENTAS[[#This Row],[Total]]-VENTAS[[#This Row],[Comisión 10%]]-VENTAS[[#This Row],[Costo SIN Comision]]</f>
        <v>7.76</v>
      </c>
      <c r="M675" s="35"/>
    </row>
    <row r="676" ht="20" customHeight="1" spans="1:13">
      <c r="A676" s="29" t="s">
        <v>3465</v>
      </c>
      <c r="B676" s="30" t="str">
        <f>IFERROR(VLOOKUP(VENTAS[[#This Row],[Código del producto Vendido]],STOCK[],25,FALSE),"-")</f>
        <v>-</v>
      </c>
      <c r="C676" s="30"/>
      <c r="D676" s="30"/>
      <c r="E676" s="30" t="s">
        <v>3466</v>
      </c>
      <c r="F676" s="34" t="str">
        <f>IFERROR(VLOOKUP(VENTAS[[#This Row],[Código del producto Vendido]],STOCK[],5,FALSE),"-")</f>
        <v>-</v>
      </c>
      <c r="G676" s="34">
        <v>1</v>
      </c>
      <c r="H676" s="35">
        <v>13</v>
      </c>
      <c r="I676" s="35">
        <f>VENTAS[[#This Row],[Cantidad]]*VENTAS[[#This Row],[Precio Venta]]</f>
        <v>13</v>
      </c>
      <c r="J676" s="35">
        <f>IF(VENTAS[[#This Row],[Nombre del Gestor]]&gt;1,VENTAS[[#This Row],[Total]]*10%,0)</f>
        <v>0</v>
      </c>
      <c r="K676" s="35">
        <f>IFERROR(VLOOKUP(VENTAS[[#This Row],[Código del producto Vendido]],STOCK[],16,FALSE)*VENTAS[[#This Row],[Cantidad]]+VLOOKUP(VENTAS[[#This Row],[Código del producto Vendido]],STOCK[],19,FALSE)*VENTAS[[#This Row],[Cantidad]],VENTAS[[#This Row],[Total]])</f>
        <v>13</v>
      </c>
      <c r="L676" s="35">
        <f>VENTAS[[#This Row],[Total]]-VENTAS[[#This Row],[Comisión 10%]]-VENTAS[[#This Row],[Costo SIN Comision]]</f>
        <v>0</v>
      </c>
      <c r="M676" s="35"/>
    </row>
    <row r="677" ht="20" customHeight="1" spans="1:13">
      <c r="A677" s="29">
        <v>45324</v>
      </c>
      <c r="B677" s="30" t="str">
        <f>IFERROR(VLOOKUP(VENTAS[[#This Row],[Código del producto Vendido]],STOCK[],25,FALSE),"-")</f>
        <v>Compra 9/12/2023</v>
      </c>
      <c r="C677" s="30"/>
      <c r="D677" s="30" t="s">
        <v>3460</v>
      </c>
      <c r="E677" s="30" t="s">
        <v>1597</v>
      </c>
      <c r="F677" s="34" t="str">
        <f>IFERROR(VLOOKUP(VENTAS[[#This Row],[Código del producto Vendido]],STOCK[],5,FALSE),"-")</f>
        <v>Cardigan classy</v>
      </c>
      <c r="G677" s="34">
        <v>1</v>
      </c>
      <c r="H677" s="35">
        <v>20</v>
      </c>
      <c r="I677" s="35">
        <f>VENTAS[[#This Row],[Cantidad]]*VENTAS[[#This Row],[Precio Venta]]</f>
        <v>20</v>
      </c>
      <c r="J677" s="35">
        <f>IF(VENTAS[[#This Row],[Nombre del Gestor]]&gt;1,VENTAS[[#This Row],[Total]]*10%,0)</f>
        <v>2</v>
      </c>
      <c r="K677" s="35">
        <f>IFERROR(VLOOKUP(VENTAS[[#This Row],[Código del producto Vendido]],STOCK[],16,FALSE)*VENTAS[[#This Row],[Cantidad]]+VLOOKUP(VENTAS[[#This Row],[Código del producto Vendido]],STOCK[],19,FALSE)*VENTAS[[#This Row],[Cantidad]],VENTAS[[#This Row],[Total]])</f>
        <v>11.8</v>
      </c>
      <c r="L677" s="35">
        <f>VENTAS[[#This Row],[Total]]-VENTAS[[#This Row],[Comisión 10%]]-VENTAS[[#This Row],[Costo SIN Comision]]</f>
        <v>6.2</v>
      </c>
      <c r="M677" s="35"/>
    </row>
    <row r="678" ht="20" customHeight="1" spans="1:13">
      <c r="A678" s="29">
        <v>45325</v>
      </c>
      <c r="B678" s="30">
        <f>IFERROR(VLOOKUP(VENTAS[[#This Row],[Código del producto Vendido]],STOCK[],25,FALSE),"-")</f>
        <v>0</v>
      </c>
      <c r="C678" s="30" t="s">
        <v>3467</v>
      </c>
      <c r="D678" s="30"/>
      <c r="E678" s="30" t="s">
        <v>1357</v>
      </c>
      <c r="F678" s="34" t="str">
        <f>IFERROR(VLOOKUP(VENTAS[[#This Row],[Código del producto Vendido]],STOCK[],5,FALSE),"-")</f>
        <v>Sweater de Lana naranja quemada</v>
      </c>
      <c r="G678" s="34">
        <v>1</v>
      </c>
      <c r="H678" s="35">
        <v>18</v>
      </c>
      <c r="I678" s="35">
        <f>VENTAS[[#This Row],[Cantidad]]*VENTAS[[#This Row],[Precio Venta]]</f>
        <v>18</v>
      </c>
      <c r="J678" s="35">
        <f>IF(VENTAS[[#This Row],[Nombre del Gestor]]&gt;1,VENTAS[[#This Row],[Total]]*10%,0)</f>
        <v>0</v>
      </c>
      <c r="K678" s="35">
        <f>IFERROR(VLOOKUP(VENTAS[[#This Row],[Código del producto Vendido]],STOCK[],16,FALSE)*VENTAS[[#This Row],[Cantidad]]+VLOOKUP(VENTAS[[#This Row],[Código del producto Vendido]],STOCK[],19,FALSE)*VENTAS[[#This Row],[Cantidad]],VENTAS[[#This Row],[Total]])</f>
        <v>15.45</v>
      </c>
      <c r="L678" s="35">
        <f>VENTAS[[#This Row],[Total]]-VENTAS[[#This Row],[Comisión 10%]]-VENTAS[[#This Row],[Costo SIN Comision]]</f>
        <v>2.55</v>
      </c>
      <c r="M678" s="35"/>
    </row>
    <row r="679" ht="20" customHeight="1" spans="1:13">
      <c r="A679" s="29">
        <v>45324</v>
      </c>
      <c r="B679" s="30" t="str">
        <f>IFERROR(VLOOKUP(VENTAS[[#This Row],[Código del producto Vendido]],STOCK[],25,FALSE),"-")</f>
        <v>-</v>
      </c>
      <c r="C679" s="30"/>
      <c r="D679" s="30"/>
      <c r="E679" s="30"/>
      <c r="F679" s="34" t="str">
        <f>IFERROR(VLOOKUP(VENTAS[[#This Row],[Código del producto Vendido]],STOCK[],5,FALSE),"-")</f>
        <v>-</v>
      </c>
      <c r="G679" s="34">
        <v>1</v>
      </c>
      <c r="H679" s="35">
        <v>28</v>
      </c>
      <c r="I679" s="35">
        <f>VENTAS[[#This Row],[Cantidad]]*VENTAS[[#This Row],[Precio Venta]]</f>
        <v>28</v>
      </c>
      <c r="J679" s="35">
        <f>IF(VENTAS[[#This Row],[Nombre del Gestor]]&gt;1,VENTAS[[#This Row],[Total]]*10%,0)</f>
        <v>0</v>
      </c>
      <c r="K679" s="35">
        <f>IFERROR(VLOOKUP(VENTAS[[#This Row],[Código del producto Vendido]],STOCK[],16,FALSE)*VENTAS[[#This Row],[Cantidad]]+VLOOKUP(VENTAS[[#This Row],[Código del producto Vendido]],STOCK[],19,FALSE)*VENTAS[[#This Row],[Cantidad]],VENTAS[[#This Row],[Total]])</f>
        <v>28</v>
      </c>
      <c r="L679" s="35">
        <f>VENTAS[[#This Row],[Total]]-VENTAS[[#This Row],[Comisión 10%]]-VENTAS[[#This Row],[Costo SIN Comision]]</f>
        <v>0</v>
      </c>
      <c r="M679" s="35"/>
    </row>
    <row r="680" ht="20" customHeight="1" spans="1:13">
      <c r="A680" s="29"/>
      <c r="B680" s="30" t="str">
        <f>IFERROR(VLOOKUP(VENTAS[[#This Row],[Código del producto Vendido]],STOCK[],25,FALSE),"-")</f>
        <v>Compra 7/12/2023</v>
      </c>
      <c r="C680" s="30"/>
      <c r="D680" s="30"/>
      <c r="E680" s="30" t="s">
        <v>1538</v>
      </c>
      <c r="F680" s="34" t="str">
        <f>IFERROR(VLOOKUP(VENTAS[[#This Row],[Código del producto Vendido]],STOCK[],5,FALSE),"-")</f>
        <v>Gafas de sol Dama</v>
      </c>
      <c r="G680" s="34">
        <v>1</v>
      </c>
      <c r="H680" s="35">
        <v>9</v>
      </c>
      <c r="I680" s="35">
        <f>VENTAS[[#This Row],[Cantidad]]*VENTAS[[#This Row],[Precio Venta]]</f>
        <v>9</v>
      </c>
      <c r="J680" s="35">
        <f>IF(VENTAS[[#This Row],[Nombre del Gestor]]&gt;1,VENTAS[[#This Row],[Total]]*10%,0)</f>
        <v>0</v>
      </c>
      <c r="K680" s="35">
        <f>IFERROR(VLOOKUP(VENTAS[[#This Row],[Código del producto Vendido]],STOCK[],16,FALSE)*VENTAS[[#This Row],[Cantidad]]+VLOOKUP(VENTAS[[#This Row],[Código del producto Vendido]],STOCK[],19,FALSE)*VENTAS[[#This Row],[Cantidad]],VENTAS[[#This Row],[Total]])</f>
        <v>4.4</v>
      </c>
      <c r="L680" s="35">
        <f>VENTAS[[#This Row],[Total]]-VENTAS[[#This Row],[Comisión 10%]]-VENTAS[[#This Row],[Costo SIN Comision]]</f>
        <v>4.6</v>
      </c>
      <c r="M680" s="35"/>
    </row>
    <row r="681" ht="20" customHeight="1" spans="1:13">
      <c r="A681" s="29"/>
      <c r="B681" s="30">
        <f>IFERROR(VLOOKUP(VENTAS[[#This Row],[Código del producto Vendido]],STOCK[],25,FALSE),"-")</f>
        <v>0</v>
      </c>
      <c r="C681" s="30"/>
      <c r="D681" s="30"/>
      <c r="E681" s="30" t="s">
        <v>1416</v>
      </c>
      <c r="F681" s="34" t="str">
        <f>IFERROR(VLOOKUP(VENTAS[[#This Row],[Código del producto Vendido]],STOCK[],5,FALSE),"-")</f>
        <v>Vestido acanalado cruzado color crema</v>
      </c>
      <c r="G681" s="34">
        <v>1</v>
      </c>
      <c r="H681" s="35">
        <v>28</v>
      </c>
      <c r="I681" s="35">
        <f>VENTAS[[#This Row],[Cantidad]]*VENTAS[[#This Row],[Precio Venta]]</f>
        <v>28</v>
      </c>
      <c r="J681" s="35">
        <f>IF(VENTAS[[#This Row],[Nombre del Gestor]]&gt;1,VENTAS[[#This Row],[Total]]*10%,0)</f>
        <v>0</v>
      </c>
      <c r="K681" s="35">
        <f>IFERROR(VLOOKUP(VENTAS[[#This Row],[Código del producto Vendido]],STOCK[],16,FALSE)*VENTAS[[#This Row],[Cantidad]]+VLOOKUP(VENTAS[[#This Row],[Código del producto Vendido]],STOCK[],19,FALSE)*VENTAS[[#This Row],[Cantidad]],VENTAS[[#This Row],[Total]])</f>
        <v>24.59</v>
      </c>
      <c r="L681" s="35">
        <f>VENTAS[[#This Row],[Total]]-VENTAS[[#This Row],[Comisión 10%]]-VENTAS[[#This Row],[Costo SIN Comision]]</f>
        <v>3.41</v>
      </c>
      <c r="M681" s="35"/>
    </row>
    <row r="682" ht="20" customHeight="1" spans="1:13">
      <c r="A682" s="29" t="s">
        <v>3449</v>
      </c>
      <c r="B682" s="30">
        <f>IFERROR(VLOOKUP(VENTAS[[#This Row],[Código del producto Vendido]],STOCK[],25,FALSE),"-")</f>
        <v>0</v>
      </c>
      <c r="C682" s="30"/>
      <c r="D682" s="30"/>
      <c r="E682" s="30" t="s">
        <v>1043</v>
      </c>
      <c r="F682" s="34" t="str">
        <f>IFERROR(VLOOKUP(VENTAS[[#This Row],[Código del producto Vendido]],STOCK[],5,FALSE),"-")</f>
        <v>Jeans Ajustados Claro</v>
      </c>
      <c r="G682" s="34">
        <v>1</v>
      </c>
      <c r="H682" s="35">
        <v>30</v>
      </c>
      <c r="I682" s="35">
        <f>VENTAS[[#This Row],[Cantidad]]*VENTAS[[#This Row],[Precio Venta]]</f>
        <v>30</v>
      </c>
      <c r="J682" s="35">
        <f>IF(VENTAS[[#This Row],[Nombre del Gestor]]&gt;1,VENTAS[[#This Row],[Total]]*10%,0)</f>
        <v>0</v>
      </c>
      <c r="K682" s="35">
        <f>IFERROR(VLOOKUP(VENTAS[[#This Row],[Código del producto Vendido]],STOCK[],16,FALSE)*VENTAS[[#This Row],[Cantidad]]+VLOOKUP(VENTAS[[#This Row],[Código del producto Vendido]],STOCK[],19,FALSE)*VENTAS[[#This Row],[Cantidad]],VENTAS[[#This Row],[Total]])</f>
        <v>25.8181818181818</v>
      </c>
      <c r="L682" s="35">
        <f>VENTAS[[#This Row],[Total]]-VENTAS[[#This Row],[Comisión 10%]]-VENTAS[[#This Row],[Costo SIN Comision]]</f>
        <v>4.1818181818182</v>
      </c>
      <c r="M682" s="35"/>
    </row>
    <row r="683" ht="20" customHeight="1" spans="1:13">
      <c r="A683" s="29" t="s">
        <v>3465</v>
      </c>
      <c r="B683" s="30">
        <f>IFERROR(VLOOKUP(VENTAS[[#This Row],[Código del producto Vendido]],STOCK[],25,FALSE),"-")</f>
        <v>0</v>
      </c>
      <c r="C683" s="30"/>
      <c r="D683" s="30"/>
      <c r="E683" s="30" t="s">
        <v>961</v>
      </c>
      <c r="F683" s="34" t="str">
        <f>IFERROR(VLOOKUP(VENTAS[[#This Row],[Código del producto Vendido]],STOCK[],5,FALSE),"-")</f>
        <v>Pantalón Business Básico</v>
      </c>
      <c r="G683" s="34">
        <v>1</v>
      </c>
      <c r="H683" s="35">
        <v>28</v>
      </c>
      <c r="I683" s="35">
        <f>VENTAS[[#This Row],[Cantidad]]*VENTAS[[#This Row],[Precio Venta]]</f>
        <v>28</v>
      </c>
      <c r="J683" s="35">
        <f>IF(VENTAS[[#This Row],[Nombre del Gestor]]&gt;1,VENTAS[[#This Row],[Total]]*10%,0)</f>
        <v>0</v>
      </c>
      <c r="K683" s="35">
        <f>IFERROR(VLOOKUP(VENTAS[[#This Row],[Código del producto Vendido]],STOCK[],16,FALSE)*VENTAS[[#This Row],[Cantidad]]+VLOOKUP(VENTAS[[#This Row],[Código del producto Vendido]],STOCK[],19,FALSE)*VENTAS[[#This Row],[Cantidad]],VENTAS[[#This Row],[Total]])</f>
        <v>21.3722727272727</v>
      </c>
      <c r="L683" s="35">
        <f>VENTAS[[#This Row],[Total]]-VENTAS[[#This Row],[Comisión 10%]]-VENTAS[[#This Row],[Costo SIN Comision]]</f>
        <v>6.6277272727273</v>
      </c>
      <c r="M683" s="35"/>
    </row>
    <row r="684" ht="20" customHeight="1" spans="1:13">
      <c r="A684" s="29"/>
      <c r="B684" s="30">
        <f>IFERROR(VLOOKUP(VENTAS[[#This Row],[Código del producto Vendido]],STOCK[],25,FALSE),"-")</f>
        <v>0</v>
      </c>
      <c r="C684" s="30"/>
      <c r="D684" s="30"/>
      <c r="E684" s="30" t="s">
        <v>1416</v>
      </c>
      <c r="F684" s="34" t="str">
        <f>IFERROR(VLOOKUP(VENTAS[[#This Row],[Código del producto Vendido]],STOCK[],5,FALSE),"-")</f>
        <v>Vestido acanalado cruzado color crema</v>
      </c>
      <c r="G684" s="34">
        <v>1</v>
      </c>
      <c r="H684" s="35">
        <v>28</v>
      </c>
      <c r="I684" s="35">
        <f>VENTAS[[#This Row],[Cantidad]]*VENTAS[[#This Row],[Precio Venta]]</f>
        <v>28</v>
      </c>
      <c r="J684" s="35">
        <f>IF(VENTAS[[#This Row],[Nombre del Gestor]]&gt;1,VENTAS[[#This Row],[Total]]*10%,0)</f>
        <v>0</v>
      </c>
      <c r="K684" s="35">
        <f>IFERROR(VLOOKUP(VENTAS[[#This Row],[Código del producto Vendido]],STOCK[],16,FALSE)*VENTAS[[#This Row],[Cantidad]]+VLOOKUP(VENTAS[[#This Row],[Código del producto Vendido]],STOCK[],19,FALSE)*VENTAS[[#This Row],[Cantidad]],VENTAS[[#This Row],[Total]])</f>
        <v>24.59</v>
      </c>
      <c r="L684" s="35">
        <f>VENTAS[[#This Row],[Total]]-VENTAS[[#This Row],[Comisión 10%]]-VENTAS[[#This Row],[Costo SIN Comision]]</f>
        <v>3.41</v>
      </c>
      <c r="M684" s="35"/>
    </row>
    <row r="685" ht="20" customHeight="1" spans="1:13">
      <c r="A685" s="29" t="s">
        <v>3449</v>
      </c>
      <c r="B685" s="30" t="str">
        <f>IFERROR(VLOOKUP(VENTAS[[#This Row],[Código del producto Vendido]],STOCK[],25,FALSE),"-")</f>
        <v>COMPRA F21</v>
      </c>
      <c r="C685" s="30"/>
      <c r="D685" s="30"/>
      <c r="E685" s="30" t="s">
        <v>1431</v>
      </c>
      <c r="F685" s="34" t="str">
        <f>IFERROR(VLOOKUP(VENTAS[[#This Row],[Código del producto Vendido]],STOCK[],5,FALSE),"-")</f>
        <v>Sandalias blancas cruzadas</v>
      </c>
      <c r="G685" s="34">
        <v>1</v>
      </c>
      <c r="H685" s="35">
        <v>15</v>
      </c>
      <c r="I685" s="35">
        <f>VENTAS[[#This Row],[Cantidad]]*VENTAS[[#This Row],[Precio Venta]]</f>
        <v>15</v>
      </c>
      <c r="J685" s="35">
        <f>IF(VENTAS[[#This Row],[Nombre del Gestor]]&gt;1,VENTAS[[#This Row],[Total]]*10%,0)</f>
        <v>0</v>
      </c>
      <c r="K685" s="35">
        <f>IFERROR(VLOOKUP(VENTAS[[#This Row],[Código del producto Vendido]],STOCK[],16,FALSE)*VENTAS[[#This Row],[Cantidad]]+VLOOKUP(VENTAS[[#This Row],[Código del producto Vendido]],STOCK[],19,FALSE)*VENTAS[[#This Row],[Cantidad]],VENTAS[[#This Row],[Total]])</f>
        <v>11.49</v>
      </c>
      <c r="L685" s="35">
        <f>VENTAS[[#This Row],[Total]]-VENTAS[[#This Row],[Comisión 10%]]-VENTAS[[#This Row],[Costo SIN Comision]]</f>
        <v>3.51</v>
      </c>
      <c r="M685" s="35"/>
    </row>
    <row r="686" ht="20" customHeight="1" spans="1:13">
      <c r="A686" s="29"/>
      <c r="B686" s="30">
        <f>IFERROR(VLOOKUP(VENTAS[[#This Row],[Código del producto Vendido]],STOCK[],25,FALSE),"-")</f>
        <v>0</v>
      </c>
      <c r="C686" s="30"/>
      <c r="D686" s="30"/>
      <c r="E686" s="30" t="s">
        <v>1136</v>
      </c>
      <c r="F686" s="34" t="str">
        <f>IFERROR(VLOOKUP(VENTAS[[#This Row],[Código del producto Vendido]],STOCK[],5,FALSE),"-")</f>
        <v>Vestido rojo con aberturas H&amp;M</v>
      </c>
      <c r="G686" s="34">
        <v>1</v>
      </c>
      <c r="H686" s="35">
        <v>25</v>
      </c>
      <c r="I686" s="35">
        <f>VENTAS[[#This Row],[Cantidad]]*VENTAS[[#This Row],[Precio Venta]]</f>
        <v>25</v>
      </c>
      <c r="J686" s="35">
        <f>IF(VENTAS[[#This Row],[Nombre del Gestor]]&gt;1,VENTAS[[#This Row],[Total]]*10%,0)</f>
        <v>0</v>
      </c>
      <c r="K686" s="35">
        <f>IFERROR(VLOOKUP(VENTAS[[#This Row],[Código del producto Vendido]],STOCK[],16,FALSE)*VENTAS[[#This Row],[Cantidad]]+VLOOKUP(VENTAS[[#This Row],[Código del producto Vendido]],STOCK[],19,FALSE)*VENTAS[[#This Row],[Cantidad]],VENTAS[[#This Row],[Total]])</f>
        <v>18.1176470588235</v>
      </c>
      <c r="L686" s="35">
        <f>VENTAS[[#This Row],[Total]]-VENTAS[[#This Row],[Comisión 10%]]-VENTAS[[#This Row],[Costo SIN Comision]]</f>
        <v>6.8823529411765</v>
      </c>
      <c r="M686" s="35"/>
    </row>
    <row r="687" ht="20" customHeight="1" spans="1:13">
      <c r="A687" s="29"/>
      <c r="B687" s="30" t="str">
        <f>IFERROR(VLOOKUP(VENTAS[[#This Row],[Código del producto Vendido]],STOCK[],25,FALSE),"-")</f>
        <v>Viaje Agosto</v>
      </c>
      <c r="C687" s="30"/>
      <c r="D687" s="30"/>
      <c r="E687" s="30" t="s">
        <v>1233</v>
      </c>
      <c r="F687" s="34" t="str">
        <f>IFERROR(VLOOKUP(VENTAS[[#This Row],[Código del producto Vendido]],STOCK[],5,FALSE),"-")</f>
        <v>Short beich de pierna ancha </v>
      </c>
      <c r="G687" s="34">
        <v>3</v>
      </c>
      <c r="H687" s="35">
        <v>20</v>
      </c>
      <c r="I687" s="35">
        <f>VENTAS[[#This Row],[Cantidad]]*VENTAS[[#This Row],[Precio Venta]]</f>
        <v>60</v>
      </c>
      <c r="J687" s="35">
        <f>IF(VENTAS[[#This Row],[Nombre del Gestor]]&gt;1,VENTAS[[#This Row],[Total]]*10%,0)</f>
        <v>0</v>
      </c>
      <c r="K687" s="35">
        <f>IFERROR(VLOOKUP(VENTAS[[#This Row],[Código del producto Vendido]],STOCK[],16,FALSE)*VENTAS[[#This Row],[Cantidad]]+VLOOKUP(VENTAS[[#This Row],[Código del producto Vendido]],STOCK[],19,FALSE)*VENTAS[[#This Row],[Cantidad]],VENTAS[[#This Row],[Total]])</f>
        <v>43.11</v>
      </c>
      <c r="L687" s="35">
        <f>VENTAS[[#This Row],[Total]]-VENTAS[[#This Row],[Comisión 10%]]-VENTAS[[#This Row],[Costo SIN Comision]]</f>
        <v>16.89</v>
      </c>
      <c r="M687" s="35"/>
    </row>
    <row r="688" ht="20" customHeight="1" spans="1:13">
      <c r="A688" s="29"/>
      <c r="B688" s="30" t="str">
        <f>IFERROR(VLOOKUP(VENTAS[[#This Row],[Código del producto Vendido]],STOCK[],25,FALSE),"-")</f>
        <v>Viaje Agosto</v>
      </c>
      <c r="C688" s="30"/>
      <c r="D688" s="30"/>
      <c r="E688" s="30" t="s">
        <v>1279</v>
      </c>
      <c r="F688" s="34" t="str">
        <f>IFERROR(VLOOKUP(VENTAS[[#This Row],[Código del producto Vendido]],STOCK[],5,FALSE),"-")</f>
        <v>Short beiche de pierna ancha </v>
      </c>
      <c r="G688" s="34">
        <v>3</v>
      </c>
      <c r="H688" s="35">
        <v>20</v>
      </c>
      <c r="I688" s="35">
        <f>VENTAS[[#This Row],[Cantidad]]*VENTAS[[#This Row],[Precio Venta]]</f>
        <v>60</v>
      </c>
      <c r="J688" s="35">
        <f>IF(VENTAS[[#This Row],[Nombre del Gestor]]&gt;1,VENTAS[[#This Row],[Total]]*10%,0)</f>
        <v>0</v>
      </c>
      <c r="K688" s="35">
        <f>IFERROR(VLOOKUP(VENTAS[[#This Row],[Código del producto Vendido]],STOCK[],16,FALSE)*VENTAS[[#This Row],[Cantidad]]+VLOOKUP(VENTAS[[#This Row],[Código del producto Vendido]],STOCK[],19,FALSE)*VENTAS[[#This Row],[Cantidad]],VENTAS[[#This Row],[Total]])</f>
        <v>43.11</v>
      </c>
      <c r="L688" s="35">
        <f>VENTAS[[#This Row],[Total]]-VENTAS[[#This Row],[Comisión 10%]]-VENTAS[[#This Row],[Costo SIN Comision]]</f>
        <v>16.89</v>
      </c>
      <c r="M688" s="35"/>
    </row>
    <row r="689" ht="20" customHeight="1" spans="1:13">
      <c r="A689" s="29" t="s">
        <v>3465</v>
      </c>
      <c r="B689" s="30">
        <f>IFERROR(VLOOKUP(VENTAS[[#This Row],[Código del producto Vendido]],STOCK[],25,FALSE),"-")</f>
        <v>0</v>
      </c>
      <c r="C689" s="30"/>
      <c r="D689" s="30"/>
      <c r="E689" s="30" t="s">
        <v>1426</v>
      </c>
      <c r="F689" s="34" t="str">
        <f>IFERROR(VLOOKUP(VENTAS[[#This Row],[Código del producto Vendido]],STOCK[],5,FALSE),"-")</f>
        <v>Vestido espalda escotada</v>
      </c>
      <c r="G689" s="34">
        <v>2</v>
      </c>
      <c r="H689" s="35">
        <v>28</v>
      </c>
      <c r="I689" s="35">
        <f>VENTAS[[#This Row],[Cantidad]]*VENTAS[[#This Row],[Precio Venta]]</f>
        <v>56</v>
      </c>
      <c r="J689" s="35">
        <f>IF(VENTAS[[#This Row],[Nombre del Gestor]]&gt;1,VENTAS[[#This Row],[Total]]*10%,0)</f>
        <v>0</v>
      </c>
      <c r="K689" s="35">
        <f>IFERROR(VLOOKUP(VENTAS[[#This Row],[Código del producto Vendido]],STOCK[],16,FALSE)*VENTAS[[#This Row],[Cantidad]]+VLOOKUP(VENTAS[[#This Row],[Código del producto Vendido]],STOCK[],19,FALSE)*VENTAS[[#This Row],[Cantidad]],VENTAS[[#This Row],[Total]])</f>
        <v>34</v>
      </c>
      <c r="L689" s="35">
        <f>VENTAS[[#This Row],[Total]]-VENTAS[[#This Row],[Comisión 10%]]-VENTAS[[#This Row],[Costo SIN Comision]]</f>
        <v>22</v>
      </c>
      <c r="M689" s="35"/>
    </row>
    <row r="690" ht="20" customHeight="1" spans="1:13">
      <c r="A690" s="29" t="s">
        <v>3465</v>
      </c>
      <c r="B690" s="30" t="str">
        <f>IFERROR(VLOOKUP(VENTAS[[#This Row],[Código del producto Vendido]],STOCK[],25,FALSE),"-")</f>
        <v>-</v>
      </c>
      <c r="C690" s="30"/>
      <c r="D690" s="30"/>
      <c r="E690" s="30" t="s">
        <v>3454</v>
      </c>
      <c r="F690" s="34" t="str">
        <f>IFERROR(VLOOKUP(VENTAS[[#This Row],[Código del producto Vendido]],STOCK[],5,FALSE),"-")</f>
        <v>-</v>
      </c>
      <c r="G690" s="34">
        <v>2</v>
      </c>
      <c r="H690" s="35">
        <v>23</v>
      </c>
      <c r="I690" s="35">
        <f>VENTAS[[#This Row],[Cantidad]]*VENTAS[[#This Row],[Precio Venta]]</f>
        <v>46</v>
      </c>
      <c r="J690" s="35">
        <f>IF(VENTAS[[#This Row],[Nombre del Gestor]]&gt;1,VENTAS[[#This Row],[Total]]*10%,0)</f>
        <v>0</v>
      </c>
      <c r="K690" s="35">
        <f>IFERROR(VLOOKUP(VENTAS[[#This Row],[Código del producto Vendido]],STOCK[],16,FALSE)*VENTAS[[#This Row],[Cantidad]]+VLOOKUP(VENTAS[[#This Row],[Código del producto Vendido]],STOCK[],19,FALSE)*VENTAS[[#This Row],[Cantidad]],VENTAS[[#This Row],[Total]])</f>
        <v>46</v>
      </c>
      <c r="L690" s="35">
        <f>VENTAS[[#This Row],[Total]]-VENTAS[[#This Row],[Comisión 10%]]-VENTAS[[#This Row],[Costo SIN Comision]]</f>
        <v>0</v>
      </c>
      <c r="M690" s="35"/>
    </row>
    <row r="691" ht="20" customHeight="1" spans="1:13">
      <c r="A691" s="29"/>
      <c r="B691" s="30" t="str">
        <f>IFERROR(VLOOKUP(VENTAS[[#This Row],[Código del producto Vendido]],STOCK[],25,FALSE),"-")</f>
        <v>-</v>
      </c>
      <c r="C691" s="30"/>
      <c r="D691" s="30"/>
      <c r="E691" s="30" t="s">
        <v>3439</v>
      </c>
      <c r="F691" s="34" t="str">
        <f>IFERROR(VLOOKUP(VENTAS[[#This Row],[Código del producto Vendido]],STOCK[],5,FALSE),"-")</f>
        <v>-</v>
      </c>
      <c r="G691" s="34">
        <v>1</v>
      </c>
      <c r="H691" s="35">
        <v>23</v>
      </c>
      <c r="I691" s="35">
        <f>VENTAS[[#This Row],[Cantidad]]*VENTAS[[#This Row],[Precio Venta]]</f>
        <v>23</v>
      </c>
      <c r="J691" s="35">
        <f>IF(VENTAS[[#This Row],[Nombre del Gestor]]&gt;1,VENTAS[[#This Row],[Total]]*10%,0)</f>
        <v>0</v>
      </c>
      <c r="K691" s="35">
        <f>IFERROR(VLOOKUP(VENTAS[[#This Row],[Código del producto Vendido]],STOCK[],16,FALSE)*VENTAS[[#This Row],[Cantidad]]+VLOOKUP(VENTAS[[#This Row],[Código del producto Vendido]],STOCK[],19,FALSE)*VENTAS[[#This Row],[Cantidad]],VENTAS[[#This Row],[Total]])</f>
        <v>23</v>
      </c>
      <c r="L691" s="35">
        <f>VENTAS[[#This Row],[Total]]-VENTAS[[#This Row],[Comisión 10%]]-VENTAS[[#This Row],[Costo SIN Comision]]</f>
        <v>0</v>
      </c>
      <c r="M691" s="35"/>
    </row>
    <row r="692" ht="20" customHeight="1" spans="1:13">
      <c r="A692" s="29" t="s">
        <v>3465</v>
      </c>
      <c r="B692" s="30" t="str">
        <f>IFERROR(VLOOKUP(VENTAS[[#This Row],[Código del producto Vendido]],STOCK[],25,FALSE),"-")</f>
        <v>COMPRA F21</v>
      </c>
      <c r="C692" s="30"/>
      <c r="D692" s="30"/>
      <c r="E692" s="30" t="s">
        <v>1443</v>
      </c>
      <c r="F692" s="34" t="str">
        <f>IFERROR(VLOOKUP(VENTAS[[#This Row],[Código del producto Vendido]],STOCK[],5,FALSE),"-")</f>
        <v>Sandalias negras acolchadas</v>
      </c>
      <c r="G692" s="34">
        <v>1</v>
      </c>
      <c r="H692" s="35">
        <v>27</v>
      </c>
      <c r="I692" s="35">
        <f>VENTAS[[#This Row],[Cantidad]]*VENTAS[[#This Row],[Precio Venta]]</f>
        <v>27</v>
      </c>
      <c r="J692" s="35">
        <f>IF(VENTAS[[#This Row],[Nombre del Gestor]]&gt;1,VENTAS[[#This Row],[Total]]*10%,0)</f>
        <v>0</v>
      </c>
      <c r="K692" s="35">
        <f>IFERROR(VLOOKUP(VENTAS[[#This Row],[Código del producto Vendido]],STOCK[],16,FALSE)*VENTAS[[#This Row],[Cantidad]]+VLOOKUP(VENTAS[[#This Row],[Código del producto Vendido]],STOCK[],19,FALSE)*VENTAS[[#This Row],[Cantidad]],VENTAS[[#This Row],[Total]])</f>
        <v>12.49</v>
      </c>
      <c r="L692" s="35">
        <f>VENTAS[[#This Row],[Total]]-VENTAS[[#This Row],[Comisión 10%]]-VENTAS[[#This Row],[Costo SIN Comision]]</f>
        <v>14.51</v>
      </c>
      <c r="M692" s="35"/>
    </row>
    <row r="693" ht="20" customHeight="1" spans="1:13">
      <c r="A693" s="29" t="s">
        <v>3465</v>
      </c>
      <c r="B693" s="30">
        <f>IFERROR(VLOOKUP(VENTAS[[#This Row],[Código del producto Vendido]],STOCK[],25,FALSE),"-")</f>
        <v>0</v>
      </c>
      <c r="C693" s="30"/>
      <c r="D693" s="30"/>
      <c r="E693" s="30" t="s">
        <v>1699</v>
      </c>
      <c r="F693" s="34" t="str">
        <f>IFERROR(VLOOKUP(VENTAS[[#This Row],[Código del producto Vendido]],STOCK[],5,FALSE),"-")</f>
        <v>Vestido Frente Drapeado Negro y Blanco</v>
      </c>
      <c r="G693" s="34">
        <v>1</v>
      </c>
      <c r="H693" s="35">
        <v>25</v>
      </c>
      <c r="I693" s="35">
        <f>VENTAS[[#This Row],[Cantidad]]*VENTAS[[#This Row],[Precio Venta]]</f>
        <v>25</v>
      </c>
      <c r="J693" s="35">
        <f>IF(VENTAS[[#This Row],[Nombre del Gestor]]&gt;1,VENTAS[[#This Row],[Total]]*10%,0)</f>
        <v>0</v>
      </c>
      <c r="K693" s="35">
        <f>IFERROR(VLOOKUP(VENTAS[[#This Row],[Código del producto Vendido]],STOCK[],16,FALSE)*VENTAS[[#This Row],[Cantidad]]+VLOOKUP(VENTAS[[#This Row],[Código del producto Vendido]],STOCK[],19,FALSE)*VENTAS[[#This Row],[Cantidad]],VENTAS[[#This Row],[Total]])</f>
        <v>11.4</v>
      </c>
      <c r="L693" s="35">
        <f>VENTAS[[#This Row],[Total]]-VENTAS[[#This Row],[Comisión 10%]]-VENTAS[[#This Row],[Costo SIN Comision]]</f>
        <v>13.6</v>
      </c>
      <c r="M693" s="35"/>
    </row>
    <row r="694" ht="20" customHeight="1" spans="1:13">
      <c r="A694" s="29"/>
      <c r="B694" s="30" t="str">
        <f>IFERROR(VLOOKUP(VENTAS[[#This Row],[Código del producto Vendido]],STOCK[],25,FALSE),"-")</f>
        <v>Compra 7/12/2023</v>
      </c>
      <c r="C694" s="30"/>
      <c r="D694" s="30"/>
      <c r="E694" s="30" t="s">
        <v>1546</v>
      </c>
      <c r="F694" s="34" t="str">
        <f>IFERROR(VLOOKUP(VENTAS[[#This Row],[Código del producto Vendido]],STOCK[],5,FALSE),"-")</f>
        <v>Limpia botellas</v>
      </c>
      <c r="G694" s="34">
        <v>1</v>
      </c>
      <c r="H694" s="35">
        <v>4</v>
      </c>
      <c r="I694" s="35">
        <f>VENTAS[[#This Row],[Cantidad]]*VENTAS[[#This Row],[Precio Venta]]</f>
        <v>4</v>
      </c>
      <c r="J694" s="35">
        <f>IF(VENTAS[[#This Row],[Nombre del Gestor]]&gt;1,VENTAS[[#This Row],[Total]]*10%,0)</f>
        <v>0</v>
      </c>
      <c r="K694" s="35">
        <f>IFERROR(VLOOKUP(VENTAS[[#This Row],[Código del producto Vendido]],STOCK[],16,FALSE)*VENTAS[[#This Row],[Cantidad]]+VLOOKUP(VENTAS[[#This Row],[Código del producto Vendido]],STOCK[],19,FALSE)*VENTAS[[#This Row],[Cantidad]],VENTAS[[#This Row],[Total]])</f>
        <v>3.25</v>
      </c>
      <c r="L694" s="35">
        <f>VENTAS[[#This Row],[Total]]-VENTAS[[#This Row],[Comisión 10%]]-VENTAS[[#This Row],[Costo SIN Comision]]</f>
        <v>0.75</v>
      </c>
      <c r="M694" s="35"/>
    </row>
    <row r="695" ht="20" customHeight="1" spans="1:13">
      <c r="A695" s="29"/>
      <c r="B695" s="30" t="str">
        <f>IFERROR(VLOOKUP(VENTAS[[#This Row],[Código del producto Vendido]],STOCK[],25,FALSE),"-")</f>
        <v>Compra 7/12/2023</v>
      </c>
      <c r="C695" s="30"/>
      <c r="D695" s="30"/>
      <c r="E695" s="30" t="s">
        <v>1549</v>
      </c>
      <c r="F695" s="34" t="str">
        <f>IFERROR(VLOOKUP(VENTAS[[#This Row],[Código del producto Vendido]],STOCK[],5,FALSE),"-")</f>
        <v>Batidor</v>
      </c>
      <c r="G695" s="34">
        <v>1</v>
      </c>
      <c r="H695" s="35">
        <v>3</v>
      </c>
      <c r="I695" s="35">
        <f>VENTAS[[#This Row],[Cantidad]]*VENTAS[[#This Row],[Precio Venta]]</f>
        <v>3</v>
      </c>
      <c r="J695" s="35">
        <f>IF(VENTAS[[#This Row],[Nombre del Gestor]]&gt;1,VENTAS[[#This Row],[Total]]*10%,0)</f>
        <v>0</v>
      </c>
      <c r="K695" s="35">
        <f>IFERROR(VLOOKUP(VENTAS[[#This Row],[Código del producto Vendido]],STOCK[],16,FALSE)*VENTAS[[#This Row],[Cantidad]]+VLOOKUP(VENTAS[[#This Row],[Código del producto Vendido]],STOCK[],19,FALSE)*VENTAS[[#This Row],[Cantidad]],VENTAS[[#This Row],[Total]])</f>
        <v>3.5</v>
      </c>
      <c r="L695" s="35">
        <f>VENTAS[[#This Row],[Total]]-VENTAS[[#This Row],[Comisión 10%]]-VENTAS[[#This Row],[Costo SIN Comision]]</f>
        <v>-0.5</v>
      </c>
      <c r="M695" s="35"/>
    </row>
    <row r="696" ht="20" customHeight="1" spans="1:13">
      <c r="A696" s="29"/>
      <c r="B696" s="30" t="str">
        <f>IFERROR(VLOOKUP(VENTAS[[#This Row],[Código del producto Vendido]],STOCK[],25,FALSE),"-")</f>
        <v>Compra 7/12/2023</v>
      </c>
      <c r="C696" s="30"/>
      <c r="D696" s="30"/>
      <c r="E696" s="30" t="s">
        <v>1525</v>
      </c>
      <c r="F696" s="34" t="str">
        <f>IFERROR(VLOOKUP(VENTAS[[#This Row],[Código del producto Vendido]],STOCK[],5,FALSE),"-")</f>
        <v>Top Bustier encaje</v>
      </c>
      <c r="G696" s="34">
        <v>1</v>
      </c>
      <c r="H696" s="35">
        <v>22</v>
      </c>
      <c r="I696" s="35">
        <f>VENTAS[[#This Row],[Cantidad]]*VENTAS[[#This Row],[Precio Venta]]</f>
        <v>22</v>
      </c>
      <c r="J696" s="35">
        <f>IF(VENTAS[[#This Row],[Nombre del Gestor]]&gt;1,VENTAS[[#This Row],[Total]]*10%,0)</f>
        <v>0</v>
      </c>
      <c r="K696" s="35">
        <f>IFERROR(VLOOKUP(VENTAS[[#This Row],[Código del producto Vendido]],STOCK[],16,FALSE)*VENTAS[[#This Row],[Cantidad]]+VLOOKUP(VENTAS[[#This Row],[Código del producto Vendido]],STOCK[],19,FALSE)*VENTAS[[#This Row],[Cantidad]],VENTAS[[#This Row],[Total]])</f>
        <v>14.7</v>
      </c>
      <c r="L696" s="35">
        <f>VENTAS[[#This Row],[Total]]-VENTAS[[#This Row],[Comisión 10%]]-VENTAS[[#This Row],[Costo SIN Comision]]</f>
        <v>7.3</v>
      </c>
      <c r="M696" s="35"/>
    </row>
    <row r="697" ht="20" customHeight="1" spans="1:13">
      <c r="A697" s="29"/>
      <c r="B697" s="30" t="str">
        <f>IFERROR(VLOOKUP(VENTAS[[#This Row],[Código del producto Vendido]],STOCK[],25,FALSE),"-")</f>
        <v>Compra 7/12/2023</v>
      </c>
      <c r="C697" s="30"/>
      <c r="D697" s="30"/>
      <c r="E697" s="30" t="s">
        <v>1542</v>
      </c>
      <c r="F697" s="34" t="str">
        <f>IFERROR(VLOOKUP(VENTAS[[#This Row],[Código del producto Vendido]],STOCK[],5,FALSE),"-")</f>
        <v>Lentes de Sol</v>
      </c>
      <c r="G697" s="34">
        <v>1</v>
      </c>
      <c r="H697" s="35">
        <v>5</v>
      </c>
      <c r="I697" s="35">
        <f>VENTAS[[#This Row],[Cantidad]]*VENTAS[[#This Row],[Precio Venta]]</f>
        <v>5</v>
      </c>
      <c r="J697" s="35">
        <f>IF(VENTAS[[#This Row],[Nombre del Gestor]]&gt;1,VENTAS[[#This Row],[Total]]*10%,0)</f>
        <v>0</v>
      </c>
      <c r="K697" s="35">
        <f>IFERROR(VLOOKUP(VENTAS[[#This Row],[Código del producto Vendido]],STOCK[],16,FALSE)*VENTAS[[#This Row],[Cantidad]]+VLOOKUP(VENTAS[[#This Row],[Código del producto Vendido]],STOCK[],19,FALSE)*VENTAS[[#This Row],[Cantidad]],VENTAS[[#This Row],[Total]])</f>
        <v>4.22</v>
      </c>
      <c r="L697" s="35">
        <f>VENTAS[[#This Row],[Total]]-VENTAS[[#This Row],[Comisión 10%]]-VENTAS[[#This Row],[Costo SIN Comision]]</f>
        <v>0.779999999999999</v>
      </c>
      <c r="M697" s="35"/>
    </row>
    <row r="698" ht="20" customHeight="1" spans="1:13">
      <c r="A698" s="29"/>
      <c r="B698" s="30" t="str">
        <f>IFERROR(VLOOKUP(VENTAS[[#This Row],[Código del producto Vendido]],STOCK[],25,FALSE),"-")</f>
        <v>Compra 7/12/2023</v>
      </c>
      <c r="C698" s="30"/>
      <c r="D698" s="30"/>
      <c r="E698" s="30" t="s">
        <v>1540</v>
      </c>
      <c r="F698" s="34" t="str">
        <f>IFERROR(VLOOKUP(VENTAS[[#This Row],[Código del producto Vendido]],STOCK[],5,FALSE),"-")</f>
        <v>Gafas de Sol </v>
      </c>
      <c r="G698" s="34">
        <v>1</v>
      </c>
      <c r="H698" s="35">
        <v>5</v>
      </c>
      <c r="I698" s="35">
        <f>VENTAS[[#This Row],[Cantidad]]*VENTAS[[#This Row],[Precio Venta]]</f>
        <v>5</v>
      </c>
      <c r="J698" s="35">
        <f>IF(VENTAS[[#This Row],[Nombre del Gestor]]&gt;1,VENTAS[[#This Row],[Total]]*10%,0)</f>
        <v>0</v>
      </c>
      <c r="K698" s="35">
        <f>IFERROR(VLOOKUP(VENTAS[[#This Row],[Código del producto Vendido]],STOCK[],16,FALSE)*VENTAS[[#This Row],[Cantidad]]+VLOOKUP(VENTAS[[#This Row],[Código del producto Vendido]],STOCK[],19,FALSE)*VENTAS[[#This Row],[Cantidad]],VENTAS[[#This Row],[Total]])</f>
        <v>6.2</v>
      </c>
      <c r="L698" s="35">
        <f>VENTAS[[#This Row],[Total]]-VENTAS[[#This Row],[Comisión 10%]]-VENTAS[[#This Row],[Costo SIN Comision]]</f>
        <v>-1.2</v>
      </c>
      <c r="M698" s="35"/>
    </row>
    <row r="699" ht="20" customHeight="1" spans="1:13">
      <c r="A699" s="29"/>
      <c r="B699" s="30" t="str">
        <f>IFERROR(VLOOKUP(VENTAS[[#This Row],[Código del producto Vendido]],STOCK[],25,FALSE),"-")</f>
        <v>COMPRA F21</v>
      </c>
      <c r="C699" s="30"/>
      <c r="D699" s="30"/>
      <c r="E699" s="30" t="s">
        <v>1446</v>
      </c>
      <c r="F699" s="34" t="str">
        <f>IFERROR(VLOOKUP(VENTAS[[#This Row],[Código del producto Vendido]],STOCK[],5,FALSE),"-")</f>
        <v>Mocasín con herrajes</v>
      </c>
      <c r="G699" s="34">
        <v>1</v>
      </c>
      <c r="H699" s="35">
        <v>43</v>
      </c>
      <c r="I699" s="35">
        <f>VENTAS[[#This Row],[Cantidad]]*VENTAS[[#This Row],[Precio Venta]]</f>
        <v>43</v>
      </c>
      <c r="J699" s="35">
        <f>IF(VENTAS[[#This Row],[Nombre del Gestor]]&gt;1,VENTAS[[#This Row],[Total]]*10%,0)</f>
        <v>0</v>
      </c>
      <c r="K699" s="35">
        <f>IFERROR(VLOOKUP(VENTAS[[#This Row],[Código del producto Vendido]],STOCK[],16,FALSE)*VENTAS[[#This Row],[Cantidad]]+VLOOKUP(VENTAS[[#This Row],[Código del producto Vendido]],STOCK[],19,FALSE)*VENTAS[[#This Row],[Cantidad]],VENTAS[[#This Row],[Total]])</f>
        <v>27.49</v>
      </c>
      <c r="L699" s="35">
        <f>VENTAS[[#This Row],[Total]]-VENTAS[[#This Row],[Comisión 10%]]-VENTAS[[#This Row],[Costo SIN Comision]]</f>
        <v>15.51</v>
      </c>
      <c r="M699" s="35"/>
    </row>
    <row r="700" ht="20" customHeight="1" spans="1:13">
      <c r="A700" s="29"/>
      <c r="B700" s="30">
        <f>IFERROR(VLOOKUP(VENTAS[[#This Row],[Código del producto Vendido]],STOCK[],25,FALSE),"-")</f>
        <v>0</v>
      </c>
      <c r="C700" s="30"/>
      <c r="D700" s="30"/>
      <c r="E700" s="30" t="s">
        <v>531</v>
      </c>
      <c r="F700" s="34" t="str">
        <f>IFERROR(VLOOKUP(VENTAS[[#This Row],[Código del producto Vendido]],STOCK[],5,FALSE),"-")</f>
        <v>Rizador de pelo de color al azar 10 piezas</v>
      </c>
      <c r="G700" s="34">
        <v>1</v>
      </c>
      <c r="H700" s="35"/>
      <c r="I700" s="35">
        <f>VENTAS[[#This Row],[Cantidad]]*VENTAS[[#This Row],[Precio Venta]]</f>
        <v>0</v>
      </c>
      <c r="J700" s="35">
        <f>IF(VENTAS[[#This Row],[Nombre del Gestor]]&gt;1,VENTAS[[#This Row],[Total]]*10%,0)</f>
        <v>0</v>
      </c>
      <c r="K700" s="35">
        <f>IFERROR(VLOOKUP(VENTAS[[#This Row],[Código del producto Vendido]],STOCK[],16,FALSE)*VENTAS[[#This Row],[Cantidad]]+VLOOKUP(VENTAS[[#This Row],[Código del producto Vendido]],STOCK[],19,FALSE)*VENTAS[[#This Row],[Cantidad]],VENTAS[[#This Row],[Total]])</f>
        <v>2.04777777777778</v>
      </c>
      <c r="L700" s="35">
        <f>VENTAS[[#This Row],[Total]]-VENTAS[[#This Row],[Comisión 10%]]-VENTAS[[#This Row],[Costo SIN Comision]]</f>
        <v>-2.04777777777778</v>
      </c>
      <c r="M700" s="35"/>
    </row>
    <row r="701" ht="20" customHeight="1" spans="1:13">
      <c r="A701" s="29"/>
      <c r="B701" s="30">
        <f>IFERROR(VLOOKUP(VENTAS[[#This Row],[Código del producto Vendido]],STOCK[],25,FALSE),"-")</f>
        <v>0</v>
      </c>
      <c r="C701" s="30"/>
      <c r="D701" s="30"/>
      <c r="E701" s="30" t="s">
        <v>519</v>
      </c>
      <c r="F701" s="34" t="str">
        <f>IFERROR(VLOOKUP(VENTAS[[#This Row],[Código del producto Vendido]],STOCK[],5,FALSE),"-")</f>
        <v> Mocasines con puntada</v>
      </c>
      <c r="G701" s="34">
        <v>1</v>
      </c>
      <c r="H701" s="35"/>
      <c r="I701" s="35">
        <f>VENTAS[[#This Row],[Cantidad]]*VENTAS[[#This Row],[Precio Venta]]</f>
        <v>0</v>
      </c>
      <c r="J701" s="35">
        <f>IF(VENTAS[[#This Row],[Nombre del Gestor]]&gt;1,VENTAS[[#This Row],[Total]]*10%,0)</f>
        <v>0</v>
      </c>
      <c r="K701" s="35">
        <f>IFERROR(VLOOKUP(VENTAS[[#This Row],[Código del producto Vendido]],STOCK[],16,FALSE)*VENTAS[[#This Row],[Cantidad]]+VLOOKUP(VENTAS[[#This Row],[Código del producto Vendido]],STOCK[],19,FALSE)*VENTAS[[#This Row],[Cantidad]],VENTAS[[#This Row],[Total]])</f>
        <v>16.9261111111111</v>
      </c>
      <c r="L701" s="35">
        <f>VENTAS[[#This Row],[Total]]-VENTAS[[#This Row],[Comisión 10%]]-VENTAS[[#This Row],[Costo SIN Comision]]</f>
        <v>-16.9261111111111</v>
      </c>
      <c r="M701" s="35"/>
    </row>
    <row r="702" ht="20" customHeight="1" spans="1:13">
      <c r="A702" s="29"/>
      <c r="B702" s="30">
        <f>IFERROR(VLOOKUP(VENTAS[[#This Row],[Código del producto Vendido]],STOCK[],25,FALSE),"-")</f>
        <v>0</v>
      </c>
      <c r="C702" s="30"/>
      <c r="D702" s="30"/>
      <c r="E702" s="30" t="s">
        <v>478</v>
      </c>
      <c r="F702" s="34" t="str">
        <f>IFERROR(VLOOKUP(VENTAS[[#This Row],[Código del producto Vendido]],STOCK[],5,FALSE),"-")</f>
        <v>Bolsa cuadrada mini geométrico </v>
      </c>
      <c r="G702" s="34">
        <v>1</v>
      </c>
      <c r="H702" s="35"/>
      <c r="I702" s="35">
        <f>VENTAS[[#This Row],[Cantidad]]*VENTAS[[#This Row],[Precio Venta]]</f>
        <v>0</v>
      </c>
      <c r="J702" s="35">
        <f>IF(VENTAS[[#This Row],[Nombre del Gestor]]&gt;1,VENTAS[[#This Row],[Total]]*10%,0)</f>
        <v>0</v>
      </c>
      <c r="K702" s="35">
        <f>IFERROR(VLOOKUP(VENTAS[[#This Row],[Código del producto Vendido]],STOCK[],16,FALSE)*VENTAS[[#This Row],[Cantidad]]+VLOOKUP(VENTAS[[#This Row],[Código del producto Vendido]],STOCK[],19,FALSE)*VENTAS[[#This Row],[Cantidad]],VENTAS[[#This Row],[Total]])</f>
        <v>6.33777777777778</v>
      </c>
      <c r="L702" s="35">
        <f>VENTAS[[#This Row],[Total]]-VENTAS[[#This Row],[Comisión 10%]]-VENTAS[[#This Row],[Costo SIN Comision]]</f>
        <v>-6.33777777777778</v>
      </c>
      <c r="M702" s="35"/>
    </row>
    <row r="703" ht="20" customHeight="1" spans="1:13">
      <c r="A703" s="29">
        <v>45328</v>
      </c>
      <c r="B703" s="30">
        <f>IFERROR(VLOOKUP(VENTAS[[#This Row],[Código del producto Vendido]],STOCK[],25,FALSE),"-")</f>
        <v>0</v>
      </c>
      <c r="C703" s="30"/>
      <c r="D703" s="30" t="s">
        <v>3468</v>
      </c>
      <c r="E703" s="30" t="s">
        <v>618</v>
      </c>
      <c r="F703" s="34" t="str">
        <f>IFERROR(VLOOKUP(VENTAS[[#This Row],[Código del producto Vendido]],STOCK[],5,FALSE),"-")</f>
        <v>Vestido pecho con fruncido </v>
      </c>
      <c r="G703" s="34">
        <v>1</v>
      </c>
      <c r="H703" s="35">
        <v>15</v>
      </c>
      <c r="I703" s="35">
        <f>VENTAS[[#This Row],[Cantidad]]*VENTAS[[#This Row],[Precio Venta]]</f>
        <v>15</v>
      </c>
      <c r="J703" s="35">
        <f>IF(VENTAS[[#This Row],[Nombre del Gestor]]&gt;1,VENTAS[[#This Row],[Total]]*10%,0)</f>
        <v>1.5</v>
      </c>
      <c r="K703" s="35">
        <f>IFERROR(VLOOKUP(VENTAS[[#This Row],[Código del producto Vendido]],STOCK[],16,FALSE)*VENTAS[[#This Row],[Cantidad]]+VLOOKUP(VENTAS[[#This Row],[Código del producto Vendido]],STOCK[],19,FALSE)*VENTAS[[#This Row],[Cantidad]],VENTAS[[#This Row],[Total]])</f>
        <v>10.7222222222222</v>
      </c>
      <c r="L703" s="35">
        <f>VENTAS[[#This Row],[Total]]-VENTAS[[#This Row],[Comisión 10%]]-VENTAS[[#This Row],[Costo SIN Comision]]</f>
        <v>2.77777777777778</v>
      </c>
      <c r="M703" s="35"/>
    </row>
    <row r="704" ht="20" customHeight="1" spans="1:13">
      <c r="A704" s="29">
        <v>45328</v>
      </c>
      <c r="B704" s="30" t="str">
        <f>IFERROR(VLOOKUP(VENTAS[[#This Row],[Código del producto Vendido]],STOCK[],25,FALSE),"-")</f>
        <v>Viaje Agosto</v>
      </c>
      <c r="C704" s="30"/>
      <c r="D704" s="30" t="s">
        <v>3462</v>
      </c>
      <c r="E704" s="30" t="s">
        <v>1198</v>
      </c>
      <c r="F704" s="34" t="str">
        <f>IFERROR(VLOOKUP(VENTAS[[#This Row],[Código del producto Vendido]],STOCK[],5,FALSE),"-")</f>
        <v>Sujetador adhesivo de silicona</v>
      </c>
      <c r="G704" s="34">
        <v>1</v>
      </c>
      <c r="H704" s="35">
        <v>12</v>
      </c>
      <c r="I704" s="35">
        <f>VENTAS[[#This Row],[Cantidad]]*VENTAS[[#This Row],[Precio Venta]]</f>
        <v>12</v>
      </c>
      <c r="J704" s="35">
        <f>IF(VENTAS[[#This Row],[Nombre del Gestor]]&gt;1,VENTAS[[#This Row],[Total]]*10%,0)</f>
        <v>1.2</v>
      </c>
      <c r="K704" s="35">
        <f>IFERROR(VLOOKUP(VENTAS[[#This Row],[Código del producto Vendido]],STOCK[],16,FALSE)*VENTAS[[#This Row],[Cantidad]]+VLOOKUP(VENTAS[[#This Row],[Código del producto Vendido]],STOCK[],19,FALSE)*VENTAS[[#This Row],[Cantidad]],VENTAS[[#This Row],[Total]])</f>
        <v>5.87</v>
      </c>
      <c r="L704" s="35">
        <f>VENTAS[[#This Row],[Total]]-VENTAS[[#This Row],[Comisión 10%]]-VENTAS[[#This Row],[Costo SIN Comision]]</f>
        <v>4.93</v>
      </c>
      <c r="M704" s="35"/>
    </row>
    <row r="705" ht="20" customHeight="1" spans="1:13">
      <c r="A705" s="29">
        <v>45328</v>
      </c>
      <c r="B705" s="30" t="str">
        <f>IFERROR(VLOOKUP(VENTAS[[#This Row],[Código del producto Vendido]],STOCK[],25,FALSE),"-")</f>
        <v>COMPRA F21</v>
      </c>
      <c r="C705" s="30"/>
      <c r="D705" s="30" t="s">
        <v>3433</v>
      </c>
      <c r="E705" s="30" t="s">
        <v>1437</v>
      </c>
      <c r="F705" s="34" t="str">
        <f>IFERROR(VLOOKUP(VENTAS[[#This Row],[Código del producto Vendido]],STOCK[],5,FALSE),"-")</f>
        <v>Sandalias de velcro</v>
      </c>
      <c r="G705" s="34">
        <v>1</v>
      </c>
      <c r="H705" s="35">
        <v>30</v>
      </c>
      <c r="I705" s="35">
        <f>VENTAS[[#This Row],[Cantidad]]*VENTAS[[#This Row],[Precio Venta]]</f>
        <v>30</v>
      </c>
      <c r="J705" s="35">
        <f>IF(VENTAS[[#This Row],[Nombre del Gestor]]&gt;1,VENTAS[[#This Row],[Total]]*10%,0)</f>
        <v>3</v>
      </c>
      <c r="K705" s="35">
        <f>IFERROR(VLOOKUP(VENTAS[[#This Row],[Código del producto Vendido]],STOCK[],16,FALSE)*VENTAS[[#This Row],[Cantidad]]+VLOOKUP(VENTAS[[#This Row],[Código del producto Vendido]],STOCK[],19,FALSE)*VENTAS[[#This Row],[Cantidad]],VENTAS[[#This Row],[Total]])</f>
        <v>17</v>
      </c>
      <c r="L705" s="35">
        <f>VENTAS[[#This Row],[Total]]-VENTAS[[#This Row],[Comisión 10%]]-VENTAS[[#This Row],[Costo SIN Comision]]</f>
        <v>10</v>
      </c>
      <c r="M705" s="35"/>
    </row>
    <row r="706" ht="20" customHeight="1" spans="1:13">
      <c r="A706" s="29"/>
      <c r="B706" s="30" t="str">
        <f>IFERROR(VLOOKUP(VENTAS[[#This Row],[Código del producto Vendido]],STOCK[],25,FALSE),"-")</f>
        <v>Compra 9/12/2023</v>
      </c>
      <c r="C706" s="30"/>
      <c r="D706" s="30"/>
      <c r="E706" s="30" t="s">
        <v>1606</v>
      </c>
      <c r="F706" s="34" t="str">
        <f>IFERROR(VLOOKUP(VENTAS[[#This Row],[Código del producto Vendido]],STOCK[],5,FALSE),"-")</f>
        <v>Vestido camisa modely</v>
      </c>
      <c r="G706" s="34">
        <v>1</v>
      </c>
      <c r="H706" s="35">
        <v>35</v>
      </c>
      <c r="I706" s="35">
        <f>VENTAS[[#This Row],[Cantidad]]*VENTAS[[#This Row],[Precio Venta]]</f>
        <v>35</v>
      </c>
      <c r="J706" s="35">
        <f>IF(VENTAS[[#This Row],[Nombre del Gestor]]&gt;1,VENTAS[[#This Row],[Total]]*10%,0)</f>
        <v>0</v>
      </c>
      <c r="K706" s="35">
        <f>IFERROR(VLOOKUP(VENTAS[[#This Row],[Código del producto Vendido]],STOCK[],16,FALSE)*VENTAS[[#This Row],[Cantidad]]+VLOOKUP(VENTAS[[#This Row],[Código del producto Vendido]],STOCK[],19,FALSE)*VENTAS[[#This Row],[Cantidad]],VENTAS[[#This Row],[Total]])</f>
        <v>14.84</v>
      </c>
      <c r="L706" s="35">
        <f>VENTAS[[#This Row],[Total]]-VENTAS[[#This Row],[Comisión 10%]]-VENTAS[[#This Row],[Costo SIN Comision]]</f>
        <v>20.16</v>
      </c>
      <c r="M706" s="35"/>
    </row>
    <row r="707" ht="20" customHeight="1" spans="1:13">
      <c r="A707" s="29"/>
      <c r="B707" s="30" t="str">
        <f>IFERROR(VLOOKUP(VENTAS[[#This Row],[Código del producto Vendido]],STOCK[],25,FALSE),"-")</f>
        <v>Compra 9/12/2023</v>
      </c>
      <c r="C707" s="30"/>
      <c r="D707" s="30"/>
      <c r="E707" s="30" t="s">
        <v>1604</v>
      </c>
      <c r="F707" s="34" t="str">
        <f>IFERROR(VLOOKUP(VENTAS[[#This Row],[Código del producto Vendido]],STOCK[],5,FALSE),"-")</f>
        <v>Vestido camisa modely</v>
      </c>
      <c r="G707" s="34">
        <v>1</v>
      </c>
      <c r="H707" s="35">
        <v>30</v>
      </c>
      <c r="I707" s="35">
        <f>VENTAS[[#This Row],[Cantidad]]*VENTAS[[#This Row],[Precio Venta]]</f>
        <v>30</v>
      </c>
      <c r="J707" s="35">
        <f>IF(VENTAS[[#This Row],[Nombre del Gestor]]&gt;1,VENTAS[[#This Row],[Total]]*10%,0)</f>
        <v>0</v>
      </c>
      <c r="K707" s="35">
        <f>IFERROR(VLOOKUP(VENTAS[[#This Row],[Código del producto Vendido]],STOCK[],16,FALSE)*VENTAS[[#This Row],[Cantidad]]+VLOOKUP(VENTAS[[#This Row],[Código del producto Vendido]],STOCK[],19,FALSE)*VENTAS[[#This Row],[Cantidad]],VENTAS[[#This Row],[Total]])</f>
        <v>14.84</v>
      </c>
      <c r="L707" s="35">
        <f>VENTAS[[#This Row],[Total]]-VENTAS[[#This Row],[Comisión 10%]]-VENTAS[[#This Row],[Costo SIN Comision]]</f>
        <v>15.16</v>
      </c>
      <c r="M707" s="35"/>
    </row>
    <row r="708" ht="20" customHeight="1" spans="1:13">
      <c r="A708" s="29" t="s">
        <v>3465</v>
      </c>
      <c r="B708" s="30">
        <f>IFERROR(VLOOKUP(VENTAS[[#This Row],[Código del producto Vendido]],STOCK[],25,FALSE),"-")</f>
        <v>0</v>
      </c>
      <c r="C708" s="30"/>
      <c r="D708" s="30"/>
      <c r="E708" s="30" t="s">
        <v>480</v>
      </c>
      <c r="F708" s="34" t="str">
        <f>IFERROR(VLOOKUP(VENTAS[[#This Row],[Código del producto Vendido]],STOCK[],5,FALSE),"-")</f>
        <v>Bikini estampado cebra</v>
      </c>
      <c r="G708" s="34">
        <v>1</v>
      </c>
      <c r="H708" s="35">
        <v>15</v>
      </c>
      <c r="I708" s="35">
        <f>VENTAS[[#This Row],[Cantidad]]*VENTAS[[#This Row],[Precio Venta]]</f>
        <v>15</v>
      </c>
      <c r="J708" s="35">
        <f>IF(VENTAS[[#This Row],[Nombre del Gestor]]&gt;1,VENTAS[[#This Row],[Total]]*10%,0)</f>
        <v>0</v>
      </c>
      <c r="K708" s="35">
        <f>IFERROR(VLOOKUP(VENTAS[[#This Row],[Código del producto Vendido]],STOCK[],16,FALSE)*VENTAS[[#This Row],[Cantidad]]+VLOOKUP(VENTAS[[#This Row],[Código del producto Vendido]],STOCK[],19,FALSE)*VENTAS[[#This Row],[Cantidad]],VENTAS[[#This Row],[Total]])</f>
        <v>8.78722222222222</v>
      </c>
      <c r="L708" s="35">
        <f>VENTAS[[#This Row],[Total]]-VENTAS[[#This Row],[Comisión 10%]]-VENTAS[[#This Row],[Costo SIN Comision]]</f>
        <v>6.21277777777778</v>
      </c>
      <c r="M708" s="35"/>
    </row>
    <row r="709" ht="20" customHeight="1" spans="1:13">
      <c r="A709" s="29" t="s">
        <v>3465</v>
      </c>
      <c r="B709" s="30">
        <f>IFERROR(VLOOKUP(VENTAS[[#This Row],[Código del producto Vendido]],STOCK[],25,FALSE),"-")</f>
        <v>0</v>
      </c>
      <c r="C709" s="30"/>
      <c r="D709" s="30"/>
      <c r="E709" s="30" t="s">
        <v>412</v>
      </c>
      <c r="F709" s="34" t="str">
        <f>IFERROR(VLOOKUP(VENTAS[[#This Row],[Código del producto Vendido]],STOCK[],5,FALSE),"-")</f>
        <v>Bikini Floral</v>
      </c>
      <c r="G709" s="34">
        <v>1</v>
      </c>
      <c r="H709" s="35">
        <v>22</v>
      </c>
      <c r="I709" s="35">
        <f>VENTAS[[#This Row],[Cantidad]]*VENTAS[[#This Row],[Precio Venta]]</f>
        <v>22</v>
      </c>
      <c r="J709" s="35">
        <f>IF(VENTAS[[#This Row],[Nombre del Gestor]]&gt;1,VENTAS[[#This Row],[Total]]*10%,0)</f>
        <v>0</v>
      </c>
      <c r="K709" s="35">
        <f>IFERROR(VLOOKUP(VENTAS[[#This Row],[Código del producto Vendido]],STOCK[],16,FALSE)*VENTAS[[#This Row],[Cantidad]]+VLOOKUP(VENTAS[[#This Row],[Código del producto Vendido]],STOCK[],19,FALSE)*VENTAS[[#This Row],[Cantidad]],VENTAS[[#This Row],[Total]])</f>
        <v>13.9444444444444</v>
      </c>
      <c r="L709" s="35">
        <f>VENTAS[[#This Row],[Total]]-VENTAS[[#This Row],[Comisión 10%]]-VENTAS[[#This Row],[Costo SIN Comision]]</f>
        <v>8.0555555555556</v>
      </c>
      <c r="M709" s="35"/>
    </row>
    <row r="710" ht="20" customHeight="1" spans="1:13">
      <c r="A710" s="29" t="s">
        <v>3465</v>
      </c>
      <c r="B710" s="30">
        <f>IFERROR(VLOOKUP(VENTAS[[#This Row],[Código del producto Vendido]],STOCK[],25,FALSE),"-")</f>
        <v>0</v>
      </c>
      <c r="C710" s="30"/>
      <c r="D710" s="30"/>
      <c r="E710" s="30" t="s">
        <v>806</v>
      </c>
      <c r="F710" s="34" t="str">
        <f>IFERROR(VLOOKUP(VENTAS[[#This Row],[Código del producto Vendido]],STOCK[],5,FALSE),"-")</f>
        <v>Bañador a rayas con lazo</v>
      </c>
      <c r="G710" s="34">
        <v>1</v>
      </c>
      <c r="H710" s="35">
        <v>18</v>
      </c>
      <c r="I710" s="35">
        <f>VENTAS[[#This Row],[Cantidad]]*VENTAS[[#This Row],[Precio Venta]]</f>
        <v>18</v>
      </c>
      <c r="J710" s="35">
        <f>IF(VENTAS[[#This Row],[Nombre del Gestor]]&gt;1,VENTAS[[#This Row],[Total]]*10%,0)</f>
        <v>0</v>
      </c>
      <c r="K710" s="35">
        <f>IFERROR(VLOOKUP(VENTAS[[#This Row],[Código del producto Vendido]],STOCK[],16,FALSE)*VENTAS[[#This Row],[Cantidad]]+VLOOKUP(VENTAS[[#This Row],[Código del producto Vendido]],STOCK[],19,FALSE)*VENTAS[[#This Row],[Cantidad]],VENTAS[[#This Row],[Total]])</f>
        <v>9.5</v>
      </c>
      <c r="L710" s="35">
        <f>VENTAS[[#This Row],[Total]]-VENTAS[[#This Row],[Comisión 10%]]-VENTAS[[#This Row],[Costo SIN Comision]]</f>
        <v>8.5</v>
      </c>
      <c r="M710" s="35"/>
    </row>
    <row r="711" ht="20" customHeight="1" spans="1:13">
      <c r="A711" s="29" t="s">
        <v>3465</v>
      </c>
      <c r="B711" s="30">
        <f>IFERROR(VLOOKUP(VENTAS[[#This Row],[Código del producto Vendido]],STOCK[],25,FALSE),"-")</f>
        <v>0</v>
      </c>
      <c r="C711" s="30"/>
      <c r="D711" s="30"/>
      <c r="E711" s="30" t="s">
        <v>935</v>
      </c>
      <c r="F711" s="34" t="str">
        <f>IFERROR(VLOOKUP(VENTAS[[#This Row],[Código del producto Vendido]],STOCK[],5,FALSE),"-")</f>
        <v>Bañador con zíper de pierna alta</v>
      </c>
      <c r="G711" s="34">
        <v>1</v>
      </c>
      <c r="H711" s="35">
        <v>25</v>
      </c>
      <c r="I711" s="35">
        <f>VENTAS[[#This Row],[Cantidad]]*VENTAS[[#This Row],[Precio Venta]]</f>
        <v>25</v>
      </c>
      <c r="J711" s="35">
        <f>IF(VENTAS[[#This Row],[Nombre del Gestor]]&gt;1,VENTAS[[#This Row],[Total]]*10%,0)</f>
        <v>0</v>
      </c>
      <c r="K711" s="35">
        <f>IFERROR(VLOOKUP(VENTAS[[#This Row],[Código del producto Vendido]],STOCK[],16,FALSE)*VENTAS[[#This Row],[Cantidad]]+VLOOKUP(VENTAS[[#This Row],[Código del producto Vendido]],STOCK[],19,FALSE)*VENTAS[[#This Row],[Cantidad]],VENTAS[[#This Row],[Total]])</f>
        <v>14.0231818181818</v>
      </c>
      <c r="L711" s="35">
        <f>VENTAS[[#This Row],[Total]]-VENTAS[[#This Row],[Comisión 10%]]-VENTAS[[#This Row],[Costo SIN Comision]]</f>
        <v>10.9768181818182</v>
      </c>
      <c r="M711" s="35"/>
    </row>
    <row r="712" ht="20" customHeight="1" spans="1:13">
      <c r="A712" s="29" t="s">
        <v>3465</v>
      </c>
      <c r="B712" s="30">
        <f>IFERROR(VLOOKUP(VENTAS[[#This Row],[Código del producto Vendido]],STOCK[],25,FALSE),"-")</f>
        <v>0</v>
      </c>
      <c r="C712" s="30"/>
      <c r="D712" s="30"/>
      <c r="E712" s="30" t="s">
        <v>73</v>
      </c>
      <c r="F712" s="34" t="str">
        <f>IFERROR(VLOOKUP(VENTAS[[#This Row],[Código del producto Vendido]],STOCK[],5,FALSE),"-")</f>
        <v>Bañador floral </v>
      </c>
      <c r="G712" s="34">
        <v>1</v>
      </c>
      <c r="H712" s="35">
        <v>25</v>
      </c>
      <c r="I712" s="35">
        <f>VENTAS[[#This Row],[Cantidad]]*VENTAS[[#This Row],[Precio Venta]]</f>
        <v>25</v>
      </c>
      <c r="J712" s="35">
        <f>IF(VENTAS[[#This Row],[Nombre del Gestor]]&gt;1,VENTAS[[#This Row],[Total]]*10%,0)</f>
        <v>0</v>
      </c>
      <c r="K712" s="35">
        <f>IFERROR(VLOOKUP(VENTAS[[#This Row],[Código del producto Vendido]],STOCK[],16,FALSE)*VENTAS[[#This Row],[Cantidad]]+VLOOKUP(VENTAS[[#This Row],[Código del producto Vendido]],STOCK[],19,FALSE)*VENTAS[[#This Row],[Cantidad]],VENTAS[[#This Row],[Total]])</f>
        <v>18.0538888888889</v>
      </c>
      <c r="L712" s="35">
        <f>VENTAS[[#This Row],[Total]]-VENTAS[[#This Row],[Comisión 10%]]-VENTAS[[#This Row],[Costo SIN Comision]]</f>
        <v>6.9461111111111</v>
      </c>
      <c r="M712" s="35"/>
    </row>
    <row r="713" ht="20" customHeight="1" spans="1:13">
      <c r="A713" s="29" t="s">
        <v>3465</v>
      </c>
      <c r="B713" s="30">
        <f>IFERROR(VLOOKUP(VENTAS[[#This Row],[Código del producto Vendido]],STOCK[],25,FALSE),"-")</f>
        <v>0</v>
      </c>
      <c r="C713" s="30"/>
      <c r="D713" s="30"/>
      <c r="E713" s="30" t="s">
        <v>808</v>
      </c>
      <c r="F713" s="34" t="str">
        <f>IFERROR(VLOOKUP(VENTAS[[#This Row],[Código del producto Vendido]],STOCK[],5,FALSE),"-")</f>
        <v>Bañador estampado en contraste</v>
      </c>
      <c r="G713" s="34">
        <v>1</v>
      </c>
      <c r="H713" s="35">
        <v>18</v>
      </c>
      <c r="I713" s="35">
        <f>VENTAS[[#This Row],[Cantidad]]*VENTAS[[#This Row],[Precio Venta]]</f>
        <v>18</v>
      </c>
      <c r="J713" s="35">
        <f>IF(VENTAS[[#This Row],[Nombre del Gestor]]&gt;1,VENTAS[[#This Row],[Total]]*10%,0)</f>
        <v>0</v>
      </c>
      <c r="K713" s="35">
        <f>IFERROR(VLOOKUP(VENTAS[[#This Row],[Código del producto Vendido]],STOCK[],16,FALSE)*VENTAS[[#This Row],[Cantidad]]+VLOOKUP(VENTAS[[#This Row],[Código del producto Vendido]],STOCK[],19,FALSE)*VENTAS[[#This Row],[Cantidad]],VENTAS[[#This Row],[Total]])</f>
        <v>7.83333333333333</v>
      </c>
      <c r="L713" s="35">
        <f>VENTAS[[#This Row],[Total]]-VENTAS[[#This Row],[Comisión 10%]]-VENTAS[[#This Row],[Costo SIN Comision]]</f>
        <v>10.1666666666667</v>
      </c>
      <c r="M713" s="35"/>
    </row>
    <row r="714" ht="20" customHeight="1" spans="1:13">
      <c r="A714" s="29" t="s">
        <v>3465</v>
      </c>
      <c r="B714" s="30">
        <f>IFERROR(VLOOKUP(VENTAS[[#This Row],[Código del producto Vendido]],STOCK[],25,FALSE),"-")</f>
        <v>0</v>
      </c>
      <c r="C714" s="30"/>
      <c r="D714" s="30"/>
      <c r="E714" s="30" t="s">
        <v>863</v>
      </c>
      <c r="F714" s="34" t="str">
        <f>IFERROR(VLOOKUP(VENTAS[[#This Row],[Código del producto Vendido]],STOCK[],5,FALSE),"-")</f>
        <v>Bikini rosa canalé</v>
      </c>
      <c r="G714" s="34">
        <v>1</v>
      </c>
      <c r="H714" s="35">
        <v>20</v>
      </c>
      <c r="I714" s="35">
        <f>VENTAS[[#This Row],[Cantidad]]*VENTAS[[#This Row],[Precio Venta]]</f>
        <v>20</v>
      </c>
      <c r="J714" s="35">
        <f>IF(VENTAS[[#This Row],[Nombre del Gestor]]&gt;1,VENTAS[[#This Row],[Total]]*10%,0)</f>
        <v>0</v>
      </c>
      <c r="K714" s="35">
        <f>IFERROR(VLOOKUP(VENTAS[[#This Row],[Código del producto Vendido]],STOCK[],16,FALSE)*VENTAS[[#This Row],[Cantidad]]+VLOOKUP(VENTAS[[#This Row],[Código del producto Vendido]],STOCK[],19,FALSE)*VENTAS[[#This Row],[Cantidad]],VENTAS[[#This Row],[Total]])</f>
        <v>13.4444444444444</v>
      </c>
      <c r="L714" s="35">
        <f>VENTAS[[#This Row],[Total]]-VENTAS[[#This Row],[Comisión 10%]]-VENTAS[[#This Row],[Costo SIN Comision]]</f>
        <v>6.5555555555556</v>
      </c>
      <c r="M714" s="35"/>
    </row>
    <row r="715" ht="20" customHeight="1" spans="1:13">
      <c r="A715" s="29" t="s">
        <v>3465</v>
      </c>
      <c r="B715" s="30">
        <f>IFERROR(VLOOKUP(VENTAS[[#This Row],[Código del producto Vendido]],STOCK[],25,FALSE),"-")</f>
        <v>0</v>
      </c>
      <c r="C715" s="30"/>
      <c r="D715" s="30"/>
      <c r="E715" s="30" t="s">
        <v>163</v>
      </c>
      <c r="F715" s="34" t="str">
        <f>IFERROR(VLOOKUP(VENTAS[[#This Row],[Código del producto Vendido]],STOCK[],5,FALSE),"-")</f>
        <v>Traje de baño niñitas malla protectora</v>
      </c>
      <c r="G715" s="34">
        <v>1</v>
      </c>
      <c r="H715" s="35">
        <v>20</v>
      </c>
      <c r="I715" s="35">
        <f>VENTAS[[#This Row],[Cantidad]]*VENTAS[[#This Row],[Precio Venta]]</f>
        <v>20</v>
      </c>
      <c r="J715" s="35">
        <f>IF(VENTAS[[#This Row],[Nombre del Gestor]]&gt;1,VENTAS[[#This Row],[Total]]*10%,0)</f>
        <v>0</v>
      </c>
      <c r="K715" s="35">
        <f>IFERROR(VLOOKUP(VENTAS[[#This Row],[Código del producto Vendido]],STOCK[],16,FALSE)*VENTAS[[#This Row],[Cantidad]]+VLOOKUP(VENTAS[[#This Row],[Código del producto Vendido]],STOCK[],19,FALSE)*VENTAS[[#This Row],[Cantidad]],VENTAS[[#This Row],[Total]])</f>
        <v>12.4422222222222</v>
      </c>
      <c r="L715" s="35">
        <f>VENTAS[[#This Row],[Total]]-VENTAS[[#This Row],[Comisión 10%]]-VENTAS[[#This Row],[Costo SIN Comision]]</f>
        <v>7.55777777777778</v>
      </c>
      <c r="M715" s="35"/>
    </row>
    <row r="716" ht="20" customHeight="1" spans="1:13">
      <c r="A716" s="29">
        <v>45330</v>
      </c>
      <c r="B716" s="30">
        <f>IFERROR(VLOOKUP(VENTAS[[#This Row],[Código del producto Vendido]],STOCK[],25,FALSE),"-")</f>
        <v>0</v>
      </c>
      <c r="C716" s="30"/>
      <c r="D716" s="30" t="s">
        <v>3468</v>
      </c>
      <c r="E716" s="30" t="s">
        <v>41</v>
      </c>
      <c r="F716" s="34" t="str">
        <f>IFERROR(VLOOKUP(VENTAS[[#This Row],[Código del producto Vendido]],STOCK[],5,FALSE),"-")</f>
        <v>Vestido camisero elegante</v>
      </c>
      <c r="G716" s="34">
        <v>1</v>
      </c>
      <c r="H716" s="35">
        <v>30</v>
      </c>
      <c r="I716" s="35">
        <f>VENTAS[[#This Row],[Cantidad]]*VENTAS[[#This Row],[Precio Venta]]</f>
        <v>30</v>
      </c>
      <c r="J716" s="35">
        <f>IF(VENTAS[[#This Row],[Nombre del Gestor]]&gt;1,VENTAS[[#This Row],[Total]]*10%,0)</f>
        <v>3</v>
      </c>
      <c r="K716" s="35">
        <f>IFERROR(VLOOKUP(VENTAS[[#This Row],[Código del producto Vendido]],STOCK[],16,FALSE)*VENTAS[[#This Row],[Cantidad]]+VLOOKUP(VENTAS[[#This Row],[Código del producto Vendido]],STOCK[],19,FALSE)*VENTAS[[#This Row],[Cantidad]],VENTAS[[#This Row],[Total]])</f>
        <v>19.0022222222222</v>
      </c>
      <c r="L716" s="35">
        <f>VENTAS[[#This Row],[Total]]-VENTAS[[#This Row],[Comisión 10%]]-VENTAS[[#This Row],[Costo SIN Comision]]</f>
        <v>7.9977777777778</v>
      </c>
      <c r="M716" s="35"/>
    </row>
    <row r="717" ht="20" customHeight="1" spans="1:13">
      <c r="A717" s="29">
        <v>45331</v>
      </c>
      <c r="B717" s="30">
        <f>IFERROR(VLOOKUP(VENTAS[[#This Row],[Código del producto Vendido]],STOCK[],25,FALSE),"-")</f>
        <v>0</v>
      </c>
      <c r="C717" s="30" t="s">
        <v>3469</v>
      </c>
      <c r="D717" s="30"/>
      <c r="E717" s="30" t="s">
        <v>1419</v>
      </c>
      <c r="F717" s="34" t="str">
        <f>IFERROR(VLOOKUP(VENTAS[[#This Row],[Código del producto Vendido]],STOCK[],5,FALSE),"-")</f>
        <v>Short de tela suave con cinturón</v>
      </c>
      <c r="G717" s="34">
        <v>1</v>
      </c>
      <c r="H717" s="35">
        <v>20</v>
      </c>
      <c r="I717" s="35">
        <f>VENTAS[[#This Row],[Cantidad]]*VENTAS[[#This Row],[Precio Venta]]</f>
        <v>20</v>
      </c>
      <c r="J717" s="35">
        <f>IF(VENTAS[[#This Row],[Nombre del Gestor]]&gt;1,VENTAS[[#This Row],[Total]]*10%,0)</f>
        <v>0</v>
      </c>
      <c r="K717" s="35">
        <f>IFERROR(VLOOKUP(VENTAS[[#This Row],[Código del producto Vendido]],STOCK[],16,FALSE)*VENTAS[[#This Row],[Cantidad]]+VLOOKUP(VENTAS[[#This Row],[Código del producto Vendido]],STOCK[],19,FALSE)*VENTAS[[#This Row],[Cantidad]],VENTAS[[#This Row],[Total]])</f>
        <v>12.99</v>
      </c>
      <c r="L717" s="35">
        <f>VENTAS[[#This Row],[Total]]-VENTAS[[#This Row],[Comisión 10%]]-VENTAS[[#This Row],[Costo SIN Comision]]</f>
        <v>7.01</v>
      </c>
      <c r="M717" s="35"/>
    </row>
    <row r="718" ht="20" customHeight="1" spans="1:13">
      <c r="A718" s="29">
        <v>45330</v>
      </c>
      <c r="B718" s="30" t="str">
        <f>IFERROR(VLOOKUP(VENTAS[[#This Row],[Código del producto Vendido]],STOCK[],25,FALSE),"-")</f>
        <v>Compra 9/12/2023</v>
      </c>
      <c r="C718" s="30"/>
      <c r="D718" s="30" t="s">
        <v>3468</v>
      </c>
      <c r="E718" s="30" t="s">
        <v>1629</v>
      </c>
      <c r="F718" s="34" t="str">
        <f>IFERROR(VLOOKUP(VENTAS[[#This Row],[Código del producto Vendido]],STOCK[],5,FALSE),"-")</f>
        <v>Vestidos Burdeos</v>
      </c>
      <c r="G718" s="34">
        <v>1</v>
      </c>
      <c r="H718" s="35">
        <v>25</v>
      </c>
      <c r="I718" s="35">
        <f>VENTAS[[#This Row],[Cantidad]]*VENTAS[[#This Row],[Precio Venta]]</f>
        <v>25</v>
      </c>
      <c r="J718" s="35">
        <f>IF(VENTAS[[#This Row],[Nombre del Gestor]]&gt;1,VENTAS[[#This Row],[Total]]*10%,0)</f>
        <v>2.5</v>
      </c>
      <c r="K718" s="35">
        <f>IFERROR(VLOOKUP(VENTAS[[#This Row],[Código del producto Vendido]],STOCK[],16,FALSE)*VENTAS[[#This Row],[Cantidad]]+VLOOKUP(VENTAS[[#This Row],[Código del producto Vendido]],STOCK[],19,FALSE)*VENTAS[[#This Row],[Cantidad]],VENTAS[[#This Row],[Total]])</f>
        <v>14.33</v>
      </c>
      <c r="L718" s="35">
        <f>VENTAS[[#This Row],[Total]]-VENTAS[[#This Row],[Comisión 10%]]-VENTAS[[#This Row],[Costo SIN Comision]]</f>
        <v>8.17</v>
      </c>
      <c r="M718" s="35"/>
    </row>
    <row r="719" ht="20" customHeight="1" spans="1:13">
      <c r="A719" s="29">
        <v>45324</v>
      </c>
      <c r="B719" s="30" t="str">
        <f>IFERROR(VLOOKUP(VENTAS[[#This Row],[Código del producto Vendido]],STOCK[],25,FALSE),"-")</f>
        <v>Compra 9/12/2023</v>
      </c>
      <c r="C719" s="30"/>
      <c r="D719" s="30" t="s">
        <v>3462</v>
      </c>
      <c r="E719" s="30" t="s">
        <v>1647</v>
      </c>
      <c r="F719" s="34" t="str">
        <f>IFERROR(VLOOKUP(VENTAS[[#This Row],[Código del producto Vendido]],STOCK[],5,FALSE),"-")</f>
        <v>Mono palazzo</v>
      </c>
      <c r="G719" s="34">
        <v>1</v>
      </c>
      <c r="H719" s="35">
        <v>30</v>
      </c>
      <c r="I719" s="35">
        <f>VENTAS[[#This Row],[Cantidad]]*VENTAS[[#This Row],[Precio Venta]]</f>
        <v>30</v>
      </c>
      <c r="J719" s="35">
        <f>IF(VENTAS[[#This Row],[Nombre del Gestor]]&gt;1,VENTAS[[#This Row],[Total]]*10%,0)</f>
        <v>3</v>
      </c>
      <c r="K719" s="35">
        <f>IFERROR(VLOOKUP(VENTAS[[#This Row],[Código del producto Vendido]],STOCK[],16,FALSE)*VENTAS[[#This Row],[Cantidad]]+VLOOKUP(VENTAS[[#This Row],[Código del producto Vendido]],STOCK[],19,FALSE)*VENTAS[[#This Row],[Cantidad]],VENTAS[[#This Row],[Total]])</f>
        <v>17.87</v>
      </c>
      <c r="L719" s="35">
        <f>VENTAS[[#This Row],[Total]]-VENTAS[[#This Row],[Comisión 10%]]-VENTAS[[#This Row],[Costo SIN Comision]]</f>
        <v>9.13</v>
      </c>
      <c r="M719" s="35"/>
    </row>
    <row r="720" ht="20" customHeight="1" spans="1:13">
      <c r="A720" s="29">
        <v>45330</v>
      </c>
      <c r="B720" s="30">
        <f>IFERROR(VLOOKUP(VENTAS[[#This Row],[Código del producto Vendido]],STOCK[],25,FALSE),"-")</f>
        <v>0</v>
      </c>
      <c r="C720" s="30"/>
      <c r="D720" s="30" t="s">
        <v>3468</v>
      </c>
      <c r="E720" s="30" t="s">
        <v>1684</v>
      </c>
      <c r="F720" s="34" t="str">
        <f>IFERROR(VLOOKUP(VENTAS[[#This Row],[Código del producto Vendido]],STOCK[],5,FALSE),"-")</f>
        <v>Mono con cinturón</v>
      </c>
      <c r="G720" s="34">
        <v>1</v>
      </c>
      <c r="H720" s="35">
        <v>30</v>
      </c>
      <c r="I720" s="35">
        <f>VENTAS[[#This Row],[Cantidad]]*VENTAS[[#This Row],[Precio Venta]]</f>
        <v>30</v>
      </c>
      <c r="J720" s="35">
        <f>IF(VENTAS[[#This Row],[Nombre del Gestor]]&gt;1,VENTAS[[#This Row],[Total]]*10%,0)</f>
        <v>3</v>
      </c>
      <c r="K720" s="35">
        <f>IFERROR(VLOOKUP(VENTAS[[#This Row],[Código del producto Vendido]],STOCK[],16,FALSE)*VENTAS[[#This Row],[Cantidad]]+VLOOKUP(VENTAS[[#This Row],[Código del producto Vendido]],STOCK[],19,FALSE)*VENTAS[[#This Row],[Cantidad]],VENTAS[[#This Row],[Total]])</f>
        <v>17.8</v>
      </c>
      <c r="L720" s="35">
        <f>VENTAS[[#This Row],[Total]]-VENTAS[[#This Row],[Comisión 10%]]-VENTAS[[#This Row],[Costo SIN Comision]]</f>
        <v>9.2</v>
      </c>
      <c r="M720" s="35"/>
    </row>
    <row r="721" ht="20" customHeight="1" spans="1:13">
      <c r="A721" s="29">
        <v>45324</v>
      </c>
      <c r="B721" s="30" t="str">
        <f>IFERROR(VLOOKUP(VENTAS[[#This Row],[Código del producto Vendido]],STOCK[],25,FALSE),"-")</f>
        <v>Viaje Agosto</v>
      </c>
      <c r="C721" s="30"/>
      <c r="D721" s="30" t="s">
        <v>3433</v>
      </c>
      <c r="E721" s="30" t="s">
        <v>1267</v>
      </c>
      <c r="F721" s="34" t="str">
        <f>IFERROR(VLOOKUP(VENTAS[[#This Row],[Código del producto Vendido]],STOCK[],5,FALSE),"-")</f>
        <v>Top corto asimétrico </v>
      </c>
      <c r="G721" s="34">
        <v>1</v>
      </c>
      <c r="H721" s="35">
        <v>10</v>
      </c>
      <c r="I721" s="35">
        <f>VENTAS[[#This Row],[Cantidad]]*VENTAS[[#This Row],[Precio Venta]]</f>
        <v>10</v>
      </c>
      <c r="J721" s="35">
        <f>IF(VENTAS[[#This Row],[Nombre del Gestor]]&gt;1,VENTAS[[#This Row],[Total]]*10%,0)</f>
        <v>1</v>
      </c>
      <c r="K721" s="35">
        <f>IFERROR(VLOOKUP(VENTAS[[#This Row],[Código del producto Vendido]],STOCK[],16,FALSE)*VENTAS[[#This Row],[Cantidad]]+VLOOKUP(VENTAS[[#This Row],[Código del producto Vendido]],STOCK[],19,FALSE)*VENTAS[[#This Row],[Cantidad]],VENTAS[[#This Row],[Total]])</f>
        <v>5.77</v>
      </c>
      <c r="L721" s="35">
        <f>VENTAS[[#This Row],[Total]]-VENTAS[[#This Row],[Comisión 10%]]-VENTAS[[#This Row],[Costo SIN Comision]]</f>
        <v>3.23</v>
      </c>
      <c r="M721" s="35"/>
    </row>
    <row r="722" ht="20" customHeight="1" spans="1:13">
      <c r="A722" s="29">
        <v>45331</v>
      </c>
      <c r="B722" s="30" t="str">
        <f>IFERROR(VLOOKUP(VENTAS[[#This Row],[Código del producto Vendido]],STOCK[],25,FALSE),"-")</f>
        <v>Compra 9/12/2023</v>
      </c>
      <c r="C722" s="30" t="s">
        <v>3469</v>
      </c>
      <c r="D722" s="30"/>
      <c r="E722" s="30" t="s">
        <v>1631</v>
      </c>
      <c r="F722" s="34" t="str">
        <f>IFERROR(VLOOKUP(VENTAS[[#This Row],[Código del producto Vendido]],STOCK[],5,FALSE),"-")</f>
        <v>Vestido Privé </v>
      </c>
      <c r="G722" s="34">
        <v>1</v>
      </c>
      <c r="H722" s="35">
        <v>25</v>
      </c>
      <c r="I722" s="35">
        <f>VENTAS[[#This Row],[Cantidad]]*VENTAS[[#This Row],[Precio Venta]]</f>
        <v>25</v>
      </c>
      <c r="J722" s="35">
        <f>IF(VENTAS[[#This Row],[Nombre del Gestor]]&gt;1,VENTAS[[#This Row],[Total]]*10%,0)</f>
        <v>0</v>
      </c>
      <c r="K722" s="35">
        <f>IFERROR(VLOOKUP(VENTAS[[#This Row],[Código del producto Vendido]],STOCK[],16,FALSE)*VENTAS[[#This Row],[Cantidad]]+VLOOKUP(VENTAS[[#This Row],[Código del producto Vendido]],STOCK[],19,FALSE)*VENTAS[[#This Row],[Cantidad]],VENTAS[[#This Row],[Total]])</f>
        <v>11.1</v>
      </c>
      <c r="L722" s="35">
        <f>VENTAS[[#This Row],[Total]]-VENTAS[[#This Row],[Comisión 10%]]-VENTAS[[#This Row],[Costo SIN Comision]]</f>
        <v>13.9</v>
      </c>
      <c r="M722" s="35"/>
    </row>
    <row r="723" ht="20" customHeight="1" spans="1:13">
      <c r="A723" s="29">
        <v>45332</v>
      </c>
      <c r="B723" s="30" t="str">
        <f>IFERROR(VLOOKUP(VENTAS[[#This Row],[Código del producto Vendido]],STOCK[],25,FALSE),"-")</f>
        <v>-</v>
      </c>
      <c r="C723" s="30"/>
      <c r="D723" s="30"/>
      <c r="E723" s="30"/>
      <c r="F723" s="34" t="str">
        <f>IFERROR(VLOOKUP(VENTAS[[#This Row],[Código del producto Vendido]],STOCK[],5,FALSE),"-")</f>
        <v>-</v>
      </c>
      <c r="G723" s="34">
        <v>1</v>
      </c>
      <c r="H723" s="35">
        <v>28</v>
      </c>
      <c r="I723" s="35">
        <f>VENTAS[[#This Row],[Cantidad]]*VENTAS[[#This Row],[Precio Venta]]</f>
        <v>28</v>
      </c>
      <c r="J723" s="35">
        <f>IF(VENTAS[[#This Row],[Nombre del Gestor]]&gt;1,VENTAS[[#This Row],[Total]]*10%,0)</f>
        <v>0</v>
      </c>
      <c r="K723" s="35">
        <f>IFERROR(VLOOKUP(VENTAS[[#This Row],[Código del producto Vendido]],STOCK[],16,FALSE)*VENTAS[[#This Row],[Cantidad]]+VLOOKUP(VENTAS[[#This Row],[Código del producto Vendido]],STOCK[],19,FALSE)*VENTAS[[#This Row],[Cantidad]],VENTAS[[#This Row],[Total]])</f>
        <v>28</v>
      </c>
      <c r="L723" s="35">
        <f>VENTAS[[#This Row],[Total]]-VENTAS[[#This Row],[Comisión 10%]]-VENTAS[[#This Row],[Costo SIN Comision]]</f>
        <v>0</v>
      </c>
      <c r="M723" s="35"/>
    </row>
    <row r="724" ht="20" customHeight="1" spans="1:13">
      <c r="A724" s="29">
        <v>45333</v>
      </c>
      <c r="B724" s="30" t="str">
        <f>IFERROR(VLOOKUP(VENTAS[[#This Row],[Código del producto Vendido]],STOCK[],25,FALSE),"-")</f>
        <v>Compra 9/12/2023</v>
      </c>
      <c r="C724" s="30" t="s">
        <v>3470</v>
      </c>
      <c r="D724" s="30"/>
      <c r="E724" s="30" t="s">
        <v>1620</v>
      </c>
      <c r="F724" s="34" t="str">
        <f>IFERROR(VLOOKUP(VENTAS[[#This Row],[Código del producto Vendido]],STOCK[],5,FALSE),"-")</f>
        <v>Vestido Becka</v>
      </c>
      <c r="G724" s="34">
        <v>1</v>
      </c>
      <c r="H724" s="35">
        <v>25</v>
      </c>
      <c r="I724" s="35">
        <f>VENTAS[[#This Row],[Cantidad]]*VENTAS[[#This Row],[Precio Venta]]</f>
        <v>25</v>
      </c>
      <c r="J724" s="35">
        <f>IF(VENTAS[[#This Row],[Nombre del Gestor]]&gt;1,VENTAS[[#This Row],[Total]]*10%,0)</f>
        <v>0</v>
      </c>
      <c r="K724" s="35">
        <f>IFERROR(VLOOKUP(VENTAS[[#This Row],[Código del producto Vendido]],STOCK[],16,FALSE)*VENTAS[[#This Row],[Cantidad]]+VLOOKUP(VENTAS[[#This Row],[Código del producto Vendido]],STOCK[],19,FALSE)*VENTAS[[#This Row],[Cantidad]],VENTAS[[#This Row],[Total]])</f>
        <v>12.4</v>
      </c>
      <c r="L724" s="35">
        <f>VENTAS[[#This Row],[Total]]-VENTAS[[#This Row],[Comisión 10%]]-VENTAS[[#This Row],[Costo SIN Comision]]</f>
        <v>12.6</v>
      </c>
      <c r="M724" s="35"/>
    </row>
    <row r="725" ht="20" customHeight="1" spans="1:13">
      <c r="A725" s="29">
        <v>45333</v>
      </c>
      <c r="B725" s="30" t="str">
        <f>IFERROR(VLOOKUP(VENTAS[[#This Row],[Código del producto Vendido]],STOCK[],25,FALSE),"-")</f>
        <v>Compra 9/12/2023</v>
      </c>
      <c r="C725" s="30"/>
      <c r="D725" s="30"/>
      <c r="E725" s="30" t="s">
        <v>1622</v>
      </c>
      <c r="F725" s="34" t="str">
        <f>IFERROR(VLOOKUP(VENTAS[[#This Row],[Código del producto Vendido]],STOCK[],5,FALSE),"-")</f>
        <v>Vestido Tarsha</v>
      </c>
      <c r="G725" s="34">
        <v>1</v>
      </c>
      <c r="H725" s="35">
        <v>27</v>
      </c>
      <c r="I725" s="35">
        <f>VENTAS[[#This Row],[Cantidad]]*VENTAS[[#This Row],[Precio Venta]]</f>
        <v>27</v>
      </c>
      <c r="J725" s="35">
        <f>IF(VENTAS[[#This Row],[Nombre del Gestor]]&gt;1,VENTAS[[#This Row],[Total]]*10%,0)</f>
        <v>0</v>
      </c>
      <c r="K725" s="35">
        <f>IFERROR(VLOOKUP(VENTAS[[#This Row],[Código del producto Vendido]],STOCK[],16,FALSE)*VENTAS[[#This Row],[Cantidad]]+VLOOKUP(VENTAS[[#This Row],[Código del producto Vendido]],STOCK[],19,FALSE)*VENTAS[[#This Row],[Cantidad]],VENTAS[[#This Row],[Total]])</f>
        <v>13.97</v>
      </c>
      <c r="L725" s="35">
        <f>VENTAS[[#This Row],[Total]]-VENTAS[[#This Row],[Comisión 10%]]-VENTAS[[#This Row],[Costo SIN Comision]]</f>
        <v>13.03</v>
      </c>
      <c r="M725" s="35"/>
    </row>
    <row r="726" ht="20" customHeight="1" spans="1:13">
      <c r="A726" s="29">
        <v>45324</v>
      </c>
      <c r="B726" s="30">
        <f>IFERROR(VLOOKUP(VENTAS[[#This Row],[Código del producto Vendido]],STOCK[],25,FALSE),"-")</f>
        <v>0</v>
      </c>
      <c r="C726" s="30"/>
      <c r="D726" s="30" t="s">
        <v>3468</v>
      </c>
      <c r="E726" s="30" t="s">
        <v>1291</v>
      </c>
      <c r="F726" s="34" t="str">
        <f>IFERROR(VLOOKUP(VENTAS[[#This Row],[Código del producto Vendido]],STOCK[],5,FALSE),"-")</f>
        <v>Jean skinny oscuro </v>
      </c>
      <c r="G726" s="34">
        <v>1</v>
      </c>
      <c r="H726" s="35">
        <v>30</v>
      </c>
      <c r="I726" s="35">
        <f>VENTAS[[#This Row],[Cantidad]]*VENTAS[[#This Row],[Precio Venta]]</f>
        <v>30</v>
      </c>
      <c r="J726" s="35">
        <f>IF(VENTAS[[#This Row],[Nombre del Gestor]]&gt;1,VENTAS[[#This Row],[Total]]*10%,0)</f>
        <v>3</v>
      </c>
      <c r="K726" s="35">
        <f>IFERROR(VLOOKUP(VENTAS[[#This Row],[Código del producto Vendido]],STOCK[],16,FALSE)*VENTAS[[#This Row],[Cantidad]]+VLOOKUP(VENTAS[[#This Row],[Código del producto Vendido]],STOCK[],19,FALSE)*VENTAS[[#This Row],[Cantidad]],VENTAS[[#This Row],[Total]])</f>
        <v>20.79</v>
      </c>
      <c r="L726" s="35">
        <f>VENTAS[[#This Row],[Total]]-VENTAS[[#This Row],[Comisión 10%]]-VENTAS[[#This Row],[Costo SIN Comision]]</f>
        <v>6.21</v>
      </c>
      <c r="M726" s="35"/>
    </row>
    <row r="727" ht="20" customHeight="1" spans="1:13">
      <c r="A727" s="29">
        <v>45324</v>
      </c>
      <c r="B727" s="30" t="str">
        <f>IFERROR(VLOOKUP(VENTAS[[#This Row],[Código del producto Vendido]],STOCK[],25,FALSE),"-")</f>
        <v>Compra 9/12/2023</v>
      </c>
      <c r="C727" s="30"/>
      <c r="D727" s="30" t="s">
        <v>3460</v>
      </c>
      <c r="E727" s="30" t="s">
        <v>1610</v>
      </c>
      <c r="F727" s="34" t="str">
        <f>IFERROR(VLOOKUP(VENTAS[[#This Row],[Código del producto Vendido]],STOCK[],5,FALSE),"-")</f>
        <v>Camisa Modely</v>
      </c>
      <c r="G727" s="34">
        <v>1</v>
      </c>
      <c r="H727" s="35">
        <v>22</v>
      </c>
      <c r="I727" s="35">
        <f>VENTAS[[#This Row],[Cantidad]]*VENTAS[[#This Row],[Precio Venta]]</f>
        <v>22</v>
      </c>
      <c r="J727" s="35">
        <f>IF(VENTAS[[#This Row],[Nombre del Gestor]]&gt;1,VENTAS[[#This Row],[Total]]*10%,0)</f>
        <v>2.2</v>
      </c>
      <c r="K727" s="35">
        <f>IFERROR(VLOOKUP(VENTAS[[#This Row],[Código del producto Vendido]],STOCK[],16,FALSE)*VENTAS[[#This Row],[Cantidad]]+VLOOKUP(VENTAS[[#This Row],[Código del producto Vendido]],STOCK[],19,FALSE)*VENTAS[[#This Row],[Cantidad]],VENTAS[[#This Row],[Total]])</f>
        <v>9.74</v>
      </c>
      <c r="L727" s="35">
        <f>VENTAS[[#This Row],[Total]]-VENTAS[[#This Row],[Comisión 10%]]-VENTAS[[#This Row],[Costo SIN Comision]]</f>
        <v>10.06</v>
      </c>
      <c r="M727" s="35"/>
    </row>
    <row r="728" ht="20" customHeight="1" spans="1:13">
      <c r="A728" s="29">
        <v>45330</v>
      </c>
      <c r="B728" s="30" t="str">
        <f>IFERROR(VLOOKUP(VENTAS[[#This Row],[Código del producto Vendido]],STOCK[],25,FALSE),"-")</f>
        <v>Compra 9/12/2023</v>
      </c>
      <c r="C728" s="30" t="s">
        <v>3471</v>
      </c>
      <c r="D728" s="30"/>
      <c r="E728" s="30" t="s">
        <v>1659</v>
      </c>
      <c r="F728" s="34" t="str">
        <f>IFERROR(VLOOKUP(VENTAS[[#This Row],[Código del producto Vendido]],STOCK[],5,FALSE),"-")</f>
        <v>Suéter cuello de Cisne</v>
      </c>
      <c r="G728" s="34">
        <v>1</v>
      </c>
      <c r="H728" s="35">
        <v>15</v>
      </c>
      <c r="I728" s="35">
        <f>VENTAS[[#This Row],[Cantidad]]*VENTAS[[#This Row],[Precio Venta]]</f>
        <v>15</v>
      </c>
      <c r="J728" s="35">
        <f>IF(VENTAS[[#This Row],[Nombre del Gestor]]&gt;1,VENTAS[[#This Row],[Total]]*10%,0)</f>
        <v>0</v>
      </c>
      <c r="K728" s="35">
        <f>IFERROR(VLOOKUP(VENTAS[[#This Row],[Código del producto Vendido]],STOCK[],16,FALSE)*VENTAS[[#This Row],[Cantidad]]+VLOOKUP(VENTAS[[#This Row],[Código del producto Vendido]],STOCK[],19,FALSE)*VENTAS[[#This Row],[Cantidad]],VENTAS[[#This Row],[Total]])</f>
        <v>5.78</v>
      </c>
      <c r="L728" s="35">
        <f>VENTAS[[#This Row],[Total]]-VENTAS[[#This Row],[Comisión 10%]]-VENTAS[[#This Row],[Costo SIN Comision]]</f>
        <v>9.22</v>
      </c>
      <c r="M728" s="35"/>
    </row>
    <row r="729" ht="20" customHeight="1" spans="1:13">
      <c r="A729" s="29">
        <v>45330</v>
      </c>
      <c r="B729" s="30" t="str">
        <f>IFERROR(VLOOKUP(VENTAS[[#This Row],[Código del producto Vendido]],STOCK[],25,FALSE),"-")</f>
        <v>Compra 9/12/2023</v>
      </c>
      <c r="C729" s="30" t="s">
        <v>3471</v>
      </c>
      <c r="D729" s="30"/>
      <c r="E729" s="30" t="s">
        <v>1662</v>
      </c>
      <c r="F729" s="34" t="str">
        <f>IFERROR(VLOOKUP(VENTAS[[#This Row],[Código del producto Vendido]],STOCK[],5,FALSE),"-")</f>
        <v>Top Healter negro</v>
      </c>
      <c r="G729" s="34">
        <v>1</v>
      </c>
      <c r="H729" s="35">
        <v>12</v>
      </c>
      <c r="I729" s="35">
        <f>VENTAS[[#This Row],[Cantidad]]*VENTAS[[#This Row],[Precio Venta]]</f>
        <v>12</v>
      </c>
      <c r="J729" s="35">
        <f>IF(VENTAS[[#This Row],[Nombre del Gestor]]&gt;1,VENTAS[[#This Row],[Total]]*10%,0)</f>
        <v>0</v>
      </c>
      <c r="K729" s="35">
        <f>IFERROR(VLOOKUP(VENTAS[[#This Row],[Código del producto Vendido]],STOCK[],16,FALSE)*VENTAS[[#This Row],[Cantidad]]+VLOOKUP(VENTAS[[#This Row],[Código del producto Vendido]],STOCK[],19,FALSE)*VENTAS[[#This Row],[Cantidad]],VENTAS[[#This Row],[Total]])</f>
        <v>6.37</v>
      </c>
      <c r="L729" s="35">
        <f>VENTAS[[#This Row],[Total]]-VENTAS[[#This Row],[Comisión 10%]]-VENTAS[[#This Row],[Costo SIN Comision]]</f>
        <v>5.63</v>
      </c>
      <c r="M729" s="35"/>
    </row>
    <row r="730" ht="20" customHeight="1" spans="1:13">
      <c r="A730" s="29"/>
      <c r="B730" s="30" t="str">
        <f>IFERROR(VLOOKUP(VENTAS[[#This Row],[Código del producto Vendido]],STOCK[],25,FALSE),"-")</f>
        <v>Compra 9/12/2023</v>
      </c>
      <c r="C730" s="30" t="s">
        <v>3469</v>
      </c>
      <c r="D730" s="30"/>
      <c r="E730" s="30" t="s">
        <v>1660</v>
      </c>
      <c r="F730" s="34" t="str">
        <f>IFERROR(VLOOKUP(VENTAS[[#This Row],[Código del producto Vendido]],STOCK[],5,FALSE),"-")</f>
        <v>Top healter negro</v>
      </c>
      <c r="G730" s="34">
        <v>1</v>
      </c>
      <c r="H730" s="35">
        <v>12</v>
      </c>
      <c r="I730" s="35">
        <f>VENTAS[[#This Row],[Cantidad]]*VENTAS[[#This Row],[Precio Venta]]</f>
        <v>12</v>
      </c>
      <c r="J730" s="35">
        <f>IF(VENTAS[[#This Row],[Nombre del Gestor]]&gt;1,VENTAS[[#This Row],[Total]]*10%,0)</f>
        <v>0</v>
      </c>
      <c r="K730" s="35">
        <f>IFERROR(VLOOKUP(VENTAS[[#This Row],[Código del producto Vendido]],STOCK[],16,FALSE)*VENTAS[[#This Row],[Cantidad]]+VLOOKUP(VENTAS[[#This Row],[Código del producto Vendido]],STOCK[],19,FALSE)*VENTAS[[#This Row],[Cantidad]],VENTAS[[#This Row],[Total]])</f>
        <v>6.37</v>
      </c>
      <c r="L730" s="35">
        <f>VENTAS[[#This Row],[Total]]-VENTAS[[#This Row],[Comisión 10%]]-VENTAS[[#This Row],[Costo SIN Comision]]</f>
        <v>5.63</v>
      </c>
      <c r="M730" s="35"/>
    </row>
    <row r="731" ht="20" customHeight="1" spans="1:13">
      <c r="A731" s="29">
        <v>45324</v>
      </c>
      <c r="B731" s="30" t="str">
        <f>IFERROR(VLOOKUP(VENTAS[[#This Row],[Código del producto Vendido]],STOCK[],25,FALSE),"-")</f>
        <v>Compra 9/12/2023</v>
      </c>
      <c r="C731" s="30"/>
      <c r="D731" s="30"/>
      <c r="E731" s="30" t="s">
        <v>1682</v>
      </c>
      <c r="F731" s="34" t="str">
        <f>IFERROR(VLOOKUP(VENTAS[[#This Row],[Código del producto Vendido]],STOCK[],5,FALSE),"-")</f>
        <v>Vestido de mangas en contraste</v>
      </c>
      <c r="G731" s="34">
        <v>1</v>
      </c>
      <c r="H731" s="35">
        <v>28</v>
      </c>
      <c r="I731" s="35">
        <f>VENTAS[[#This Row],[Cantidad]]*VENTAS[[#This Row],[Precio Venta]]</f>
        <v>28</v>
      </c>
      <c r="J731" s="35">
        <f>IF(VENTAS[[#This Row],[Nombre del Gestor]]&gt;1,VENTAS[[#This Row],[Total]]*10%,0)</f>
        <v>0</v>
      </c>
      <c r="K731" s="35">
        <f>IFERROR(VLOOKUP(VENTAS[[#This Row],[Código del producto Vendido]],STOCK[],16,FALSE)*VENTAS[[#This Row],[Cantidad]]+VLOOKUP(VENTAS[[#This Row],[Código del producto Vendido]],STOCK[],19,FALSE)*VENTAS[[#This Row],[Cantidad]],VENTAS[[#This Row],[Total]])</f>
        <v>17.25</v>
      </c>
      <c r="L731" s="35">
        <f>VENTAS[[#This Row],[Total]]-VENTAS[[#This Row],[Comisión 10%]]-VENTAS[[#This Row],[Costo SIN Comision]]</f>
        <v>10.75</v>
      </c>
      <c r="M731" s="35"/>
    </row>
    <row r="732" ht="20" customHeight="1" spans="1:13">
      <c r="A732" s="29" t="s">
        <v>3465</v>
      </c>
      <c r="B732" s="30">
        <f>IFERROR(VLOOKUP(VENTAS[[#This Row],[Código del producto Vendido]],STOCK[],25,FALSE),"-")</f>
        <v>0</v>
      </c>
      <c r="C732" s="30"/>
      <c r="D732" s="30"/>
      <c r="E732" s="30" t="s">
        <v>1692</v>
      </c>
      <c r="F732" s="34" t="str">
        <f>IFERROR(VLOOKUP(VENTAS[[#This Row],[Código del producto Vendido]],STOCK[],5,FALSE),"-")</f>
        <v>Chaleco corto de traje cuadros</v>
      </c>
      <c r="G732" s="34">
        <v>1</v>
      </c>
      <c r="H732" s="35">
        <v>36</v>
      </c>
      <c r="I732" s="35">
        <f>VENTAS[[#This Row],[Cantidad]]*VENTAS[[#This Row],[Precio Venta]]</f>
        <v>36</v>
      </c>
      <c r="J732" s="35">
        <f>IF(VENTAS[[#This Row],[Nombre del Gestor]]&gt;1,VENTAS[[#This Row],[Total]]*10%,0)</f>
        <v>0</v>
      </c>
      <c r="K732" s="35">
        <f>IFERROR(VLOOKUP(VENTAS[[#This Row],[Código del producto Vendido]],STOCK[],16,FALSE)*VENTAS[[#This Row],[Cantidad]]+VLOOKUP(VENTAS[[#This Row],[Código del producto Vendido]],STOCK[],19,FALSE)*VENTAS[[#This Row],[Cantidad]],VENTAS[[#This Row],[Total]])</f>
        <v>24</v>
      </c>
      <c r="L732" s="35">
        <f>VENTAS[[#This Row],[Total]]-VENTAS[[#This Row],[Comisión 10%]]-VENTAS[[#This Row],[Costo SIN Comision]]</f>
        <v>12</v>
      </c>
      <c r="M732" s="35"/>
    </row>
    <row r="733" ht="20" customHeight="1" spans="1:13">
      <c r="A733" s="29"/>
      <c r="B733" s="30" t="str">
        <f>IFERROR(VLOOKUP(VENTAS[[#This Row],[Código del producto Vendido]],STOCK[],25,FALSE),"-")</f>
        <v>Compra Shein22012024</v>
      </c>
      <c r="C733" s="30" t="s">
        <v>3472</v>
      </c>
      <c r="D733" s="30"/>
      <c r="E733" s="30" t="s">
        <v>1735</v>
      </c>
      <c r="F733" s="34" t="str">
        <f>IFERROR(VLOOKUP(VENTAS[[#This Row],[Código del producto Vendido]],STOCK[],5,FALSE),"-")</f>
        <v>Chaleco de traje Negro</v>
      </c>
      <c r="G733" s="34">
        <v>1</v>
      </c>
      <c r="H733" s="35">
        <v>25</v>
      </c>
      <c r="I733" s="35">
        <f>VENTAS[[#This Row],[Cantidad]]*VENTAS[[#This Row],[Precio Venta]]</f>
        <v>25</v>
      </c>
      <c r="J733" s="35">
        <f>IF(VENTAS[[#This Row],[Nombre del Gestor]]&gt;1,VENTAS[[#This Row],[Total]]*10%,0)</f>
        <v>0</v>
      </c>
      <c r="K733" s="35">
        <f>IFERROR(VLOOKUP(VENTAS[[#This Row],[Código del producto Vendido]],STOCK[],16,FALSE)*VENTAS[[#This Row],[Cantidad]]+VLOOKUP(VENTAS[[#This Row],[Código del producto Vendido]],STOCK[],19,FALSE)*VENTAS[[#This Row],[Cantidad]],VENTAS[[#This Row],[Total]])</f>
        <v>17.9411764705882</v>
      </c>
      <c r="L733" s="35">
        <f>VENTAS[[#This Row],[Total]]-VENTAS[[#This Row],[Comisión 10%]]-VENTAS[[#This Row],[Costo SIN Comision]]</f>
        <v>7.0588235294118</v>
      </c>
      <c r="M733" s="35"/>
    </row>
    <row r="734" ht="20" customHeight="1" spans="1:13">
      <c r="A734" s="29">
        <v>45335</v>
      </c>
      <c r="B734" s="30"/>
      <c r="C734" s="30" t="s">
        <v>3321</v>
      </c>
      <c r="D734" s="30"/>
      <c r="E734" s="30" t="s">
        <v>1760</v>
      </c>
      <c r="F734" s="34" t="str">
        <f>IFERROR(VLOOKUP(VENTAS[[#This Row],[Código del producto Vendido]],STOCK[],5,FALSE),"-")</f>
        <v>Zapatillas blanco casual</v>
      </c>
      <c r="G734" s="34">
        <v>1</v>
      </c>
      <c r="H734" s="35">
        <v>39</v>
      </c>
      <c r="I734" s="35">
        <f>VENTAS[[#This Row],[Cantidad]]*VENTAS[[#This Row],[Precio Venta]]</f>
        <v>39</v>
      </c>
      <c r="J734" s="35">
        <f>IF(VENTAS[[#This Row],[Nombre del Gestor]]&gt;1,VENTAS[[#This Row],[Total]]*10%,0)</f>
        <v>0</v>
      </c>
      <c r="K734" s="35">
        <f>IFERROR(VLOOKUP(VENTAS[[#This Row],[Código del producto Vendido]],STOCK[],16,FALSE)*VENTAS[[#This Row],[Cantidad]]+VLOOKUP(VENTAS[[#This Row],[Código del producto Vendido]],STOCK[],19,FALSE)*VENTAS[[#This Row],[Cantidad]],VENTAS[[#This Row],[Total]])</f>
        <v>25.4705882352941</v>
      </c>
      <c r="L734" s="35">
        <f>VENTAS[[#This Row],[Total]]-VENTAS[[#This Row],[Comisión 10%]]-VENTAS[[#This Row],[Costo SIN Comision]]</f>
        <v>13.5294117647059</v>
      </c>
      <c r="M734" s="35"/>
    </row>
    <row r="735" ht="20" customHeight="1" spans="1:13">
      <c r="A735" s="29"/>
      <c r="B735" s="30"/>
      <c r="C735" s="30"/>
      <c r="D735" s="30"/>
      <c r="E735" s="30" t="s">
        <v>1805</v>
      </c>
      <c r="F735" s="34" t="str">
        <f>IFERROR(VLOOKUP(VENTAS[[#This Row],[Código del producto Vendido]],STOCK[],5,FALSE),"-")</f>
        <v>Pasador de cabello en forma de lazo</v>
      </c>
      <c r="G735" s="34">
        <v>1</v>
      </c>
      <c r="H735" s="35">
        <v>2.5</v>
      </c>
      <c r="I735" s="35">
        <f>VENTAS[[#This Row],[Cantidad]]*VENTAS[[#This Row],[Precio Venta]]</f>
        <v>2.5</v>
      </c>
      <c r="J735" s="35">
        <f>IF(VENTAS[[#This Row],[Nombre del Gestor]]&gt;1,VENTAS[[#This Row],[Total]]*10%,0)</f>
        <v>0</v>
      </c>
      <c r="K735" s="35">
        <f>IFERROR(VLOOKUP(VENTAS[[#This Row],[Código del producto Vendido]],STOCK[],16,FALSE)*VENTAS[[#This Row],[Cantidad]]+VLOOKUP(VENTAS[[#This Row],[Código del producto Vendido]],STOCK[],19,FALSE)*VENTAS[[#This Row],[Cantidad]],VENTAS[[#This Row],[Total]])</f>
        <v>1.73529411764706</v>
      </c>
      <c r="L735" s="35">
        <f>VENTAS[[#This Row],[Total]]-VENTAS[[#This Row],[Comisión 10%]]-VENTAS[[#This Row],[Costo SIN Comision]]</f>
        <v>0.76470588235294</v>
      </c>
      <c r="M735" s="35"/>
    </row>
    <row r="736" ht="20" customHeight="1" spans="1:13">
      <c r="A736" s="29">
        <v>45327</v>
      </c>
      <c r="B736" s="30"/>
      <c r="C736" s="30" t="s">
        <v>3469</v>
      </c>
      <c r="D736" s="30"/>
      <c r="E736" s="30" t="s">
        <v>353</v>
      </c>
      <c r="F736" s="34" t="str">
        <f>IFERROR(VLOOKUP(VENTAS[[#This Row],[Código del producto Vendido]],STOCK[],5,FALSE),"-")</f>
        <v>Vestido de espalda cruzada</v>
      </c>
      <c r="G736" s="34">
        <v>1</v>
      </c>
      <c r="H736" s="35">
        <v>20</v>
      </c>
      <c r="I736" s="35">
        <f>VENTAS[[#This Row],[Cantidad]]*VENTAS[[#This Row],[Precio Venta]]</f>
        <v>20</v>
      </c>
      <c r="J736" s="35">
        <f>IF(VENTAS[[#This Row],[Nombre del Gestor]]&gt;1,VENTAS[[#This Row],[Total]]*10%,0)</f>
        <v>0</v>
      </c>
      <c r="K736" s="35">
        <f>IFERROR(VLOOKUP(VENTAS[[#This Row],[Código del producto Vendido]],STOCK[],16,FALSE)*VENTAS[[#This Row],[Cantidad]]+VLOOKUP(VENTAS[[#This Row],[Código del producto Vendido]],STOCK[],19,FALSE)*VENTAS[[#This Row],[Cantidad]],VENTAS[[#This Row],[Total]])</f>
        <v>14.6661111111111</v>
      </c>
      <c r="L736" s="35">
        <f>VENTAS[[#This Row],[Total]]-VENTAS[[#This Row],[Comisión 10%]]-VENTAS[[#This Row],[Costo SIN Comision]]</f>
        <v>5.33388888888889</v>
      </c>
      <c r="M736" s="35"/>
    </row>
    <row r="737" ht="20" customHeight="1" spans="1:13">
      <c r="A737" s="29">
        <v>45327</v>
      </c>
      <c r="B737" s="30"/>
      <c r="C737" s="30" t="s">
        <v>3469</v>
      </c>
      <c r="D737" s="30"/>
      <c r="E737" s="30" t="s">
        <v>1434</v>
      </c>
      <c r="F737" s="34" t="str">
        <f>IFERROR(VLOOKUP(VENTAS[[#This Row],[Código del producto Vendido]],STOCK[],5,FALSE),"-")</f>
        <v>Sandalias de velcro</v>
      </c>
      <c r="G737" s="34">
        <v>1</v>
      </c>
      <c r="H737" s="35">
        <v>30</v>
      </c>
      <c r="I737" s="35">
        <f>VENTAS[[#This Row],[Cantidad]]*VENTAS[[#This Row],[Precio Venta]]</f>
        <v>30</v>
      </c>
      <c r="J737" s="35">
        <f>IF(VENTAS[[#This Row],[Nombre del Gestor]]&gt;1,VENTAS[[#This Row],[Total]]*10%,0)</f>
        <v>0</v>
      </c>
      <c r="K737" s="35">
        <f>IFERROR(VLOOKUP(VENTAS[[#This Row],[Código del producto Vendido]],STOCK[],16,FALSE)*VENTAS[[#This Row],[Cantidad]]+VLOOKUP(VENTAS[[#This Row],[Código del producto Vendido]],STOCK[],19,FALSE)*VENTAS[[#This Row],[Cantidad]],VENTAS[[#This Row],[Total]])</f>
        <v>17</v>
      </c>
      <c r="L737" s="35">
        <f>VENTAS[[#This Row],[Total]]-VENTAS[[#This Row],[Comisión 10%]]-VENTAS[[#This Row],[Costo SIN Comision]]</f>
        <v>13</v>
      </c>
      <c r="M737" s="35"/>
    </row>
    <row r="738" ht="20" customHeight="1" spans="1:13">
      <c r="A738" s="29">
        <v>45329</v>
      </c>
      <c r="B738" s="30"/>
      <c r="C738" s="30"/>
      <c r="D738" s="30" t="s">
        <v>3462</v>
      </c>
      <c r="E738" s="30" t="s">
        <v>1301</v>
      </c>
      <c r="F738" s="34" t="str">
        <f>IFERROR(VLOOKUP(VENTAS[[#This Row],[Código del producto Vendido]],STOCK[],5,FALSE),"-")</f>
        <v>Jean ajustado Claro</v>
      </c>
      <c r="G738" s="34">
        <v>1</v>
      </c>
      <c r="H738" s="35">
        <v>30</v>
      </c>
      <c r="I738" s="35">
        <f>VENTAS[[#This Row],[Cantidad]]*VENTAS[[#This Row],[Precio Venta]]</f>
        <v>30</v>
      </c>
      <c r="J738" s="35">
        <f>IF(VENTAS[[#This Row],[Nombre del Gestor]]&gt;1,VENTAS[[#This Row],[Total]]*10%,0)</f>
        <v>3</v>
      </c>
      <c r="K738" s="35">
        <f>IFERROR(VLOOKUP(VENTAS[[#This Row],[Código del producto Vendido]],STOCK[],16,FALSE)*VENTAS[[#This Row],[Cantidad]]+VLOOKUP(VENTAS[[#This Row],[Código del producto Vendido]],STOCK[],19,FALSE)*VENTAS[[#This Row],[Cantidad]],VENTAS[[#This Row],[Total]])</f>
        <v>23.79</v>
      </c>
      <c r="L738" s="35">
        <f>VENTAS[[#This Row],[Total]]-VENTAS[[#This Row],[Comisión 10%]]-VENTAS[[#This Row],[Costo SIN Comision]]</f>
        <v>3.21</v>
      </c>
      <c r="M738" s="35"/>
    </row>
    <row r="739" ht="20" customHeight="1" spans="1:13">
      <c r="A739" s="29" t="s">
        <v>3465</v>
      </c>
      <c r="B739" s="30"/>
      <c r="C739" s="30"/>
      <c r="D739" s="30"/>
      <c r="E739" s="30" t="s">
        <v>521</v>
      </c>
      <c r="F739" s="34" t="str">
        <f>IFERROR(VLOOKUP(VENTAS[[#This Row],[Código del producto Vendido]],STOCK[],5,FALSE),"-")</f>
        <v>Almohadilla de maquillaje </v>
      </c>
      <c r="G739" s="34">
        <v>1</v>
      </c>
      <c r="H739" s="35">
        <v>1</v>
      </c>
      <c r="I739" s="35">
        <f>VENTAS[[#This Row],[Cantidad]]*VENTAS[[#This Row],[Precio Venta]]</f>
        <v>1</v>
      </c>
      <c r="J739" s="35">
        <f>IF(VENTAS[[#This Row],[Nombre del Gestor]]&gt;1,VENTAS[[#This Row],[Total]]*10%,0)</f>
        <v>0</v>
      </c>
      <c r="K739" s="35">
        <f>IFERROR(VLOOKUP(VENTAS[[#This Row],[Código del producto Vendido]],STOCK[],16,FALSE)*VENTAS[[#This Row],[Cantidad]]+VLOOKUP(VENTAS[[#This Row],[Código del producto Vendido]],STOCK[],19,FALSE)*VENTAS[[#This Row],[Cantidad]],VENTAS[[#This Row],[Total]])</f>
        <v>0.241388888888889</v>
      </c>
      <c r="L739" s="35">
        <f>VENTAS[[#This Row],[Total]]-VENTAS[[#This Row],[Comisión 10%]]-VENTAS[[#This Row],[Costo SIN Comision]]</f>
        <v>0.758611111111111</v>
      </c>
      <c r="M739" s="35"/>
    </row>
    <row r="740" ht="20" customHeight="1" spans="1:13">
      <c r="A740" s="29">
        <v>45329</v>
      </c>
      <c r="B740" s="30"/>
      <c r="C740" s="30"/>
      <c r="D740" s="30"/>
      <c r="E740" s="30" t="s">
        <v>1792</v>
      </c>
      <c r="F740" s="34" t="str">
        <f>IFERROR(VLOOKUP(VENTAS[[#This Row],[Código del producto Vendido]],STOCK[],5,FALSE),"-")</f>
        <v>Horquillas en forma de lazo</v>
      </c>
      <c r="G740" s="34">
        <v>3</v>
      </c>
      <c r="H740" s="35">
        <v>2.5</v>
      </c>
      <c r="I740" s="35">
        <f>VENTAS[[#This Row],[Cantidad]]*VENTAS[[#This Row],[Precio Venta]]</f>
        <v>7.5</v>
      </c>
      <c r="J740" s="35">
        <f>IF(VENTAS[[#This Row],[Nombre del Gestor]]&gt;1,VENTAS[[#This Row],[Total]]*10%,0)</f>
        <v>0</v>
      </c>
      <c r="K740" s="35">
        <f>IFERROR(VLOOKUP(VENTAS[[#This Row],[Código del producto Vendido]],STOCK[],16,FALSE)*VENTAS[[#This Row],[Cantidad]]+VLOOKUP(VENTAS[[#This Row],[Código del producto Vendido]],STOCK[],19,FALSE)*VENTAS[[#This Row],[Cantidad]],VENTAS[[#This Row],[Total]])</f>
        <v>4.1735294117647</v>
      </c>
      <c r="L740" s="35">
        <f>VENTAS[[#This Row],[Total]]-VENTAS[[#This Row],[Comisión 10%]]-VENTAS[[#This Row],[Costo SIN Comision]]</f>
        <v>3.3264705882353</v>
      </c>
      <c r="M740" s="35"/>
    </row>
    <row r="741" ht="20" customHeight="1" spans="1:13">
      <c r="A741" s="29">
        <v>45329</v>
      </c>
      <c r="B741" s="30"/>
      <c r="C741" s="30"/>
      <c r="D741" s="30"/>
      <c r="E741" s="30" t="s">
        <v>1796</v>
      </c>
      <c r="F741" s="34" t="str">
        <f>IFERROR(VLOOKUP(VENTAS[[#This Row],[Código del producto Vendido]],STOCK[],5,FALSE),"-")</f>
        <v>Horquillas en forma de lazo</v>
      </c>
      <c r="G741" s="34">
        <v>1</v>
      </c>
      <c r="H741" s="35">
        <v>2.5</v>
      </c>
      <c r="I741" s="35">
        <f>VENTAS[[#This Row],[Cantidad]]*VENTAS[[#This Row],[Precio Venta]]</f>
        <v>2.5</v>
      </c>
      <c r="J741" s="35">
        <f>IF(VENTAS[[#This Row],[Nombre del Gestor]]&gt;1,VENTAS[[#This Row],[Total]]*10%,0)</f>
        <v>0</v>
      </c>
      <c r="K741" s="35">
        <f>IFERROR(VLOOKUP(VENTAS[[#This Row],[Código del producto Vendido]],STOCK[],16,FALSE)*VENTAS[[#This Row],[Cantidad]]+VLOOKUP(VENTAS[[#This Row],[Código del producto Vendido]],STOCK[],19,FALSE)*VENTAS[[#This Row],[Cantidad]],VENTAS[[#This Row],[Total]])</f>
        <v>1.39117647058824</v>
      </c>
      <c r="L741" s="35">
        <f>VENTAS[[#This Row],[Total]]-VENTAS[[#This Row],[Comisión 10%]]-VENTAS[[#This Row],[Costo SIN Comision]]</f>
        <v>1.10882352941176</v>
      </c>
      <c r="M741" s="35"/>
    </row>
    <row r="742" ht="20" customHeight="1" spans="1:13">
      <c r="A742" s="29">
        <v>45329</v>
      </c>
      <c r="B742" s="30"/>
      <c r="C742" s="30"/>
      <c r="D742" s="30"/>
      <c r="E742" s="30" t="s">
        <v>1798</v>
      </c>
      <c r="F742" s="34" t="str">
        <f>IFERROR(VLOOKUP(VENTAS[[#This Row],[Código del producto Vendido]],STOCK[],5,FALSE),"-")</f>
        <v>Horquillas en forma de lazo</v>
      </c>
      <c r="G742" s="34">
        <v>2</v>
      </c>
      <c r="H742" s="35">
        <v>2.5</v>
      </c>
      <c r="I742" s="35">
        <f>VENTAS[[#This Row],[Cantidad]]*VENTAS[[#This Row],[Precio Venta]]</f>
        <v>5</v>
      </c>
      <c r="J742" s="35">
        <f>IF(VENTAS[[#This Row],[Nombre del Gestor]]&gt;1,VENTAS[[#This Row],[Total]]*10%,0)</f>
        <v>0</v>
      </c>
      <c r="K742" s="35">
        <f>IFERROR(VLOOKUP(VENTAS[[#This Row],[Código del producto Vendido]],STOCK[],16,FALSE)*VENTAS[[#This Row],[Cantidad]]+VLOOKUP(VENTAS[[#This Row],[Código del producto Vendido]],STOCK[],19,FALSE)*VENTAS[[#This Row],[Cantidad]],VENTAS[[#This Row],[Total]])</f>
        <v>2.78235294117647</v>
      </c>
      <c r="L742" s="35">
        <f>VENTAS[[#This Row],[Total]]-VENTAS[[#This Row],[Comisión 10%]]-VENTAS[[#This Row],[Costo SIN Comision]]</f>
        <v>2.21764705882353</v>
      </c>
      <c r="M742" s="35"/>
    </row>
    <row r="743" ht="20" customHeight="1" spans="1:13">
      <c r="A743" s="29"/>
      <c r="B743" s="30"/>
      <c r="C743" s="30"/>
      <c r="D743" s="30"/>
      <c r="E743" s="30" t="s">
        <v>1805</v>
      </c>
      <c r="F743" s="34" t="str">
        <f>IFERROR(VLOOKUP(VENTAS[[#This Row],[Código del producto Vendido]],STOCK[],5,FALSE),"-")</f>
        <v>Pasador de cabello en forma de lazo</v>
      </c>
      <c r="G743" s="34">
        <v>1</v>
      </c>
      <c r="H743" s="35">
        <v>2.5</v>
      </c>
      <c r="I743" s="35">
        <f>VENTAS[[#This Row],[Cantidad]]*VENTAS[[#This Row],[Precio Venta]]</f>
        <v>2.5</v>
      </c>
      <c r="J743" s="35">
        <f>IF(VENTAS[[#This Row],[Nombre del Gestor]]&gt;1,VENTAS[[#This Row],[Total]]*10%,0)</f>
        <v>0</v>
      </c>
      <c r="K743" s="35">
        <f>IFERROR(VLOOKUP(VENTAS[[#This Row],[Código del producto Vendido]],STOCK[],16,FALSE)*VENTAS[[#This Row],[Cantidad]]+VLOOKUP(VENTAS[[#This Row],[Código del producto Vendido]],STOCK[],19,FALSE)*VENTAS[[#This Row],[Cantidad]],VENTAS[[#This Row],[Total]])</f>
        <v>1.73529411764706</v>
      </c>
      <c r="L743" s="35">
        <f>VENTAS[[#This Row],[Total]]-VENTAS[[#This Row],[Comisión 10%]]-VENTAS[[#This Row],[Costo SIN Comision]]</f>
        <v>0.76470588235294</v>
      </c>
      <c r="M743" s="35"/>
    </row>
    <row r="744" ht="20" customHeight="1" spans="1:13">
      <c r="A744" s="29">
        <v>45337</v>
      </c>
      <c r="B744" s="30"/>
      <c r="C744" s="30"/>
      <c r="D744" s="30" t="s">
        <v>3368</v>
      </c>
      <c r="E744" s="30" t="s">
        <v>1798</v>
      </c>
      <c r="F744" s="34" t="str">
        <f>IFERROR(VLOOKUP(VENTAS[[#This Row],[Código del producto Vendido]],STOCK[],5,FALSE),"-")</f>
        <v>Horquillas en forma de lazo</v>
      </c>
      <c r="G744" s="34">
        <v>1</v>
      </c>
      <c r="H744" s="35">
        <v>2.5</v>
      </c>
      <c r="I744" s="35">
        <f>VENTAS[[#This Row],[Cantidad]]*VENTAS[[#This Row],[Precio Venta]]</f>
        <v>2.5</v>
      </c>
      <c r="J744" s="35">
        <f>IF(VENTAS[[#This Row],[Nombre del Gestor]]&gt;1,VENTAS[[#This Row],[Total]]*10%,0)</f>
        <v>0.25</v>
      </c>
      <c r="K744" s="35">
        <f>IFERROR(VLOOKUP(VENTAS[[#This Row],[Código del producto Vendido]],STOCK[],16,FALSE)*VENTAS[[#This Row],[Cantidad]]+VLOOKUP(VENTAS[[#This Row],[Código del producto Vendido]],STOCK[],19,FALSE)*VENTAS[[#This Row],[Cantidad]],VENTAS[[#This Row],[Total]])</f>
        <v>1.39117647058824</v>
      </c>
      <c r="L744" s="35">
        <f>VENTAS[[#This Row],[Total]]-VENTAS[[#This Row],[Comisión 10%]]-VENTAS[[#This Row],[Costo SIN Comision]]</f>
        <v>0.858823529411765</v>
      </c>
      <c r="M744" s="35"/>
    </row>
    <row r="745" ht="20" customHeight="1" spans="1:13">
      <c r="A745" s="29">
        <v>45337</v>
      </c>
      <c r="B745" s="30"/>
      <c r="C745" s="30"/>
      <c r="D745" s="30" t="s">
        <v>3368</v>
      </c>
      <c r="E745" s="30" t="s">
        <v>1808</v>
      </c>
      <c r="F745" s="34" t="str">
        <f>IFERROR(VLOOKUP(VENTAS[[#This Row],[Código del producto Vendido]],STOCK[],5,FALSE),"-")</f>
        <v>Lazo para coletas</v>
      </c>
      <c r="G745" s="34">
        <v>1</v>
      </c>
      <c r="H745" s="35">
        <v>2</v>
      </c>
      <c r="I745" s="35">
        <f>VENTAS[[#This Row],[Cantidad]]*VENTAS[[#This Row],[Precio Venta]]</f>
        <v>2</v>
      </c>
      <c r="J745" s="35">
        <f>IF(VENTAS[[#This Row],[Nombre del Gestor]]&gt;1,VENTAS[[#This Row],[Total]]*10%,0)</f>
        <v>0.2</v>
      </c>
      <c r="K745" s="35">
        <f>IFERROR(VLOOKUP(VENTAS[[#This Row],[Código del producto Vendido]],STOCK[],16,FALSE)*VENTAS[[#This Row],[Cantidad]]+VLOOKUP(VENTAS[[#This Row],[Código del producto Vendido]],STOCK[],19,FALSE)*VENTAS[[#This Row],[Cantidad]],VENTAS[[#This Row],[Total]])</f>
        <v>1.91176470588235</v>
      </c>
      <c r="L745" s="35">
        <f>VENTAS[[#This Row],[Total]]-VENTAS[[#This Row],[Comisión 10%]]-VENTAS[[#This Row],[Costo SIN Comision]]</f>
        <v>-0.11176470588235</v>
      </c>
      <c r="M745" s="35"/>
    </row>
    <row r="746" ht="20" customHeight="1" spans="1:13">
      <c r="A746" s="29">
        <v>45337</v>
      </c>
      <c r="B746" s="30"/>
      <c r="C746" s="30" t="s">
        <v>3340</v>
      </c>
      <c r="D746" s="30"/>
      <c r="E746" s="30" t="s">
        <v>150</v>
      </c>
      <c r="F746" s="34" t="str">
        <f>IFERROR(VLOOKUP(VENTAS[[#This Row],[Código del producto Vendido]],STOCK[],5,FALSE),"-")</f>
        <v>Jean Boyfriend con rotos</v>
      </c>
      <c r="G746" s="34">
        <v>1</v>
      </c>
      <c r="H746" s="35">
        <v>30</v>
      </c>
      <c r="I746" s="35">
        <f>VENTAS[[#This Row],[Cantidad]]*VENTAS[[#This Row],[Precio Venta]]</f>
        <v>30</v>
      </c>
      <c r="J746" s="35">
        <f>IF(VENTAS[[#This Row],[Nombre del Gestor]]&gt;1,VENTAS[[#This Row],[Total]]*10%,0)</f>
        <v>0</v>
      </c>
      <c r="K746" s="35">
        <f>IFERROR(VLOOKUP(VENTAS[[#This Row],[Código del producto Vendido]],STOCK[],16,FALSE)*VENTAS[[#This Row],[Cantidad]]+VLOOKUP(VENTAS[[#This Row],[Código del producto Vendido]],STOCK[],19,FALSE)*VENTAS[[#This Row],[Cantidad]],VENTAS[[#This Row],[Total]])</f>
        <v>18.6866666666667</v>
      </c>
      <c r="L746" s="35">
        <f>VENTAS[[#This Row],[Total]]-VENTAS[[#This Row],[Comisión 10%]]-VENTAS[[#This Row],[Costo SIN Comision]]</f>
        <v>11.3133333333333</v>
      </c>
      <c r="M746" s="35"/>
    </row>
    <row r="747" ht="20" customHeight="1" spans="1:13">
      <c r="A747" s="29" t="s">
        <v>3465</v>
      </c>
      <c r="B747" s="30"/>
      <c r="C747" s="30"/>
      <c r="D747" s="30"/>
      <c r="E747" s="30" t="s">
        <v>1121</v>
      </c>
      <c r="F747" s="34" t="str">
        <f>IFERROR(VLOOKUP(VENTAS[[#This Row],[Código del producto Vendido]],STOCK[],5,FALSE),"-")</f>
        <v>Set de lencería de encaje</v>
      </c>
      <c r="G747" s="34">
        <v>1</v>
      </c>
      <c r="H747" s="35">
        <v>15</v>
      </c>
      <c r="I747" s="35">
        <f>VENTAS[[#This Row],[Cantidad]]*VENTAS[[#This Row],[Precio Venta]]</f>
        <v>15</v>
      </c>
      <c r="J747" s="35">
        <f>IF(VENTAS[[#This Row],[Nombre del Gestor]]&gt;1,VENTAS[[#This Row],[Total]]*10%,0)</f>
        <v>0</v>
      </c>
      <c r="K747" s="35">
        <f>IFERROR(VLOOKUP(VENTAS[[#This Row],[Código del producto Vendido]],STOCK[],16,FALSE)*VENTAS[[#This Row],[Cantidad]]+VLOOKUP(VENTAS[[#This Row],[Código del producto Vendido]],STOCK[],19,FALSE)*VENTAS[[#This Row],[Cantidad]],VENTAS[[#This Row],[Total]])</f>
        <v>7.10882352941176</v>
      </c>
      <c r="L747" s="35">
        <f>VENTAS[[#This Row],[Total]]-VENTAS[[#This Row],[Comisión 10%]]-VENTAS[[#This Row],[Costo SIN Comision]]</f>
        <v>7.89117647058824</v>
      </c>
      <c r="M747" s="35"/>
    </row>
    <row r="748" ht="20" customHeight="1" spans="1:13">
      <c r="A748" s="29">
        <v>45329</v>
      </c>
      <c r="B748" s="30"/>
      <c r="C748" s="30" t="s">
        <v>3473</v>
      </c>
      <c r="D748" s="30"/>
      <c r="E748" s="30" t="s">
        <v>396</v>
      </c>
      <c r="F748" s="34" t="str">
        <f>IFERROR(VLOOKUP(VENTAS[[#This Row],[Código del producto Vendido]],STOCK[],5,FALSE),"-")</f>
        <v>Cinturones Casual</v>
      </c>
      <c r="G748" s="34">
        <v>1</v>
      </c>
      <c r="H748" s="35">
        <v>10</v>
      </c>
      <c r="I748" s="35">
        <f>VENTAS[[#This Row],[Cantidad]]*VENTAS[[#This Row],[Precio Venta]]</f>
        <v>10</v>
      </c>
      <c r="J748" s="35">
        <f>IF(VENTAS[[#This Row],[Nombre del Gestor]]&gt;1,VENTAS[[#This Row],[Total]]*10%,0)</f>
        <v>0</v>
      </c>
      <c r="K748" s="35">
        <f>IFERROR(VLOOKUP(VENTAS[[#This Row],[Código del producto Vendido]],STOCK[],16,FALSE)*VENTAS[[#This Row],[Cantidad]]+VLOOKUP(VENTAS[[#This Row],[Código del producto Vendido]],STOCK[],19,FALSE)*VENTAS[[#This Row],[Cantidad]],VENTAS[[#This Row],[Total]])</f>
        <v>4.38166666666667</v>
      </c>
      <c r="L748" s="35">
        <f>VENTAS[[#This Row],[Total]]-VENTAS[[#This Row],[Comisión 10%]]-VENTAS[[#This Row],[Costo SIN Comision]]</f>
        <v>5.61833333333333</v>
      </c>
      <c r="M748" s="35"/>
    </row>
    <row r="749" ht="20" customHeight="1" spans="1:13">
      <c r="A749" s="29">
        <v>45337</v>
      </c>
      <c r="B749" s="30"/>
      <c r="C749" s="30" t="s">
        <v>3474</v>
      </c>
      <c r="D749" s="30"/>
      <c r="E749" s="30" t="s">
        <v>1597</v>
      </c>
      <c r="F749" s="34" t="str">
        <f>IFERROR(VLOOKUP(VENTAS[[#This Row],[Código del producto Vendido]],STOCK[],5,FALSE),"-")</f>
        <v>Cardigan classy</v>
      </c>
      <c r="G749" s="34">
        <v>1</v>
      </c>
      <c r="H749" s="35">
        <v>22</v>
      </c>
      <c r="I749" s="35">
        <f>VENTAS[[#This Row],[Cantidad]]*VENTAS[[#This Row],[Precio Venta]]</f>
        <v>22</v>
      </c>
      <c r="J749" s="35">
        <f>IF(VENTAS[[#This Row],[Nombre del Gestor]]&gt;1,VENTAS[[#This Row],[Total]]*10%,0)</f>
        <v>0</v>
      </c>
      <c r="K749" s="35">
        <f>IFERROR(VLOOKUP(VENTAS[[#This Row],[Código del producto Vendido]],STOCK[],16,FALSE)*VENTAS[[#This Row],[Cantidad]]+VLOOKUP(VENTAS[[#This Row],[Código del producto Vendido]],STOCK[],19,FALSE)*VENTAS[[#This Row],[Cantidad]],VENTAS[[#This Row],[Total]])</f>
        <v>11.8</v>
      </c>
      <c r="L749" s="35">
        <f>VENTAS[[#This Row],[Total]]-VENTAS[[#This Row],[Comisión 10%]]-VENTAS[[#This Row],[Costo SIN Comision]]</f>
        <v>10.2</v>
      </c>
      <c r="M749" s="35"/>
    </row>
    <row r="750" ht="20" customHeight="1" spans="1:13">
      <c r="A750" s="29">
        <v>45337</v>
      </c>
      <c r="B750" s="30"/>
      <c r="C750" s="30" t="s">
        <v>3474</v>
      </c>
      <c r="D750" s="30"/>
      <c r="E750" s="30" t="s">
        <v>1604</v>
      </c>
      <c r="F750" s="34" t="str">
        <f>IFERROR(VLOOKUP(VENTAS[[#This Row],[Código del producto Vendido]],STOCK[],5,FALSE),"-")</f>
        <v>Vestido camisa modely</v>
      </c>
      <c r="G750" s="34">
        <v>1</v>
      </c>
      <c r="H750" s="35">
        <v>35</v>
      </c>
      <c r="I750" s="35">
        <f>VENTAS[[#This Row],[Cantidad]]*VENTAS[[#This Row],[Precio Venta]]</f>
        <v>35</v>
      </c>
      <c r="J750" s="35">
        <f>IF(VENTAS[[#This Row],[Nombre del Gestor]]&gt;1,VENTAS[[#This Row],[Total]]*10%,0)</f>
        <v>0</v>
      </c>
      <c r="K750" s="35">
        <f>IFERROR(VLOOKUP(VENTAS[[#This Row],[Código del producto Vendido]],STOCK[],16,FALSE)*VENTAS[[#This Row],[Cantidad]]+VLOOKUP(VENTAS[[#This Row],[Código del producto Vendido]],STOCK[],19,FALSE)*VENTAS[[#This Row],[Cantidad]],VENTAS[[#This Row],[Total]])</f>
        <v>14.84</v>
      </c>
      <c r="L750" s="35">
        <f>VENTAS[[#This Row],[Total]]-VENTAS[[#This Row],[Comisión 10%]]-VENTAS[[#This Row],[Costo SIN Comision]]</f>
        <v>20.16</v>
      </c>
      <c r="M750" s="35"/>
    </row>
    <row r="751" ht="20" customHeight="1" spans="1:13">
      <c r="A751" s="29">
        <v>45337</v>
      </c>
      <c r="B751" s="30"/>
      <c r="C751" s="30" t="s">
        <v>3474</v>
      </c>
      <c r="D751" s="30"/>
      <c r="E751" s="30" t="s">
        <v>1786</v>
      </c>
      <c r="F751" s="34" t="str">
        <f>IFERROR(VLOOKUP(VENTAS[[#This Row],[Código del producto Vendido]],STOCK[],5,FALSE),"-")</f>
        <v>Cinturón básico grueso Negro</v>
      </c>
      <c r="G751" s="34">
        <v>1</v>
      </c>
      <c r="H751" s="35">
        <v>8</v>
      </c>
      <c r="I751" s="35">
        <f>VENTAS[[#This Row],[Cantidad]]*VENTAS[[#This Row],[Precio Venta]]</f>
        <v>8</v>
      </c>
      <c r="J751" s="35">
        <f>IF(VENTAS[[#This Row],[Nombre del Gestor]]&gt;1,VENTAS[[#This Row],[Total]]*10%,0)</f>
        <v>0</v>
      </c>
      <c r="K751" s="35">
        <f>IFERROR(VLOOKUP(VENTAS[[#This Row],[Código del producto Vendido]],STOCK[],16,FALSE)*VENTAS[[#This Row],[Cantidad]]+VLOOKUP(VENTAS[[#This Row],[Código del producto Vendido]],STOCK[],19,FALSE)*VENTAS[[#This Row],[Cantidad]],VENTAS[[#This Row],[Total]])</f>
        <v>4.23529411764706</v>
      </c>
      <c r="L751" s="35">
        <f>VENTAS[[#This Row],[Total]]-VENTAS[[#This Row],[Comisión 10%]]-VENTAS[[#This Row],[Costo SIN Comision]]</f>
        <v>3.76470588235294</v>
      </c>
      <c r="M751" s="35"/>
    </row>
    <row r="752" ht="20" customHeight="1" spans="1:13">
      <c r="A752" s="29">
        <v>45337</v>
      </c>
      <c r="B752" s="30"/>
      <c r="C752" s="30" t="s">
        <v>3469</v>
      </c>
      <c r="D752" s="30"/>
      <c r="E752" s="30" t="s">
        <v>359</v>
      </c>
      <c r="F752" s="34" t="str">
        <f>IFERROR(VLOOKUP(VENTAS[[#This Row],[Código del producto Vendido]],STOCK[],5,FALSE),"-")</f>
        <v>Pantalón tejido de rayas </v>
      </c>
      <c r="G752" s="34">
        <v>1</v>
      </c>
      <c r="H752" s="35">
        <v>20</v>
      </c>
      <c r="I752" s="35">
        <f>VENTAS[[#This Row],[Cantidad]]*VENTAS[[#This Row],[Precio Venta]]</f>
        <v>20</v>
      </c>
      <c r="J752" s="35">
        <f>IF(VENTAS[[#This Row],[Nombre del Gestor]]&gt;1,VENTAS[[#This Row],[Total]]*10%,0)</f>
        <v>0</v>
      </c>
      <c r="K752" s="35">
        <f>IFERROR(VLOOKUP(VENTAS[[#This Row],[Código del producto Vendido]],STOCK[],16,FALSE)*VENTAS[[#This Row],[Cantidad]]+VLOOKUP(VENTAS[[#This Row],[Código del producto Vendido]],STOCK[],19,FALSE)*VENTAS[[#This Row],[Cantidad]],VENTAS[[#This Row],[Total]])</f>
        <v>12.8833333333333</v>
      </c>
      <c r="L752" s="35">
        <f>VENTAS[[#This Row],[Total]]-VENTAS[[#This Row],[Comisión 10%]]-VENTAS[[#This Row],[Costo SIN Comision]]</f>
        <v>7.1166666666667</v>
      </c>
      <c r="M752" s="35"/>
    </row>
    <row r="753" ht="20" customHeight="1" spans="1:13">
      <c r="A753" s="29">
        <v>45337</v>
      </c>
      <c r="B753" s="30"/>
      <c r="C753" s="30" t="s">
        <v>3459</v>
      </c>
      <c r="D753" s="30"/>
      <c r="E753" s="30" t="s">
        <v>1483</v>
      </c>
      <c r="F753" s="34" t="str">
        <f>IFERROR(VLOOKUP(VENTAS[[#This Row],[Código del producto Vendido]],STOCK[],5,FALSE),"-")</f>
        <v>Sandalias de tacón fino</v>
      </c>
      <c r="G753" s="34">
        <v>1</v>
      </c>
      <c r="H753" s="35">
        <v>35</v>
      </c>
      <c r="I753" s="35">
        <f>VENTAS[[#This Row],[Cantidad]]*VENTAS[[#This Row],[Precio Venta]]</f>
        <v>35</v>
      </c>
      <c r="J753" s="35">
        <f>IF(VENTAS[[#This Row],[Nombre del Gestor]]&gt;1,VENTAS[[#This Row],[Total]]*10%,0)</f>
        <v>0</v>
      </c>
      <c r="K753" s="35">
        <f>IFERROR(VLOOKUP(VENTAS[[#This Row],[Código del producto Vendido]],STOCK[],16,FALSE)*VENTAS[[#This Row],[Cantidad]]+VLOOKUP(VENTAS[[#This Row],[Código del producto Vendido]],STOCK[],19,FALSE)*VENTAS[[#This Row],[Cantidad]],VENTAS[[#This Row],[Total]])</f>
        <v>23.5</v>
      </c>
      <c r="L753" s="35">
        <f>VENTAS[[#This Row],[Total]]-VENTAS[[#This Row],[Comisión 10%]]-VENTAS[[#This Row],[Costo SIN Comision]]</f>
        <v>11.5</v>
      </c>
      <c r="M753" s="35"/>
    </row>
    <row r="754" ht="20" customHeight="1" spans="1:13">
      <c r="A754" s="29">
        <v>45337</v>
      </c>
      <c r="B754" s="30"/>
      <c r="C754" s="30"/>
      <c r="D754" s="30"/>
      <c r="E754" s="30" t="s">
        <v>1796</v>
      </c>
      <c r="F754" s="34" t="str">
        <f>IFERROR(VLOOKUP(VENTAS[[#This Row],[Código del producto Vendido]],STOCK[],5,FALSE),"-")</f>
        <v>Horquillas en forma de lazo</v>
      </c>
      <c r="G754" s="34">
        <v>1</v>
      </c>
      <c r="H754" s="35">
        <v>2.5</v>
      </c>
      <c r="I754" s="35">
        <f>VENTAS[[#This Row],[Cantidad]]*VENTAS[[#This Row],[Precio Venta]]</f>
        <v>2.5</v>
      </c>
      <c r="J754" s="35">
        <f>IF(VENTAS[[#This Row],[Nombre del Gestor]]&gt;1,VENTAS[[#This Row],[Total]]*10%,0)</f>
        <v>0</v>
      </c>
      <c r="K754" s="35">
        <f>IFERROR(VLOOKUP(VENTAS[[#This Row],[Código del producto Vendido]],STOCK[],16,FALSE)*VENTAS[[#This Row],[Cantidad]]+VLOOKUP(VENTAS[[#This Row],[Código del producto Vendido]],STOCK[],19,FALSE)*VENTAS[[#This Row],[Cantidad]],VENTAS[[#This Row],[Total]])</f>
        <v>1.39117647058824</v>
      </c>
      <c r="L754" s="35">
        <f>VENTAS[[#This Row],[Total]]-VENTAS[[#This Row],[Comisión 10%]]-VENTAS[[#This Row],[Costo SIN Comision]]</f>
        <v>1.10882352941176</v>
      </c>
      <c r="M754" s="35"/>
    </row>
    <row r="755" ht="20" customHeight="1" spans="1:13">
      <c r="A755" s="29">
        <v>45343</v>
      </c>
      <c r="B755" s="30"/>
      <c r="C755" s="30" t="s">
        <v>3475</v>
      </c>
      <c r="D755" s="30"/>
      <c r="E755" s="30" t="s">
        <v>1722</v>
      </c>
      <c r="F755" s="34" t="str">
        <f>IFERROR(VLOOKUP(VENTAS[[#This Row],[Código del producto Vendido]],STOCK[],5,FALSE),"-")</f>
        <v>Vestido negro corte A</v>
      </c>
      <c r="G755" s="34">
        <v>1</v>
      </c>
      <c r="H755" s="35">
        <v>20</v>
      </c>
      <c r="I755" s="35">
        <f>VENTAS[[#This Row],[Cantidad]]*VENTAS[[#This Row],[Precio Venta]]</f>
        <v>20</v>
      </c>
      <c r="J755" s="35">
        <f>IF(VENTAS[[#This Row],[Nombre del Gestor]]&gt;1,VENTAS[[#This Row],[Total]]*10%,0)</f>
        <v>0</v>
      </c>
      <c r="K755" s="35">
        <f>IFERROR(VLOOKUP(VENTAS[[#This Row],[Código del producto Vendido]],STOCK[],16,FALSE)*VENTAS[[#This Row],[Cantidad]]+VLOOKUP(VENTAS[[#This Row],[Código del producto Vendido]],STOCK[],19,FALSE)*VENTAS[[#This Row],[Cantidad]],VENTAS[[#This Row],[Total]])</f>
        <v>11</v>
      </c>
      <c r="L755" s="35">
        <f>VENTAS[[#This Row],[Total]]-VENTAS[[#This Row],[Comisión 10%]]-VENTAS[[#This Row],[Costo SIN Comision]]</f>
        <v>9</v>
      </c>
      <c r="M755" s="35"/>
    </row>
    <row r="756" ht="20" customHeight="1" spans="1:13">
      <c r="A756" s="29">
        <v>45324</v>
      </c>
      <c r="B756" s="30"/>
      <c r="C756" s="30"/>
      <c r="D756" s="30"/>
      <c r="E756" s="30"/>
      <c r="F756" s="34" t="str">
        <f>IFERROR(VLOOKUP(VENTAS[[#This Row],[Código del producto Vendido]],STOCK[],5,FALSE),"-")</f>
        <v>-</v>
      </c>
      <c r="G756" s="34">
        <v>1</v>
      </c>
      <c r="H756" s="35">
        <v>28</v>
      </c>
      <c r="I756" s="35">
        <f>VENTAS[[#This Row],[Cantidad]]*VENTAS[[#This Row],[Precio Venta]]</f>
        <v>28</v>
      </c>
      <c r="J756" s="35">
        <f>IF(VENTAS[[#This Row],[Nombre del Gestor]]&gt;1,VENTAS[[#This Row],[Total]]*10%,0)</f>
        <v>0</v>
      </c>
      <c r="K756" s="35">
        <f>IFERROR(VLOOKUP(VENTAS[[#This Row],[Código del producto Vendido]],STOCK[],16,FALSE)*VENTAS[[#This Row],[Cantidad]]+VLOOKUP(VENTAS[[#This Row],[Código del producto Vendido]],STOCK[],19,FALSE)*VENTAS[[#This Row],[Cantidad]],VENTAS[[#This Row],[Total]])</f>
        <v>28</v>
      </c>
      <c r="L756" s="35">
        <f>VENTAS[[#This Row],[Total]]-VENTAS[[#This Row],[Comisión 10%]]-VENTAS[[#This Row],[Costo SIN Comision]]</f>
        <v>0</v>
      </c>
      <c r="M756" s="35"/>
    </row>
    <row r="757" ht="20" customHeight="1" spans="1:13">
      <c r="A757" s="29">
        <v>45324</v>
      </c>
      <c r="B757" s="30"/>
      <c r="C757" s="30"/>
      <c r="D757" s="30"/>
      <c r="E757" s="30" t="s">
        <v>1670</v>
      </c>
      <c r="F757" s="34" t="str">
        <f>IFERROR(VLOOKUP(VENTAS[[#This Row],[Código del producto Vendido]],STOCK[],5,FALSE),"-")</f>
        <v>Conjunto Albaricoque</v>
      </c>
      <c r="G757" s="34">
        <v>1</v>
      </c>
      <c r="H757" s="35">
        <v>28</v>
      </c>
      <c r="I757" s="35">
        <f>VENTAS[[#This Row],[Cantidad]]*VENTAS[[#This Row],[Precio Venta]]</f>
        <v>28</v>
      </c>
      <c r="J757" s="35">
        <f>IF(VENTAS[[#This Row],[Nombre del Gestor]]&gt;1,VENTAS[[#This Row],[Total]]*10%,0)</f>
        <v>0</v>
      </c>
      <c r="K757" s="35">
        <f>IFERROR(VLOOKUP(VENTAS[[#This Row],[Código del producto Vendido]],STOCK[],16,FALSE)*VENTAS[[#This Row],[Cantidad]]+VLOOKUP(VENTAS[[#This Row],[Código del producto Vendido]],STOCK[],19,FALSE)*VENTAS[[#This Row],[Cantidad]],VENTAS[[#This Row],[Total]])</f>
        <v>13.97</v>
      </c>
      <c r="L757" s="35">
        <f>VENTAS[[#This Row],[Total]]-VENTAS[[#This Row],[Comisión 10%]]-VENTAS[[#This Row],[Costo SIN Comision]]</f>
        <v>14.03</v>
      </c>
      <c r="M757" s="35"/>
    </row>
    <row r="758" ht="20" customHeight="1" spans="1:13">
      <c r="A758" s="29">
        <v>45324</v>
      </c>
      <c r="B758" s="30"/>
      <c r="C758" s="30"/>
      <c r="D758" s="30"/>
      <c r="E758" s="30" t="s">
        <v>1610</v>
      </c>
      <c r="F758" s="34" t="str">
        <f>IFERROR(VLOOKUP(VENTAS[[#This Row],[Código del producto Vendido]],STOCK[],5,FALSE),"-")</f>
        <v>Camisa Modely</v>
      </c>
      <c r="G758" s="34">
        <v>1</v>
      </c>
      <c r="H758" s="35">
        <v>22</v>
      </c>
      <c r="I758" s="35">
        <f>VENTAS[[#This Row],[Cantidad]]*VENTAS[[#This Row],[Precio Venta]]</f>
        <v>22</v>
      </c>
      <c r="J758" s="35">
        <f>IF(VENTAS[[#This Row],[Nombre del Gestor]]&gt;1,VENTAS[[#This Row],[Total]]*10%,0)</f>
        <v>0</v>
      </c>
      <c r="K758" s="35">
        <f>IFERROR(VLOOKUP(VENTAS[[#This Row],[Código del producto Vendido]],STOCK[],16,FALSE)*VENTAS[[#This Row],[Cantidad]]+VLOOKUP(VENTAS[[#This Row],[Código del producto Vendido]],STOCK[],19,FALSE)*VENTAS[[#This Row],[Cantidad]],VENTAS[[#This Row],[Total]])</f>
        <v>9.74</v>
      </c>
      <c r="L758" s="35">
        <f>VENTAS[[#This Row],[Total]]-VENTAS[[#This Row],[Comisión 10%]]-VENTAS[[#This Row],[Costo SIN Comision]]</f>
        <v>12.26</v>
      </c>
      <c r="M758" s="35"/>
    </row>
    <row r="759" ht="20" customHeight="1" spans="1:13">
      <c r="A759" s="29">
        <v>45347</v>
      </c>
      <c r="B759" s="30"/>
      <c r="C759" s="30"/>
      <c r="D759" s="30"/>
      <c r="E759" s="30" t="s">
        <v>1597</v>
      </c>
      <c r="F759" s="34" t="str">
        <f>IFERROR(VLOOKUP(VENTAS[[#This Row],[Código del producto Vendido]],STOCK[],5,FALSE),"-")</f>
        <v>Cardigan classy</v>
      </c>
      <c r="G759" s="34">
        <v>1</v>
      </c>
      <c r="H759" s="35">
        <v>22</v>
      </c>
      <c r="I759" s="35">
        <f>VENTAS[[#This Row],[Cantidad]]*VENTAS[[#This Row],[Precio Venta]]</f>
        <v>22</v>
      </c>
      <c r="J759" s="35">
        <f>IF(VENTAS[[#This Row],[Nombre del Gestor]]&gt;1,VENTAS[[#This Row],[Total]]*10%,0)</f>
        <v>0</v>
      </c>
      <c r="K759" s="35">
        <f>IFERROR(VLOOKUP(VENTAS[[#This Row],[Código del producto Vendido]],STOCK[],16,FALSE)*VENTAS[[#This Row],[Cantidad]]+VLOOKUP(VENTAS[[#This Row],[Código del producto Vendido]],STOCK[],19,FALSE)*VENTAS[[#This Row],[Cantidad]],VENTAS[[#This Row],[Total]])</f>
        <v>11.8</v>
      </c>
      <c r="L759" s="35">
        <f>VENTAS[[#This Row],[Total]]-VENTAS[[#This Row],[Comisión 10%]]-VENTAS[[#This Row],[Costo SIN Comision]]</f>
        <v>10.2</v>
      </c>
      <c r="M759" s="35"/>
    </row>
    <row r="760" ht="20" customHeight="1" spans="1:13">
      <c r="A760" s="29">
        <v>45339</v>
      </c>
      <c r="B760" s="30"/>
      <c r="C760" s="30"/>
      <c r="D760" s="30"/>
      <c r="E760" s="30" t="s">
        <v>1743</v>
      </c>
      <c r="F760" s="34" t="str">
        <f>IFERROR(VLOOKUP(VENTAS[[#This Row],[Código del producto Vendido]],STOCK[],5,FALSE),"-")</f>
        <v>Kimono Dazy Elegante</v>
      </c>
      <c r="G760" s="34">
        <v>1</v>
      </c>
      <c r="H760" s="35">
        <v>22</v>
      </c>
      <c r="I760" s="35">
        <f>VENTAS[[#This Row],[Cantidad]]*VENTAS[[#This Row],[Precio Venta]]</f>
        <v>22</v>
      </c>
      <c r="J760" s="35">
        <f>IF(VENTAS[[#This Row],[Nombre del Gestor]]&gt;1,VENTAS[[#This Row],[Total]]*10%,0)</f>
        <v>0</v>
      </c>
      <c r="K760" s="35">
        <f>IFERROR(VLOOKUP(VENTAS[[#This Row],[Código del producto Vendido]],STOCK[],16,FALSE)*VENTAS[[#This Row],[Cantidad]]+VLOOKUP(VENTAS[[#This Row],[Código del producto Vendido]],STOCK[],19,FALSE)*VENTAS[[#This Row],[Cantidad]],VENTAS[[#This Row],[Total]])</f>
        <v>13.3529411764706</v>
      </c>
      <c r="L760" s="35">
        <f>VENTAS[[#This Row],[Total]]-VENTAS[[#This Row],[Comisión 10%]]-VENTAS[[#This Row],[Costo SIN Comision]]</f>
        <v>8.64705882352941</v>
      </c>
      <c r="M760" s="35"/>
    </row>
    <row r="761" ht="20" customHeight="1" spans="1:13">
      <c r="A761" s="29">
        <v>45326</v>
      </c>
      <c r="B761" s="30"/>
      <c r="C761" s="30" t="s">
        <v>3324</v>
      </c>
      <c r="D761" s="30" t="s">
        <v>3433</v>
      </c>
      <c r="E761" s="30" t="s">
        <v>769</v>
      </c>
      <c r="F761" s="34" t="str">
        <f>IFERROR(VLOOKUP(VENTAS[[#This Row],[Código del producto Vendido]],STOCK[],5,FALSE),"-")</f>
        <v>Sandalias atadas </v>
      </c>
      <c r="G761" s="34">
        <v>1</v>
      </c>
      <c r="H761" s="35">
        <v>39</v>
      </c>
      <c r="I761" s="35">
        <f>VENTAS[[#This Row],[Cantidad]]*VENTAS[[#This Row],[Precio Venta]]</f>
        <v>39</v>
      </c>
      <c r="J761" s="35">
        <f>IF(VENTAS[[#This Row],[Nombre del Gestor]]&gt;1,VENTAS[[#This Row],[Total]]*10%,0)</f>
        <v>3.9</v>
      </c>
      <c r="K761" s="35">
        <f>IFERROR(VLOOKUP(VENTAS[[#This Row],[Código del producto Vendido]],STOCK[],16,FALSE)*VENTAS[[#This Row],[Cantidad]]+VLOOKUP(VENTAS[[#This Row],[Código del producto Vendido]],STOCK[],19,FALSE)*VENTAS[[#This Row],[Cantidad]],VENTAS[[#This Row],[Total]])</f>
        <v>29.5</v>
      </c>
      <c r="L761" s="35">
        <f>VENTAS[[#This Row],[Total]]-VENTAS[[#This Row],[Comisión 10%]]-VENTAS[[#This Row],[Costo SIN Comision]]</f>
        <v>5.6</v>
      </c>
      <c r="M761" s="35"/>
    </row>
    <row r="762" ht="20" customHeight="1" spans="1:13">
      <c r="A762" s="29">
        <v>45350</v>
      </c>
      <c r="B762" s="30"/>
      <c r="C762" s="30" t="s">
        <v>3440</v>
      </c>
      <c r="D762" s="30" t="s">
        <v>3433</v>
      </c>
      <c r="E762" s="30" t="s">
        <v>1527</v>
      </c>
      <c r="F762" s="34" t="str">
        <f>IFERROR(VLOOKUP(VENTAS[[#This Row],[Código del producto Vendido]],STOCK[],5,FALSE),"-")</f>
        <v>Sandalias de tacón fino</v>
      </c>
      <c r="G762" s="34">
        <v>1</v>
      </c>
      <c r="H762" s="35">
        <v>35</v>
      </c>
      <c r="I762" s="35">
        <f>VENTAS[[#This Row],[Cantidad]]*VENTAS[[#This Row],[Precio Venta]]</f>
        <v>35</v>
      </c>
      <c r="J762" s="35">
        <f>IF(VENTAS[[#This Row],[Nombre del Gestor]]&gt;1,VENTAS[[#This Row],[Total]]*10%,0)</f>
        <v>3.5</v>
      </c>
      <c r="K762" s="35">
        <f>IFERROR(VLOOKUP(VENTAS[[#This Row],[Código del producto Vendido]],STOCK[],16,FALSE)*VENTAS[[#This Row],[Cantidad]]+VLOOKUP(VENTAS[[#This Row],[Código del producto Vendido]],STOCK[],19,FALSE)*VENTAS[[#This Row],[Cantidad]],VENTAS[[#This Row],[Total]])</f>
        <v>20</v>
      </c>
      <c r="L762" s="35">
        <f>VENTAS[[#This Row],[Total]]-VENTAS[[#This Row],[Comisión 10%]]-VENTAS[[#This Row],[Costo SIN Comision]]</f>
        <v>11.5</v>
      </c>
      <c r="M762" s="35"/>
    </row>
    <row r="763" ht="20" customHeight="1" spans="1:13">
      <c r="A763" s="29">
        <v>45346</v>
      </c>
      <c r="B763" s="30"/>
      <c r="C763" s="30" t="s">
        <v>3472</v>
      </c>
      <c r="D763" s="30"/>
      <c r="E763" s="30" t="s">
        <v>150</v>
      </c>
      <c r="F763" s="34" t="str">
        <f>IFERROR(VLOOKUP(VENTAS[[#This Row],[Código del producto Vendido]],STOCK[],5,FALSE),"-")</f>
        <v>Jean Boyfriend con rotos</v>
      </c>
      <c r="G763" s="34">
        <v>1</v>
      </c>
      <c r="H763" s="35">
        <v>30</v>
      </c>
      <c r="I763" s="35">
        <f>VENTAS[[#This Row],[Cantidad]]*VENTAS[[#This Row],[Precio Venta]]</f>
        <v>30</v>
      </c>
      <c r="J763" s="35">
        <f>IF(VENTAS[[#This Row],[Nombre del Gestor]]&gt;1,VENTAS[[#This Row],[Total]]*10%,0)</f>
        <v>0</v>
      </c>
      <c r="K763" s="35">
        <f>IFERROR(VLOOKUP(VENTAS[[#This Row],[Código del producto Vendido]],STOCK[],16,FALSE)*VENTAS[[#This Row],[Cantidad]]+VLOOKUP(VENTAS[[#This Row],[Código del producto Vendido]],STOCK[],19,FALSE)*VENTAS[[#This Row],[Cantidad]],VENTAS[[#This Row],[Total]])</f>
        <v>18.6866666666667</v>
      </c>
      <c r="L763" s="35">
        <f>VENTAS[[#This Row],[Total]]-VENTAS[[#This Row],[Comisión 10%]]-VENTAS[[#This Row],[Costo SIN Comision]]</f>
        <v>11.3133333333333</v>
      </c>
      <c r="M763" s="35"/>
    </row>
    <row r="764" ht="20" customHeight="1" spans="1:13">
      <c r="A764" s="29">
        <v>45346</v>
      </c>
      <c r="B764" s="30"/>
      <c r="C764" s="30" t="s">
        <v>3472</v>
      </c>
      <c r="D764" s="30"/>
      <c r="E764" s="30" t="s">
        <v>1612</v>
      </c>
      <c r="F764" s="34" t="str">
        <f>IFERROR(VLOOKUP(VENTAS[[#This Row],[Código del producto Vendido]],STOCK[],5,FALSE),"-")</f>
        <v>Camisa Modely</v>
      </c>
      <c r="G764" s="34">
        <v>1</v>
      </c>
      <c r="H764" s="35">
        <v>22</v>
      </c>
      <c r="I764" s="35">
        <f>VENTAS[[#This Row],[Cantidad]]*VENTAS[[#This Row],[Precio Venta]]</f>
        <v>22</v>
      </c>
      <c r="J764" s="35">
        <f>IF(VENTAS[[#This Row],[Nombre del Gestor]]&gt;1,VENTAS[[#This Row],[Total]]*10%,0)</f>
        <v>0</v>
      </c>
      <c r="K764" s="35">
        <f>IFERROR(VLOOKUP(VENTAS[[#This Row],[Código del producto Vendido]],STOCK[],16,FALSE)*VENTAS[[#This Row],[Cantidad]]+VLOOKUP(VENTAS[[#This Row],[Código del producto Vendido]],STOCK[],19,FALSE)*VENTAS[[#This Row],[Cantidad]],VENTAS[[#This Row],[Total]])</f>
        <v>9.74</v>
      </c>
      <c r="L764" s="35">
        <f>VENTAS[[#This Row],[Total]]-VENTAS[[#This Row],[Comisión 10%]]-VENTAS[[#This Row],[Costo SIN Comision]]</f>
        <v>12.26</v>
      </c>
      <c r="M764" s="35"/>
    </row>
    <row r="765" ht="20" customHeight="1" spans="1:13">
      <c r="A765" s="29">
        <v>45346</v>
      </c>
      <c r="B765" s="30"/>
      <c r="C765" s="30"/>
      <c r="D765" s="30"/>
      <c r="E765" s="30" t="s">
        <v>1301</v>
      </c>
      <c r="F765" s="34" t="str">
        <f>IFERROR(VLOOKUP(VENTAS[[#This Row],[Código del producto Vendido]],STOCK[],5,FALSE),"-")</f>
        <v>Jean ajustado Claro</v>
      </c>
      <c r="G765" s="34">
        <v>1</v>
      </c>
      <c r="H765" s="35">
        <v>32</v>
      </c>
      <c r="I765" s="35">
        <f>VENTAS[[#This Row],[Cantidad]]*VENTAS[[#This Row],[Precio Venta]]</f>
        <v>32</v>
      </c>
      <c r="J765" s="35">
        <f>IF(VENTAS[[#This Row],[Nombre del Gestor]]&gt;1,VENTAS[[#This Row],[Total]]*10%,0)</f>
        <v>0</v>
      </c>
      <c r="K765" s="35">
        <f>IFERROR(VLOOKUP(VENTAS[[#This Row],[Código del producto Vendido]],STOCK[],16,FALSE)*VENTAS[[#This Row],[Cantidad]]+VLOOKUP(VENTAS[[#This Row],[Código del producto Vendido]],STOCK[],19,FALSE)*VENTAS[[#This Row],[Cantidad]],VENTAS[[#This Row],[Total]])</f>
        <v>23.79</v>
      </c>
      <c r="L765" s="35">
        <f>VENTAS[[#This Row],[Total]]-VENTAS[[#This Row],[Comisión 10%]]-VENTAS[[#This Row],[Costo SIN Comision]]</f>
        <v>8.21</v>
      </c>
      <c r="M765" s="35"/>
    </row>
    <row r="766" ht="20" customHeight="1" spans="1:13">
      <c r="A766" s="29">
        <v>45346</v>
      </c>
      <c r="B766" s="30"/>
      <c r="C766" s="30"/>
      <c r="D766" s="30" t="s">
        <v>3368</v>
      </c>
      <c r="E766" s="30" t="s">
        <v>937</v>
      </c>
      <c r="F766" s="34" t="str">
        <f>IFERROR(VLOOKUP(VENTAS[[#This Row],[Código del producto Vendido]],STOCK[],5,FALSE),"-")</f>
        <v>Vestido tropical</v>
      </c>
      <c r="G766" s="34">
        <v>1</v>
      </c>
      <c r="H766" s="35">
        <v>30</v>
      </c>
      <c r="I766" s="35">
        <f>VENTAS[[#This Row],[Cantidad]]*VENTAS[[#This Row],[Precio Venta]]</f>
        <v>30</v>
      </c>
      <c r="J766" s="35">
        <f>IF(VENTAS[[#This Row],[Nombre del Gestor]]&gt;1,VENTAS[[#This Row],[Total]]*10%,0)</f>
        <v>3</v>
      </c>
      <c r="K766" s="35">
        <f>IFERROR(VLOOKUP(VENTAS[[#This Row],[Código del producto Vendido]],STOCK[],16,FALSE)*VENTAS[[#This Row],[Cantidad]]+VLOOKUP(VENTAS[[#This Row],[Código del producto Vendido]],STOCK[],19,FALSE)*VENTAS[[#This Row],[Cantidad]],VENTAS[[#This Row],[Total]])</f>
        <v>19.0186363636364</v>
      </c>
      <c r="L766" s="35">
        <f>VENTAS[[#This Row],[Total]]-VENTAS[[#This Row],[Comisión 10%]]-VENTAS[[#This Row],[Costo SIN Comision]]</f>
        <v>7.9813636363636</v>
      </c>
      <c r="M766" s="35"/>
    </row>
    <row r="767" ht="20" customHeight="1" spans="1:13">
      <c r="A767" s="29">
        <v>45346</v>
      </c>
      <c r="B767" s="30"/>
      <c r="C767" s="30" t="s">
        <v>3476</v>
      </c>
      <c r="D767" s="30"/>
      <c r="E767" s="30" t="s">
        <v>1194</v>
      </c>
      <c r="F767" s="34" t="str">
        <f>IFERROR(VLOOKUP(VENTAS[[#This Row],[Código del producto Vendido]],STOCK[],5,FALSE),"-")</f>
        <v>Conjunto de top y falda cruzada</v>
      </c>
      <c r="G767" s="34">
        <v>1</v>
      </c>
      <c r="H767" s="35">
        <v>0</v>
      </c>
      <c r="I767" s="35">
        <f>VENTAS[[#This Row],[Cantidad]]*VENTAS[[#This Row],[Precio Venta]]</f>
        <v>0</v>
      </c>
      <c r="J767" s="35">
        <f>IF(VENTAS[[#This Row],[Nombre del Gestor]]&gt;1,VENTAS[[#This Row],[Total]]*10%,0)</f>
        <v>0</v>
      </c>
      <c r="K767" s="35">
        <f>IFERROR(VLOOKUP(VENTAS[[#This Row],[Código del producto Vendido]],STOCK[],16,FALSE)*VENTAS[[#This Row],[Cantidad]]+VLOOKUP(VENTAS[[#This Row],[Código del producto Vendido]],STOCK[],19,FALSE)*VENTAS[[#This Row],[Cantidad]],VENTAS[[#This Row],[Total]])</f>
        <v>27.82</v>
      </c>
      <c r="L767" s="35">
        <f>VENTAS[[#This Row],[Total]]-VENTAS[[#This Row],[Comisión 10%]]-VENTAS[[#This Row],[Costo SIN Comision]]</f>
        <v>-27.82</v>
      </c>
      <c r="M767" s="35"/>
    </row>
    <row r="768" ht="20" customHeight="1" spans="1:13">
      <c r="A768" s="29">
        <v>45346</v>
      </c>
      <c r="B768" s="30"/>
      <c r="C768" s="30" t="s">
        <v>3477</v>
      </c>
      <c r="D768" s="30"/>
      <c r="E768" s="30"/>
      <c r="F768" s="34" t="str">
        <f>IFERROR(VLOOKUP(VENTAS[[#This Row],[Código del producto Vendido]],STOCK[],5,FALSE),"-")</f>
        <v>-</v>
      </c>
      <c r="G768" s="34">
        <v>10</v>
      </c>
      <c r="H768" s="35">
        <v>1.8</v>
      </c>
      <c r="I768" s="35">
        <f>VENTAS[[#This Row],[Cantidad]]*VENTAS[[#This Row],[Precio Venta]]</f>
        <v>18</v>
      </c>
      <c r="J768" s="35">
        <f>IF(VENTAS[[#This Row],[Nombre del Gestor]]&gt;1,VENTAS[[#This Row],[Total]]*10%,0)</f>
        <v>0</v>
      </c>
      <c r="K768" s="35">
        <f>IFERROR(VLOOKUP(VENTAS[[#This Row],[Código del producto Vendido]],STOCK[],16,FALSE)*VENTAS[[#This Row],[Cantidad]]+VLOOKUP(VENTAS[[#This Row],[Código del producto Vendido]],STOCK[],19,FALSE)*VENTAS[[#This Row],[Cantidad]],VENTAS[[#This Row],[Total]])</f>
        <v>18</v>
      </c>
      <c r="L768" s="35">
        <f>VENTAS[[#This Row],[Total]]-VENTAS[[#This Row],[Comisión 10%]]-VENTAS[[#This Row],[Costo SIN Comision]]</f>
        <v>0</v>
      </c>
      <c r="M768" s="35"/>
    </row>
    <row r="769" ht="20" customHeight="1" spans="1:13">
      <c r="A769" s="29">
        <v>45346</v>
      </c>
      <c r="B769" s="30"/>
      <c r="C769" s="30" t="s">
        <v>3469</v>
      </c>
      <c r="D769" s="30"/>
      <c r="E769" s="30" t="s">
        <v>225</v>
      </c>
      <c r="F769" s="34" t="str">
        <f>IFERROR(VLOOKUP(VENTAS[[#This Row],[Código del producto Vendido]],STOCK[],5,FALSE),"-")</f>
        <v> Pantalón ancho con cinturón</v>
      </c>
      <c r="G769" s="34">
        <v>1</v>
      </c>
      <c r="H769" s="35">
        <v>23</v>
      </c>
      <c r="I769" s="35">
        <f>VENTAS[[#This Row],[Cantidad]]*VENTAS[[#This Row],[Precio Venta]]</f>
        <v>23</v>
      </c>
      <c r="J769" s="35">
        <f>IF(VENTAS[[#This Row],[Nombre del Gestor]]&gt;1,VENTAS[[#This Row],[Total]]*10%,0)</f>
        <v>0</v>
      </c>
      <c r="K769" s="35">
        <f>IFERROR(VLOOKUP(VENTAS[[#This Row],[Código del producto Vendido]],STOCK[],16,FALSE)*VENTAS[[#This Row],[Cantidad]]+VLOOKUP(VENTAS[[#This Row],[Código del producto Vendido]],STOCK[],19,FALSE)*VENTAS[[#This Row],[Cantidad]],VENTAS[[#This Row],[Total]])</f>
        <v>13.9444444444444</v>
      </c>
      <c r="L769" s="35">
        <f>VENTAS[[#This Row],[Total]]-VENTAS[[#This Row],[Comisión 10%]]-VENTAS[[#This Row],[Costo SIN Comision]]</f>
        <v>9.0555555555556</v>
      </c>
      <c r="M769" s="35"/>
    </row>
    <row r="770" ht="20" customHeight="1" spans="1:13">
      <c r="A770" s="29">
        <v>45346</v>
      </c>
      <c r="B770" s="30"/>
      <c r="C770" s="30" t="s">
        <v>3478</v>
      </c>
      <c r="D770" s="30"/>
      <c r="E770" s="30" t="s">
        <v>290</v>
      </c>
      <c r="F770" s="34" t="str">
        <f>IFERROR(VLOOKUP(VENTAS[[#This Row],[Código del producto Vendido]],STOCK[],5,FALSE),"-")</f>
        <v> Conjunto elegante acanalado </v>
      </c>
      <c r="G770" s="34">
        <v>1</v>
      </c>
      <c r="H770" s="35">
        <v>30</v>
      </c>
      <c r="I770" s="35">
        <f>VENTAS[[#This Row],[Cantidad]]*VENTAS[[#This Row],[Precio Venta]]</f>
        <v>30</v>
      </c>
      <c r="J770" s="35">
        <f>IF(VENTAS[[#This Row],[Nombre del Gestor]]&gt;1,VENTAS[[#This Row],[Total]]*10%,0)</f>
        <v>0</v>
      </c>
      <c r="K770" s="35">
        <f>IFERROR(VLOOKUP(VENTAS[[#This Row],[Código del producto Vendido]],STOCK[],16,FALSE)*VENTAS[[#This Row],[Cantidad]]+VLOOKUP(VENTAS[[#This Row],[Código del producto Vendido]],STOCK[],19,FALSE)*VENTAS[[#This Row],[Cantidad]],VENTAS[[#This Row],[Total]])</f>
        <v>14.7933333333333</v>
      </c>
      <c r="L770" s="35">
        <f>VENTAS[[#This Row],[Total]]-VENTAS[[#This Row],[Comisión 10%]]-VENTAS[[#This Row],[Costo SIN Comision]]</f>
        <v>15.2066666666667</v>
      </c>
      <c r="M770" s="35"/>
    </row>
    <row r="771" ht="20" customHeight="1" spans="1:13">
      <c r="A771" s="29">
        <v>45346</v>
      </c>
      <c r="B771" s="30"/>
      <c r="C771" s="30" t="s">
        <v>3479</v>
      </c>
      <c r="D771" s="30"/>
      <c r="E771" s="30" t="s">
        <v>639</v>
      </c>
      <c r="F771" s="34" t="str">
        <f>IFERROR(VLOOKUP(VENTAS[[#This Row],[Código del producto Vendido]],STOCK[],5,FALSE),"-")</f>
        <v>Vestido con estampado floral</v>
      </c>
      <c r="G771" s="34">
        <v>1</v>
      </c>
      <c r="H771" s="35">
        <v>0</v>
      </c>
      <c r="I771" s="35">
        <f>VENTAS[[#This Row],[Cantidad]]*VENTAS[[#This Row],[Precio Venta]]</f>
        <v>0</v>
      </c>
      <c r="J771" s="35">
        <f>IF(VENTAS[[#This Row],[Nombre del Gestor]]&gt;1,VENTAS[[#This Row],[Total]]*10%,0)</f>
        <v>0</v>
      </c>
      <c r="K771" s="35">
        <f>IFERROR(VLOOKUP(VENTAS[[#This Row],[Código del producto Vendido]],STOCK[],16,FALSE)*VENTAS[[#This Row],[Cantidad]]+VLOOKUP(VENTAS[[#This Row],[Código del producto Vendido]],STOCK[],19,FALSE)*VENTAS[[#This Row],[Cantidad]],VENTAS[[#This Row],[Total]])</f>
        <v>10.7222222222222</v>
      </c>
      <c r="L771" s="35">
        <f>VENTAS[[#This Row],[Total]]-VENTAS[[#This Row],[Comisión 10%]]-VENTAS[[#This Row],[Costo SIN Comision]]</f>
        <v>-10.7222222222222</v>
      </c>
      <c r="M771" s="35"/>
    </row>
    <row r="772" ht="20" customHeight="1" spans="1:13">
      <c r="A772" s="29">
        <v>45346</v>
      </c>
      <c r="B772" s="30"/>
      <c r="C772" s="30" t="s">
        <v>3478</v>
      </c>
      <c r="D772" s="30"/>
      <c r="E772" s="30" t="s">
        <v>788</v>
      </c>
      <c r="F772" s="34" t="str">
        <f>IFERROR(VLOOKUP(VENTAS[[#This Row],[Código del producto Vendido]],STOCK[],5,FALSE),"-")</f>
        <v>Visera rosa</v>
      </c>
      <c r="G772" s="34">
        <v>1</v>
      </c>
      <c r="H772" s="35">
        <v>15</v>
      </c>
      <c r="I772" s="35">
        <f>VENTAS[[#This Row],[Cantidad]]*VENTAS[[#This Row],[Precio Venta]]</f>
        <v>15</v>
      </c>
      <c r="J772" s="35">
        <f>IF(VENTAS[[#This Row],[Nombre del Gestor]]&gt;1,VENTAS[[#This Row],[Total]]*10%,0)</f>
        <v>0</v>
      </c>
      <c r="K772" s="35">
        <f>IFERROR(VLOOKUP(VENTAS[[#This Row],[Código del producto Vendido]],STOCK[],16,FALSE)*VENTAS[[#This Row],[Cantidad]]+VLOOKUP(VENTAS[[#This Row],[Código del producto Vendido]],STOCK[],19,FALSE)*VENTAS[[#This Row],[Cantidad]],VENTAS[[#This Row],[Total]])</f>
        <v>11.5555555555556</v>
      </c>
      <c r="L772" s="35">
        <f>VENTAS[[#This Row],[Total]]-VENTAS[[#This Row],[Comisión 10%]]-VENTAS[[#This Row],[Costo SIN Comision]]</f>
        <v>3.4444444444444</v>
      </c>
      <c r="M772" s="35"/>
    </row>
    <row r="773" ht="20" customHeight="1" spans="1:13">
      <c r="A773" s="29">
        <v>45346</v>
      </c>
      <c r="B773" s="30"/>
      <c r="C773" s="30" t="s">
        <v>3478</v>
      </c>
      <c r="D773" s="30"/>
      <c r="E773" s="30" t="s">
        <v>1766</v>
      </c>
      <c r="F773" s="34" t="str">
        <f>IFERROR(VLOOKUP(VENTAS[[#This Row],[Código del producto Vendido]],STOCK[],5,FALSE),"-")</f>
        <v>Calcetines bajos</v>
      </c>
      <c r="G773" s="34">
        <v>2</v>
      </c>
      <c r="H773" s="35">
        <v>1</v>
      </c>
      <c r="I773" s="35">
        <f>VENTAS[[#This Row],[Cantidad]]*VENTAS[[#This Row],[Precio Venta]]</f>
        <v>2</v>
      </c>
      <c r="J773" s="35">
        <f>IF(VENTAS[[#This Row],[Nombre del Gestor]]&gt;1,VENTAS[[#This Row],[Total]]*10%,0)</f>
        <v>0</v>
      </c>
      <c r="K773" s="35">
        <f>IFERROR(VLOOKUP(VENTAS[[#This Row],[Código del producto Vendido]],STOCK[],16,FALSE)*VENTAS[[#This Row],[Cantidad]]+VLOOKUP(VENTAS[[#This Row],[Código del producto Vendido]],STOCK[],19,FALSE)*VENTAS[[#This Row],[Cantidad]],VENTAS[[#This Row],[Total]])</f>
        <v>0.858823529411764</v>
      </c>
      <c r="L773" s="35">
        <f>VENTAS[[#This Row],[Total]]-VENTAS[[#This Row],[Comisión 10%]]-VENTAS[[#This Row],[Costo SIN Comision]]</f>
        <v>1.14117647058824</v>
      </c>
      <c r="M773" s="35"/>
    </row>
    <row r="774" ht="20" customHeight="1" spans="1:13">
      <c r="A774" s="29">
        <v>45359</v>
      </c>
      <c r="B774" s="30"/>
      <c r="C774" s="30" t="s">
        <v>3368</v>
      </c>
      <c r="D774" s="30"/>
      <c r="E774" s="30" t="s">
        <v>1783</v>
      </c>
      <c r="F774" s="34" t="str">
        <f>IFERROR(VLOOKUP(VENTAS[[#This Row],[Código del producto Vendido]],STOCK[],5,FALSE),"-")</f>
        <v>Traje de baño blanco sexy </v>
      </c>
      <c r="G774" s="34">
        <v>1</v>
      </c>
      <c r="H774" s="35">
        <v>20</v>
      </c>
      <c r="I774" s="35">
        <f>VENTAS[[#This Row],[Cantidad]]*VENTAS[[#This Row],[Precio Venta]]</f>
        <v>20</v>
      </c>
      <c r="J774" s="35">
        <f>IF(VENTAS[[#This Row],[Nombre del Gestor]]&gt;1,VENTAS[[#This Row],[Total]]*10%,0)</f>
        <v>0</v>
      </c>
      <c r="K774" s="35">
        <f>IFERROR(VLOOKUP(VENTAS[[#This Row],[Código del producto Vendido]],STOCK[],16,FALSE)*VENTAS[[#This Row],[Cantidad]]+VLOOKUP(VENTAS[[#This Row],[Código del producto Vendido]],STOCK[],19,FALSE)*VENTAS[[#This Row],[Cantidad]],VENTAS[[#This Row],[Total]])</f>
        <v>9.58823529411765</v>
      </c>
      <c r="L774" s="35">
        <f>VENTAS[[#This Row],[Total]]-VENTAS[[#This Row],[Comisión 10%]]-VENTAS[[#This Row],[Costo SIN Comision]]</f>
        <v>10.4117647058823</v>
      </c>
      <c r="M774" s="35"/>
    </row>
    <row r="775" ht="20" customHeight="1" spans="1:13">
      <c r="A775" s="29">
        <v>45359</v>
      </c>
      <c r="B775" s="30"/>
      <c r="C775" s="30" t="s">
        <v>3368</v>
      </c>
      <c r="D775" s="30"/>
      <c r="E775" s="30" t="s">
        <v>945</v>
      </c>
      <c r="F775" s="34" t="str">
        <f>IFERROR(VLOOKUP(VENTAS[[#This Row],[Código del producto Vendido]],STOCK[],5,FALSE),"-")</f>
        <v> Top Básico Business </v>
      </c>
      <c r="G775" s="34">
        <v>1</v>
      </c>
      <c r="H775" s="35">
        <v>12</v>
      </c>
      <c r="I775" s="35">
        <f>VENTAS[[#This Row],[Cantidad]]*VENTAS[[#This Row],[Precio Venta]]</f>
        <v>12</v>
      </c>
      <c r="J775" s="35">
        <f>IF(VENTAS[[#This Row],[Nombre del Gestor]]&gt;1,VENTAS[[#This Row],[Total]]*10%,0)</f>
        <v>0</v>
      </c>
      <c r="K775" s="35">
        <f>IFERROR(VLOOKUP(VENTAS[[#This Row],[Código del producto Vendido]],STOCK[],16,FALSE)*VENTAS[[#This Row],[Cantidad]]+VLOOKUP(VENTAS[[#This Row],[Código del producto Vendido]],STOCK[],19,FALSE)*VENTAS[[#This Row],[Cantidad]],VENTAS[[#This Row],[Total]])</f>
        <v>7.20909090909091</v>
      </c>
      <c r="L775" s="35">
        <f>VENTAS[[#This Row],[Total]]-VENTAS[[#This Row],[Comisión 10%]]-VENTAS[[#This Row],[Costo SIN Comision]]</f>
        <v>4.79090909090909</v>
      </c>
      <c r="M775" s="35"/>
    </row>
    <row r="776" ht="20" customHeight="1" spans="1:13">
      <c r="A776" s="29">
        <v>45359</v>
      </c>
      <c r="B776" s="30"/>
      <c r="C776" s="30" t="s">
        <v>3449</v>
      </c>
      <c r="D776" s="30"/>
      <c r="E776" s="30" t="s">
        <v>1670</v>
      </c>
      <c r="F776" s="34" t="str">
        <f>IFERROR(VLOOKUP(VENTAS[[#This Row],[Código del producto Vendido]],STOCK[],5,FALSE),"-")</f>
        <v>Conjunto Albaricoque</v>
      </c>
      <c r="G776" s="34">
        <v>1</v>
      </c>
      <c r="H776" s="35">
        <v>28</v>
      </c>
      <c r="I776" s="35">
        <f>VENTAS[[#This Row],[Cantidad]]*VENTAS[[#This Row],[Precio Venta]]</f>
        <v>28</v>
      </c>
      <c r="J776" s="35">
        <f>IF(VENTAS[[#This Row],[Nombre del Gestor]]&gt;1,VENTAS[[#This Row],[Total]]*10%,0)</f>
        <v>0</v>
      </c>
      <c r="K776" s="35">
        <f>IFERROR(VLOOKUP(VENTAS[[#This Row],[Código del producto Vendido]],STOCK[],16,FALSE)*VENTAS[[#This Row],[Cantidad]]+VLOOKUP(VENTAS[[#This Row],[Código del producto Vendido]],STOCK[],19,FALSE)*VENTAS[[#This Row],[Cantidad]],VENTAS[[#This Row],[Total]])</f>
        <v>13.97</v>
      </c>
      <c r="L776" s="35">
        <f>VENTAS[[#This Row],[Total]]-VENTAS[[#This Row],[Comisión 10%]]-VENTAS[[#This Row],[Costo SIN Comision]]</f>
        <v>14.03</v>
      </c>
      <c r="M776" s="35"/>
    </row>
    <row r="777" ht="20" customHeight="1" spans="1:13">
      <c r="A777" s="29">
        <v>45361</v>
      </c>
      <c r="B777" s="30"/>
      <c r="C777" s="30" t="s">
        <v>3480</v>
      </c>
      <c r="D777" s="30"/>
      <c r="E777" s="30" t="s">
        <v>1285</v>
      </c>
      <c r="F777" s="34" t="str">
        <f>IFERROR(VLOOKUP(VENTAS[[#This Row],[Código del producto Vendido]],STOCK[],5,FALSE),"-")</f>
        <v>Pantalón de corte recto</v>
      </c>
      <c r="G777" s="34">
        <v>1</v>
      </c>
      <c r="H777" s="35">
        <v>25</v>
      </c>
      <c r="I777" s="35">
        <f>VENTAS[[#This Row],[Cantidad]]*VENTAS[[#This Row],[Precio Venta]]</f>
        <v>25</v>
      </c>
      <c r="J777" s="35">
        <f>IF(VENTAS[[#This Row],[Nombre del Gestor]]&gt;1,VENTAS[[#This Row],[Total]]*10%,0)</f>
        <v>0</v>
      </c>
      <c r="K777" s="35">
        <f>IFERROR(VLOOKUP(VENTAS[[#This Row],[Código del producto Vendido]],STOCK[],16,FALSE)*VENTAS[[#This Row],[Cantidad]]+VLOOKUP(VENTAS[[#This Row],[Código del producto Vendido]],STOCK[],19,FALSE)*VENTAS[[#This Row],[Cantidad]],VENTAS[[#This Row],[Total]])</f>
        <v>20.78</v>
      </c>
      <c r="L777" s="35">
        <f>VENTAS[[#This Row],[Total]]-VENTAS[[#This Row],[Comisión 10%]]-VENTAS[[#This Row],[Costo SIN Comision]]</f>
        <v>4.22</v>
      </c>
      <c r="M777" s="35"/>
    </row>
    <row r="778" ht="20" customHeight="1" spans="1:13">
      <c r="A778" s="29">
        <v>45361</v>
      </c>
      <c r="B778" s="30"/>
      <c r="C778" s="30" t="s">
        <v>3480</v>
      </c>
      <c r="D778" s="30"/>
      <c r="E778" s="30" t="s">
        <v>1407</v>
      </c>
      <c r="F778" s="34" t="str">
        <f>IFERROR(VLOOKUP(VENTAS[[#This Row],[Código del producto Vendido]],STOCK[],5,FALSE),"-")</f>
        <v>Pantaloneta con abertura y bolsillos</v>
      </c>
      <c r="G778" s="34">
        <v>1</v>
      </c>
      <c r="H778" s="35">
        <v>23</v>
      </c>
      <c r="I778" s="35">
        <f>VENTAS[[#This Row],[Cantidad]]*VENTAS[[#This Row],[Precio Venta]]</f>
        <v>23</v>
      </c>
      <c r="J778" s="35">
        <f>IF(VENTAS[[#This Row],[Nombre del Gestor]]&gt;1,VENTAS[[#This Row],[Total]]*10%,0)</f>
        <v>0</v>
      </c>
      <c r="K778" s="35">
        <f>IFERROR(VLOOKUP(VENTAS[[#This Row],[Código del producto Vendido]],STOCK[],16,FALSE)*VENTAS[[#This Row],[Cantidad]]+VLOOKUP(VENTAS[[#This Row],[Código del producto Vendido]],STOCK[],19,FALSE)*VENTAS[[#This Row],[Cantidad]],VENTAS[[#This Row],[Total]])</f>
        <v>14.22</v>
      </c>
      <c r="L778" s="35">
        <f>VENTAS[[#This Row],[Total]]-VENTAS[[#This Row],[Comisión 10%]]-VENTAS[[#This Row],[Costo SIN Comision]]</f>
        <v>8.78</v>
      </c>
      <c r="M778" s="35"/>
    </row>
    <row r="779" ht="20" customHeight="1" spans="1:13">
      <c r="A779" s="29">
        <v>45363</v>
      </c>
      <c r="B779" s="30"/>
      <c r="C779" s="30"/>
      <c r="D779" s="30"/>
      <c r="E779" s="30" t="s">
        <v>1461</v>
      </c>
      <c r="F779" s="34" t="str">
        <f>IFERROR(VLOOKUP(VENTAS[[#This Row],[Código del producto Vendido]],STOCK[],5,FALSE),"-")</f>
        <v>Pantalón alto de bajo elegante</v>
      </c>
      <c r="G779" s="34">
        <v>2</v>
      </c>
      <c r="H779" s="35">
        <v>32</v>
      </c>
      <c r="I779" s="35">
        <f>VENTAS[[#This Row],[Cantidad]]*VENTAS[[#This Row],[Precio Venta]]</f>
        <v>64</v>
      </c>
      <c r="J779" s="35">
        <f>IF(VENTAS[[#This Row],[Nombre del Gestor]]&gt;1,VENTAS[[#This Row],[Total]]*10%,0)</f>
        <v>0</v>
      </c>
      <c r="K779" s="35">
        <f>IFERROR(VLOOKUP(VENTAS[[#This Row],[Código del producto Vendido]],STOCK[],16,FALSE)*VENTAS[[#This Row],[Cantidad]]+VLOOKUP(VENTAS[[#This Row],[Código del producto Vendido]],STOCK[],19,FALSE)*VENTAS[[#This Row],[Cantidad]],VENTAS[[#This Row],[Total]])</f>
        <v>32.38</v>
      </c>
      <c r="L779" s="35">
        <f>VENTAS[[#This Row],[Total]]-VENTAS[[#This Row],[Comisión 10%]]-VENTAS[[#This Row],[Costo SIN Comision]]</f>
        <v>31.62</v>
      </c>
      <c r="M779" s="35"/>
    </row>
    <row r="780" ht="20" customHeight="1" spans="1:13">
      <c r="A780" s="29">
        <v>45364</v>
      </c>
      <c r="B780" s="30"/>
      <c r="C780" s="30"/>
      <c r="D780" s="30"/>
      <c r="E780" s="30" t="s">
        <v>1696</v>
      </c>
      <c r="F780" s="34" t="str">
        <f>IFERROR(VLOOKUP(VENTAS[[#This Row],[Código del producto Vendido]],STOCK[],5,FALSE),"-")</f>
        <v>Jean Mom con bajo descosido</v>
      </c>
      <c r="G780" s="34">
        <v>1</v>
      </c>
      <c r="H780" s="35">
        <v>30</v>
      </c>
      <c r="I780" s="35">
        <f>VENTAS[[#This Row],[Cantidad]]*VENTAS[[#This Row],[Precio Venta]]</f>
        <v>30</v>
      </c>
      <c r="J780" s="35">
        <f>IF(VENTAS[[#This Row],[Nombre del Gestor]]&gt;1,VENTAS[[#This Row],[Total]]*10%,0)</f>
        <v>0</v>
      </c>
      <c r="K780" s="35">
        <f>IFERROR(VLOOKUP(VENTAS[[#This Row],[Código del producto Vendido]],STOCK[],16,FALSE)*VENTAS[[#This Row],[Cantidad]]+VLOOKUP(VENTAS[[#This Row],[Código del producto Vendido]],STOCK[],19,FALSE)*VENTAS[[#This Row],[Cantidad]],VENTAS[[#This Row],[Total]])</f>
        <v>20.5</v>
      </c>
      <c r="L780" s="35">
        <f>VENTAS[[#This Row],[Total]]-VENTAS[[#This Row],[Comisión 10%]]-VENTAS[[#This Row],[Costo SIN Comision]]</f>
        <v>9.5</v>
      </c>
      <c r="M780" s="35"/>
    </row>
    <row r="781" ht="20" customHeight="1" spans="1:13">
      <c r="A781" s="29">
        <v>45365</v>
      </c>
      <c r="B781" s="30"/>
      <c r="C781" s="30"/>
      <c r="D781" s="30"/>
      <c r="E781" s="30" t="s">
        <v>1414</v>
      </c>
      <c r="F781" s="34" t="str">
        <f>IFERROR(VLOOKUP(VENTAS[[#This Row],[Código del producto Vendido]],STOCK[],5,FALSE),"-")</f>
        <v>Jean MOM con rotos</v>
      </c>
      <c r="G781" s="34">
        <v>1</v>
      </c>
      <c r="H781" s="35">
        <v>32</v>
      </c>
      <c r="I781" s="35">
        <f>VENTAS[[#This Row],[Cantidad]]*VENTAS[[#This Row],[Precio Venta]]</f>
        <v>32</v>
      </c>
      <c r="J781" s="35">
        <f>IF(VENTAS[[#This Row],[Nombre del Gestor]]&gt;1,VENTAS[[#This Row],[Total]]*10%,0)</f>
        <v>0</v>
      </c>
      <c r="K781" s="35">
        <f>IFERROR(VLOOKUP(VENTAS[[#This Row],[Código del producto Vendido]],STOCK[],16,FALSE)*VENTAS[[#This Row],[Cantidad]]+VLOOKUP(VENTAS[[#This Row],[Código del producto Vendido]],STOCK[],19,FALSE)*VENTAS[[#This Row],[Cantidad]],VENTAS[[#This Row],[Total]])</f>
        <v>20</v>
      </c>
      <c r="L781" s="35">
        <f>VENTAS[[#This Row],[Total]]-VENTAS[[#This Row],[Comisión 10%]]-VENTAS[[#This Row],[Costo SIN Comision]]</f>
        <v>12</v>
      </c>
      <c r="M781" s="35"/>
    </row>
    <row r="782" ht="20" customHeight="1" spans="1:13">
      <c r="A782" s="29">
        <v>45366</v>
      </c>
      <c r="B782" s="30"/>
      <c r="C782" s="30"/>
      <c r="D782" s="30" t="s">
        <v>3481</v>
      </c>
      <c r="E782" s="30" t="s">
        <v>129</v>
      </c>
      <c r="F782" s="34" t="str">
        <f>IFERROR(VLOOKUP(VENTAS[[#This Row],[Código del producto Vendido]],STOCK[],5,FALSE),"-")</f>
        <v>Bibiki niñita Pez</v>
      </c>
      <c r="G782" s="34">
        <v>1</v>
      </c>
      <c r="H782" s="35">
        <v>18</v>
      </c>
      <c r="I782" s="35">
        <f>VENTAS[[#This Row],[Cantidad]]*VENTAS[[#This Row],[Precio Venta]]</f>
        <v>18</v>
      </c>
      <c r="J782" s="35">
        <f>IF(VENTAS[[#This Row],[Nombre del Gestor]]&gt;1,VENTAS[[#This Row],[Total]]*10%,0)</f>
        <v>1.8</v>
      </c>
      <c r="K782" s="35">
        <f>IFERROR(VLOOKUP(VENTAS[[#This Row],[Código del producto Vendido]],STOCK[],16,FALSE)*VENTAS[[#This Row],[Cantidad]]+VLOOKUP(VENTAS[[#This Row],[Código del producto Vendido]],STOCK[],19,FALSE)*VENTAS[[#This Row],[Cantidad]],VENTAS[[#This Row],[Total]])</f>
        <v>11.0988888888889</v>
      </c>
      <c r="L782" s="35">
        <f>VENTAS[[#This Row],[Total]]-VENTAS[[#This Row],[Comisión 10%]]-VENTAS[[#This Row],[Costo SIN Comision]]</f>
        <v>5.10111111111111</v>
      </c>
      <c r="M782" s="35"/>
    </row>
    <row r="783" ht="20" customHeight="1" spans="1:13">
      <c r="A783" s="29">
        <v>45367</v>
      </c>
      <c r="B783" s="30"/>
      <c r="C783" s="30"/>
      <c r="D783" s="30" t="s">
        <v>3481</v>
      </c>
      <c r="E783" s="30" t="s">
        <v>1414</v>
      </c>
      <c r="F783" s="34" t="str">
        <f>IFERROR(VLOOKUP(VENTAS[[#This Row],[Código del producto Vendido]],STOCK[],5,FALSE),"-")</f>
        <v>Jean MOM con rotos</v>
      </c>
      <c r="G783" s="34">
        <v>1</v>
      </c>
      <c r="H783" s="35">
        <v>32</v>
      </c>
      <c r="I783" s="35">
        <f>VENTAS[[#This Row],[Cantidad]]*VENTAS[[#This Row],[Precio Venta]]</f>
        <v>32</v>
      </c>
      <c r="J783" s="35">
        <f>IF(VENTAS[[#This Row],[Nombre del Gestor]]&gt;1,VENTAS[[#This Row],[Total]]*10%,0)</f>
        <v>3.2</v>
      </c>
      <c r="K783" s="35">
        <f>IFERROR(VLOOKUP(VENTAS[[#This Row],[Código del producto Vendido]],STOCK[],16,FALSE)*VENTAS[[#This Row],[Cantidad]]+VLOOKUP(VENTAS[[#This Row],[Código del producto Vendido]],STOCK[],19,FALSE)*VENTAS[[#This Row],[Cantidad]],VENTAS[[#This Row],[Total]])</f>
        <v>20</v>
      </c>
      <c r="L783" s="35">
        <f>VENTAS[[#This Row],[Total]]-VENTAS[[#This Row],[Comisión 10%]]-VENTAS[[#This Row],[Costo SIN Comision]]</f>
        <v>8.8</v>
      </c>
      <c r="M783" s="35"/>
    </row>
    <row r="784" ht="20" customHeight="1" spans="1:13">
      <c r="A784" s="29">
        <v>45368</v>
      </c>
      <c r="B784" s="30"/>
      <c r="C784" s="30"/>
      <c r="D784" s="30" t="s">
        <v>3481</v>
      </c>
      <c r="E784" s="30" t="s">
        <v>1301</v>
      </c>
      <c r="F784" s="34" t="str">
        <f>IFERROR(VLOOKUP(VENTAS[[#This Row],[Código del producto Vendido]],STOCK[],5,FALSE),"-")</f>
        <v>Jean ajustado Claro</v>
      </c>
      <c r="G784" s="34">
        <v>1</v>
      </c>
      <c r="H784" s="35">
        <v>32</v>
      </c>
      <c r="I784" s="35">
        <f>VENTAS[[#This Row],[Cantidad]]*VENTAS[[#This Row],[Precio Venta]]</f>
        <v>32</v>
      </c>
      <c r="J784" s="35">
        <f>IF(VENTAS[[#This Row],[Nombre del Gestor]]&gt;1,VENTAS[[#This Row],[Total]]*10%,0)</f>
        <v>3.2</v>
      </c>
      <c r="K784" s="35">
        <f>IFERROR(VLOOKUP(VENTAS[[#This Row],[Código del producto Vendido]],STOCK[],16,FALSE)*VENTAS[[#This Row],[Cantidad]]+VLOOKUP(VENTAS[[#This Row],[Código del producto Vendido]],STOCK[],19,FALSE)*VENTAS[[#This Row],[Cantidad]],VENTAS[[#This Row],[Total]])</f>
        <v>23.79</v>
      </c>
      <c r="L784" s="35">
        <f>VENTAS[[#This Row],[Total]]-VENTAS[[#This Row],[Comisión 10%]]-VENTAS[[#This Row],[Costo SIN Comision]]</f>
        <v>5.01</v>
      </c>
      <c r="M784" s="35"/>
    </row>
    <row r="785" ht="20" customHeight="1" spans="1:13">
      <c r="A785" s="29">
        <v>45366</v>
      </c>
      <c r="B785" s="30"/>
      <c r="C785" s="30"/>
      <c r="D785" s="30"/>
      <c r="E785" s="30" t="s">
        <v>1395</v>
      </c>
      <c r="F785" s="34" t="str">
        <f>IFERROR(VLOOKUP(VENTAS[[#This Row],[Código del producto Vendido]],STOCK[],5,FALSE),"-")</f>
        <v>Camiseta acanalada de bajo asimétrico blanco</v>
      </c>
      <c r="G785" s="34">
        <v>1</v>
      </c>
      <c r="H785" s="35">
        <v>12</v>
      </c>
      <c r="I785" s="35">
        <f>VENTAS[[#This Row],[Cantidad]]*VENTAS[[#This Row],[Precio Venta]]</f>
        <v>12</v>
      </c>
      <c r="J785" s="35">
        <f>IF(VENTAS[[#This Row],[Nombre del Gestor]]&gt;1,VENTAS[[#This Row],[Total]]*10%,0)</f>
        <v>0</v>
      </c>
      <c r="K785" s="35">
        <f>IFERROR(VLOOKUP(VENTAS[[#This Row],[Código del producto Vendido]],STOCK[],16,FALSE)*VENTAS[[#This Row],[Cantidad]]+VLOOKUP(VENTAS[[#This Row],[Código del producto Vendido]],STOCK[],19,FALSE)*VENTAS[[#This Row],[Cantidad]],VENTAS[[#This Row],[Total]])</f>
        <v>9</v>
      </c>
      <c r="L785" s="35">
        <f>VENTAS[[#This Row],[Total]]-VENTAS[[#This Row],[Comisión 10%]]-VENTAS[[#This Row],[Costo SIN Comision]]</f>
        <v>3</v>
      </c>
      <c r="M785" s="35"/>
    </row>
    <row r="786" ht="20" customHeight="1" spans="1:13">
      <c r="A786" s="29">
        <v>45367</v>
      </c>
      <c r="B786" s="30"/>
      <c r="C786" s="30"/>
      <c r="D786" s="30"/>
      <c r="E786" s="30" t="s">
        <v>1309</v>
      </c>
      <c r="F786" s="34" t="str">
        <f>IFERROR(VLOOKUP(VENTAS[[#This Row],[Código del producto Vendido]],STOCK[],5,FALSE),"-")</f>
        <v>Short de mezclilla suave con cinturón</v>
      </c>
      <c r="G786" s="34">
        <v>1</v>
      </c>
      <c r="H786" s="35">
        <v>19</v>
      </c>
      <c r="I786" s="35">
        <f>VENTAS[[#This Row],[Cantidad]]*VENTAS[[#This Row],[Precio Venta]]</f>
        <v>19</v>
      </c>
      <c r="J786" s="35">
        <f>IF(VENTAS[[#This Row],[Nombre del Gestor]]&gt;1,VENTAS[[#This Row],[Total]]*10%,0)</f>
        <v>0</v>
      </c>
      <c r="K786" s="35">
        <f>IFERROR(VLOOKUP(VENTAS[[#This Row],[Código del producto Vendido]],STOCK[],16,FALSE)*VENTAS[[#This Row],[Cantidad]]+VLOOKUP(VENTAS[[#This Row],[Código del producto Vendido]],STOCK[],19,FALSE)*VENTAS[[#This Row],[Cantidad]],VENTAS[[#This Row],[Total]])</f>
        <v>11</v>
      </c>
      <c r="L786" s="35">
        <f>VENTAS[[#This Row],[Total]]-VENTAS[[#This Row],[Comisión 10%]]-VENTAS[[#This Row],[Costo SIN Comision]]</f>
        <v>8</v>
      </c>
      <c r="M786" s="35"/>
    </row>
    <row r="787" ht="20" customHeight="1" spans="1:13">
      <c r="A787" s="29">
        <v>45368</v>
      </c>
      <c r="B787" s="30"/>
      <c r="C787" s="30"/>
      <c r="D787" s="30"/>
      <c r="E787" s="30" t="s">
        <v>1464</v>
      </c>
      <c r="F787" s="34" t="str">
        <f>IFERROR(VLOOKUP(VENTAS[[#This Row],[Código del producto Vendido]],STOCK[],5,FALSE),"-")</f>
        <v>Bermuda negra denim</v>
      </c>
      <c r="G787" s="34">
        <v>1</v>
      </c>
      <c r="H787" s="35">
        <v>20</v>
      </c>
      <c r="I787" s="35">
        <f>VENTAS[[#This Row],[Cantidad]]*VENTAS[[#This Row],[Precio Venta]]</f>
        <v>20</v>
      </c>
      <c r="J787" s="35">
        <f>IF(VENTAS[[#This Row],[Nombre del Gestor]]&gt;1,VENTAS[[#This Row],[Total]]*10%,0)</f>
        <v>0</v>
      </c>
      <c r="K787" s="35">
        <f>IFERROR(VLOOKUP(VENTAS[[#This Row],[Código del producto Vendido]],STOCK[],16,FALSE)*VENTAS[[#This Row],[Cantidad]]+VLOOKUP(VENTAS[[#This Row],[Código del producto Vendido]],STOCK[],19,FALSE)*VENTAS[[#This Row],[Cantidad]],VENTAS[[#This Row],[Total]])</f>
        <v>17</v>
      </c>
      <c r="L787" s="35">
        <f>VENTAS[[#This Row],[Total]]-VENTAS[[#This Row],[Comisión 10%]]-VENTAS[[#This Row],[Costo SIN Comision]]</f>
        <v>3</v>
      </c>
      <c r="M787" s="35"/>
    </row>
    <row r="788" ht="20" customHeight="1" spans="1:13">
      <c r="A788" s="29">
        <v>45369</v>
      </c>
      <c r="B788" s="30"/>
      <c r="C788" s="30"/>
      <c r="D788" s="30"/>
      <c r="E788" s="30" t="s">
        <v>1509</v>
      </c>
      <c r="F788" s="34" t="str">
        <f>IFERROR(VLOOKUP(VENTAS[[#This Row],[Código del producto Vendido]],STOCK[],5,FALSE),"-")</f>
        <v>Pantalón acampanado Blanco</v>
      </c>
      <c r="G788" s="34">
        <v>1</v>
      </c>
      <c r="H788" s="35">
        <v>28</v>
      </c>
      <c r="I788" s="35">
        <f>VENTAS[[#This Row],[Cantidad]]*VENTAS[[#This Row],[Precio Venta]]</f>
        <v>28</v>
      </c>
      <c r="J788" s="35">
        <f>IF(VENTAS[[#This Row],[Nombre del Gestor]]&gt;1,VENTAS[[#This Row],[Total]]*10%,0)</f>
        <v>0</v>
      </c>
      <c r="K788" s="35">
        <f>IFERROR(VLOOKUP(VENTAS[[#This Row],[Código del producto Vendido]],STOCK[],16,FALSE)*VENTAS[[#This Row],[Cantidad]]+VLOOKUP(VENTAS[[#This Row],[Código del producto Vendido]],STOCK[],19,FALSE)*VENTAS[[#This Row],[Cantidad]],VENTAS[[#This Row],[Total]])</f>
        <v>16.5</v>
      </c>
      <c r="L788" s="35">
        <f>VENTAS[[#This Row],[Total]]-VENTAS[[#This Row],[Comisión 10%]]-VENTAS[[#This Row],[Costo SIN Comision]]</f>
        <v>11.5</v>
      </c>
      <c r="M788" s="35"/>
    </row>
    <row r="789" ht="20" customHeight="1" spans="1:13">
      <c r="A789" s="30"/>
      <c r="B789" s="30"/>
      <c r="C789" s="30"/>
      <c r="D789" s="30"/>
      <c r="E789" s="30" t="s">
        <v>1744</v>
      </c>
      <c r="F789" s="34" t="str">
        <f>IFERROR(VLOOKUP(VENTAS[[#This Row],[Código del producto Vendido]],STOCK[],5,FALSE),"-")</f>
        <v>Traje de baño blanco sexy </v>
      </c>
      <c r="G789" s="34">
        <v>1</v>
      </c>
      <c r="H789" s="35">
        <v>20</v>
      </c>
      <c r="I789" s="35">
        <f>VENTAS[[#This Row],[Cantidad]]*VENTAS[[#This Row],[Precio Venta]]</f>
        <v>20</v>
      </c>
      <c r="J789" s="35">
        <f>IF(VENTAS[[#This Row],[Nombre del Gestor]]&gt;1,VENTAS[[#This Row],[Total]]*10%,0)</f>
        <v>0</v>
      </c>
      <c r="K789" s="35">
        <f>IFERROR(VLOOKUP(VENTAS[[#This Row],[Código del producto Vendido]],STOCK[],16,FALSE)*VENTAS[[#This Row],[Cantidad]]+VLOOKUP(VENTAS[[#This Row],[Código del producto Vendido]],STOCK[],19,FALSE)*VENTAS[[#This Row],[Cantidad]],VENTAS[[#This Row],[Total]])</f>
        <v>9.58823529411765</v>
      </c>
      <c r="L789" s="35">
        <f>VENTAS[[#This Row],[Total]]-VENTAS[[#This Row],[Comisión 10%]]-VENTAS[[#This Row],[Costo SIN Comision]]</f>
        <v>10.4117647058823</v>
      </c>
      <c r="M789" s="35" t="s">
        <v>3482</v>
      </c>
    </row>
    <row r="790" ht="20" customHeight="1" spans="1:13">
      <c r="A790" s="30"/>
      <c r="B790" s="30"/>
      <c r="C790" s="30" t="s">
        <v>3321</v>
      </c>
      <c r="D790" s="30"/>
      <c r="E790" s="30" t="s">
        <v>1738</v>
      </c>
      <c r="F790" s="34" t="str">
        <f>IFERROR(VLOOKUP(VENTAS[[#This Row],[Código del producto Vendido]],STOCK[],5,FALSE),"-")</f>
        <v>Chaleco de traje Blanco</v>
      </c>
      <c r="G790" s="34">
        <v>1</v>
      </c>
      <c r="H790" s="35">
        <v>25</v>
      </c>
      <c r="I790" s="35">
        <f>VENTAS[[#This Row],[Cantidad]]*VENTAS[[#This Row],[Precio Venta]]</f>
        <v>25</v>
      </c>
      <c r="J790" s="35">
        <f>IF(VENTAS[[#This Row],[Nombre del Gestor]]&gt;1,VENTAS[[#This Row],[Total]]*10%,0)</f>
        <v>0</v>
      </c>
      <c r="K790" s="35">
        <f>IFERROR(VLOOKUP(VENTAS[[#This Row],[Código del producto Vendido]],STOCK[],16,FALSE)*VENTAS[[#This Row],[Cantidad]]+VLOOKUP(VENTAS[[#This Row],[Código del producto Vendido]],STOCK[],19,FALSE)*VENTAS[[#This Row],[Cantidad]],VENTAS[[#This Row],[Total]])</f>
        <v>17.9411764705882</v>
      </c>
      <c r="L790" s="35">
        <f>VENTAS[[#This Row],[Total]]-VENTAS[[#This Row],[Comisión 10%]]-VENTAS[[#This Row],[Costo SIN Comision]]</f>
        <v>7.0588235294118</v>
      </c>
      <c r="M790" s="35"/>
    </row>
    <row r="791" ht="20" customHeight="1" spans="1:13">
      <c r="A791" s="30"/>
      <c r="B791" s="30"/>
      <c r="C791" s="30"/>
      <c r="D791" s="30"/>
      <c r="E791" s="30" t="s">
        <v>1673</v>
      </c>
      <c r="F791" s="34" t="str">
        <f>IFERROR(VLOOKUP(VENTAS[[#This Row],[Código del producto Vendido]],STOCK[],5,FALSE),"-")</f>
        <v>Conjunto Beis</v>
      </c>
      <c r="G791" s="34">
        <v>1</v>
      </c>
      <c r="H791" s="35">
        <v>28</v>
      </c>
      <c r="I791" s="35">
        <f>VENTAS[[#This Row],[Cantidad]]*VENTAS[[#This Row],[Precio Venta]]</f>
        <v>28</v>
      </c>
      <c r="J791" s="35">
        <f>IF(VENTAS[[#This Row],[Nombre del Gestor]]&gt;1,VENTAS[[#This Row],[Total]]*10%,0)</f>
        <v>0</v>
      </c>
      <c r="K791" s="35">
        <f>IFERROR(VLOOKUP(VENTAS[[#This Row],[Código del producto Vendido]],STOCK[],16,FALSE)*VENTAS[[#This Row],[Cantidad]]+VLOOKUP(VENTAS[[#This Row],[Código del producto Vendido]],STOCK[],19,FALSE)*VENTAS[[#This Row],[Cantidad]],VENTAS[[#This Row],[Total]])</f>
        <v>16.7</v>
      </c>
      <c r="L791" s="35">
        <f>VENTAS[[#This Row],[Total]]-VENTAS[[#This Row],[Comisión 10%]]-VENTAS[[#This Row],[Costo SIN Comision]]</f>
        <v>11.3</v>
      </c>
      <c r="M791" s="35"/>
    </row>
    <row r="792" ht="20" customHeight="1" spans="1:13">
      <c r="A792" s="30"/>
      <c r="B792" s="30"/>
      <c r="C792" s="30"/>
      <c r="D792" s="30"/>
      <c r="E792" s="30" t="s">
        <v>1622</v>
      </c>
      <c r="F792" s="34" t="str">
        <f>IFERROR(VLOOKUP(VENTAS[[#This Row],[Código del producto Vendido]],STOCK[],5,FALSE),"-")</f>
        <v>Vestido Tarsha</v>
      </c>
      <c r="G792" s="34">
        <v>1</v>
      </c>
      <c r="H792" s="35">
        <v>27</v>
      </c>
      <c r="I792" s="35">
        <f>VENTAS[[#This Row],[Cantidad]]*VENTAS[[#This Row],[Precio Venta]]</f>
        <v>27</v>
      </c>
      <c r="J792" s="35">
        <f>IF(VENTAS[[#This Row],[Nombre del Gestor]]&gt;1,VENTAS[[#This Row],[Total]]*10%,0)</f>
        <v>0</v>
      </c>
      <c r="K792" s="35">
        <f>IFERROR(VLOOKUP(VENTAS[[#This Row],[Código del producto Vendido]],STOCK[],16,FALSE)*VENTAS[[#This Row],[Cantidad]]+VLOOKUP(VENTAS[[#This Row],[Código del producto Vendido]],STOCK[],19,FALSE)*VENTAS[[#This Row],[Cantidad]],VENTAS[[#This Row],[Total]])</f>
        <v>13.97</v>
      </c>
      <c r="L792" s="35">
        <f>VENTAS[[#This Row],[Total]]-VENTAS[[#This Row],[Comisión 10%]]-VENTAS[[#This Row],[Costo SIN Comision]]</f>
        <v>13.03</v>
      </c>
      <c r="M792" s="35"/>
    </row>
    <row r="793" ht="20" customHeight="1" spans="1:13">
      <c r="A793" s="30"/>
      <c r="B793" s="30"/>
      <c r="C793" s="30"/>
      <c r="D793" s="30"/>
      <c r="E793" s="30" t="s">
        <v>1624</v>
      </c>
      <c r="F793" s="34" t="str">
        <f>IFERROR(VLOOKUP(VENTAS[[#This Row],[Código del producto Vendido]],STOCK[],5,FALSE),"-")</f>
        <v>Vestido Tarsha</v>
      </c>
      <c r="G793" s="34">
        <v>1</v>
      </c>
      <c r="H793" s="35">
        <v>27</v>
      </c>
      <c r="I793" s="35">
        <f>VENTAS[[#This Row],[Cantidad]]*VENTAS[[#This Row],[Precio Venta]]</f>
        <v>27</v>
      </c>
      <c r="J793" s="35">
        <f>IF(VENTAS[[#This Row],[Nombre del Gestor]]&gt;1,VENTAS[[#This Row],[Total]]*10%,0)</f>
        <v>0</v>
      </c>
      <c r="K793" s="35">
        <f>IFERROR(VLOOKUP(VENTAS[[#This Row],[Código del producto Vendido]],STOCK[],16,FALSE)*VENTAS[[#This Row],[Cantidad]]+VLOOKUP(VENTAS[[#This Row],[Código del producto Vendido]],STOCK[],19,FALSE)*VENTAS[[#This Row],[Cantidad]],VENTAS[[#This Row],[Total]])</f>
        <v>13.97</v>
      </c>
      <c r="L793" s="35">
        <f>VENTAS[[#This Row],[Total]]-VENTAS[[#This Row],[Comisión 10%]]-VENTAS[[#This Row],[Costo SIN Comision]]</f>
        <v>13.03</v>
      </c>
      <c r="M793" s="35"/>
    </row>
    <row r="794" ht="20" customHeight="1" spans="1:13">
      <c r="A794" s="29">
        <v>45363</v>
      </c>
      <c r="B794" s="30"/>
      <c r="C794" s="30"/>
      <c r="D794" s="30" t="s">
        <v>3481</v>
      </c>
      <c r="E794" s="30" t="s">
        <v>1805</v>
      </c>
      <c r="F794" s="34" t="str">
        <f>IFERROR(VLOOKUP(VENTAS[[#This Row],[Código del producto Vendido]],STOCK[],5,FALSE),"-")</f>
        <v>Pasador de cabello en forma de lazo</v>
      </c>
      <c r="G794" s="34">
        <v>1</v>
      </c>
      <c r="H794" s="35">
        <v>3</v>
      </c>
      <c r="I794" s="35">
        <f>VENTAS[[#This Row],[Cantidad]]*VENTAS[[#This Row],[Precio Venta]]</f>
        <v>3</v>
      </c>
      <c r="J794" s="35">
        <f>IF(VENTAS[[#This Row],[Nombre del Gestor]]&gt;1,VENTAS[[#This Row],[Total]]*10%,0)</f>
        <v>0.3</v>
      </c>
      <c r="K794" s="35">
        <f>IFERROR(VLOOKUP(VENTAS[[#This Row],[Código del producto Vendido]],STOCK[],16,FALSE)*VENTAS[[#This Row],[Cantidad]]+VLOOKUP(VENTAS[[#This Row],[Código del producto Vendido]],STOCK[],19,FALSE)*VENTAS[[#This Row],[Cantidad]],VENTAS[[#This Row],[Total]])</f>
        <v>1.73529411764706</v>
      </c>
      <c r="L794" s="35">
        <f>VENTAS[[#This Row],[Total]]-VENTAS[[#This Row],[Comisión 10%]]-VENTAS[[#This Row],[Costo SIN Comision]]</f>
        <v>0.96470588235294</v>
      </c>
      <c r="M794" s="35"/>
    </row>
    <row r="795" ht="20" customHeight="1" spans="1:13">
      <c r="A795" s="29">
        <v>45363</v>
      </c>
      <c r="B795" s="30"/>
      <c r="C795" s="30"/>
      <c r="D795" s="30" t="s">
        <v>3481</v>
      </c>
      <c r="E795" s="30" t="s">
        <v>1159</v>
      </c>
      <c r="F795" s="34" t="str">
        <f>IFERROR(VLOOKUP(VENTAS[[#This Row],[Código del producto Vendido]],STOCK[],5,FALSE),"-")</f>
        <v>Pezoneras de silicona</v>
      </c>
      <c r="G795" s="34">
        <v>1</v>
      </c>
      <c r="H795" s="35">
        <v>5</v>
      </c>
      <c r="I795" s="35">
        <f>VENTAS[[#This Row],[Cantidad]]*VENTAS[[#This Row],[Precio Venta]]</f>
        <v>5</v>
      </c>
      <c r="J795" s="35">
        <f>IF(VENTAS[[#This Row],[Nombre del Gestor]]&gt;1,VENTAS[[#This Row],[Total]]*10%,0)</f>
        <v>0.5</v>
      </c>
      <c r="K795" s="35">
        <f>IFERROR(VLOOKUP(VENTAS[[#This Row],[Código del producto Vendido]],STOCK[],16,FALSE)*VENTAS[[#This Row],[Cantidad]]+VLOOKUP(VENTAS[[#This Row],[Código del producto Vendido]],STOCK[],19,FALSE)*VENTAS[[#This Row],[Cantidad]],VENTAS[[#This Row],[Total]])</f>
        <v>2.03</v>
      </c>
      <c r="L795" s="35">
        <f>VENTAS[[#This Row],[Total]]-VENTAS[[#This Row],[Comisión 10%]]-VENTAS[[#This Row],[Costo SIN Comision]]</f>
        <v>2.47</v>
      </c>
      <c r="M795" s="35"/>
    </row>
    <row r="796" ht="20" customHeight="1" spans="1:13">
      <c r="A796" s="29">
        <v>45367</v>
      </c>
      <c r="B796" s="30"/>
      <c r="C796" s="30"/>
      <c r="D796" s="30"/>
      <c r="E796" s="30" t="s">
        <v>2016</v>
      </c>
      <c r="F796" s="34" t="str">
        <f>IFERROR(VLOOKUP(VENTAS[[#This Row],[Código del producto Vendido]],STOCK[],5,FALSE),"-")</f>
        <v>Jogger afelpado de talle alto (Nuevo)</v>
      </c>
      <c r="G796" s="34">
        <v>1</v>
      </c>
      <c r="H796" s="35">
        <v>22</v>
      </c>
      <c r="I796" s="35">
        <f>VENTAS[[#This Row],[Cantidad]]*VENTAS[[#This Row],[Precio Venta]]</f>
        <v>22</v>
      </c>
      <c r="J796" s="35">
        <f>IF(VENTAS[[#This Row],[Nombre del Gestor]]&gt;1,VENTAS[[#This Row],[Total]]*10%,0)</f>
        <v>0</v>
      </c>
      <c r="K796" s="35">
        <f>IFERROR(VLOOKUP(VENTAS[[#This Row],[Código del producto Vendido]],STOCK[],16,FALSE)*VENTAS[[#This Row],[Cantidad]]+VLOOKUP(VENTAS[[#This Row],[Código del producto Vendido]],STOCK[],19,FALSE)*VENTAS[[#This Row],[Cantidad]],VENTAS[[#This Row],[Total]])</f>
        <v>0</v>
      </c>
      <c r="L796" s="35">
        <f>VENTAS[[#This Row],[Total]]-VENTAS[[#This Row],[Comisión 10%]]-VENTAS[[#This Row],[Costo SIN Comision]]</f>
        <v>22</v>
      </c>
      <c r="M796" s="35" t="s">
        <v>3483</v>
      </c>
    </row>
    <row r="797" ht="20" customHeight="1" spans="1:13">
      <c r="A797" s="29">
        <v>45367</v>
      </c>
      <c r="B797" s="30"/>
      <c r="C797" s="30"/>
      <c r="D797" s="30" t="s">
        <v>3462</v>
      </c>
      <c r="E797" s="30" t="s">
        <v>1568</v>
      </c>
      <c r="F797" s="34" t="str">
        <f>IFERROR(VLOOKUP(VENTAS[[#This Row],[Código del producto Vendido]],STOCK[],5,FALSE),"-")</f>
        <v>Sandalias de tiras</v>
      </c>
      <c r="G797" s="34">
        <v>1</v>
      </c>
      <c r="H797" s="35">
        <v>25</v>
      </c>
      <c r="I797" s="35">
        <f>VENTAS[[#This Row],[Cantidad]]*VENTAS[[#This Row],[Precio Venta]]</f>
        <v>25</v>
      </c>
      <c r="J797" s="35">
        <f>IF(VENTAS[[#This Row],[Nombre del Gestor]]&gt;1,VENTAS[[#This Row],[Total]]*10%,0)</f>
        <v>2.5</v>
      </c>
      <c r="K797" s="35">
        <f>IFERROR(VLOOKUP(VENTAS[[#This Row],[Código del producto Vendido]],STOCK[],16,FALSE)*VENTAS[[#This Row],[Cantidad]]+VLOOKUP(VENTAS[[#This Row],[Código del producto Vendido]],STOCK[],19,FALSE)*VENTAS[[#This Row],[Cantidad]],VENTAS[[#This Row],[Total]])</f>
        <v>14</v>
      </c>
      <c r="L797" s="35">
        <f>VENTAS[[#This Row],[Total]]-VENTAS[[#This Row],[Comisión 10%]]-VENTAS[[#This Row],[Costo SIN Comision]]</f>
        <v>8.5</v>
      </c>
      <c r="M797" s="35"/>
    </row>
    <row r="798" ht="20" customHeight="1" spans="1:13">
      <c r="A798" s="29">
        <v>45371</v>
      </c>
      <c r="B798" s="30"/>
      <c r="C798" s="30" t="s">
        <v>3484</v>
      </c>
      <c r="D798" s="30" t="s">
        <v>3368</v>
      </c>
      <c r="E798" s="30" t="s">
        <v>1727</v>
      </c>
      <c r="F798" s="34" t="str">
        <f>IFERROR(VLOOKUP(VENTAS[[#This Row],[Código del producto Vendido]],STOCK[],5,FALSE),"-")</f>
        <v>Chaleco de traje Crema</v>
      </c>
      <c r="G798" s="34">
        <v>1</v>
      </c>
      <c r="H798" s="35">
        <v>25</v>
      </c>
      <c r="I798" s="35">
        <f>VENTAS[[#This Row],[Cantidad]]*VENTAS[[#This Row],[Precio Venta]]</f>
        <v>25</v>
      </c>
      <c r="J798" s="35">
        <f>IF(VENTAS[[#This Row],[Nombre del Gestor]]&gt;1,VENTAS[[#This Row],[Total]]*10%,0)</f>
        <v>2.5</v>
      </c>
      <c r="K798" s="35">
        <f>IFERROR(VLOOKUP(VENTAS[[#This Row],[Código del producto Vendido]],STOCK[],16,FALSE)*VENTAS[[#This Row],[Cantidad]]+VLOOKUP(VENTAS[[#This Row],[Código del producto Vendido]],STOCK[],19,FALSE)*VENTAS[[#This Row],[Cantidad]],VENTAS[[#This Row],[Total]])</f>
        <v>17.9411764705882</v>
      </c>
      <c r="L798" s="35">
        <f>VENTAS[[#This Row],[Total]]-VENTAS[[#This Row],[Comisión 10%]]-VENTAS[[#This Row],[Costo SIN Comision]]</f>
        <v>4.5588235294118</v>
      </c>
      <c r="M798" s="35"/>
    </row>
    <row r="799" ht="20" customHeight="1" spans="1:13">
      <c r="A799" s="29">
        <v>45372</v>
      </c>
      <c r="B799" s="30"/>
      <c r="C799" s="30" t="s">
        <v>3485</v>
      </c>
      <c r="D799" s="30"/>
      <c r="E799" s="30" t="s">
        <v>1607</v>
      </c>
      <c r="F799" s="34" t="str">
        <f>IFERROR(VLOOKUP(VENTAS[[#This Row],[Código del producto Vendido]],STOCK[],5,FALSE),"-")</f>
        <v>Vestido camisero con estampado floral </v>
      </c>
      <c r="G799" s="34">
        <v>1</v>
      </c>
      <c r="H799" s="35">
        <v>35</v>
      </c>
      <c r="I799" s="35">
        <f>VENTAS[[#This Row],[Cantidad]]*VENTAS[[#This Row],[Precio Venta]]</f>
        <v>35</v>
      </c>
      <c r="J799" s="35">
        <f>IF(VENTAS[[#This Row],[Nombre del Gestor]]&gt;1,VENTAS[[#This Row],[Total]]*10%,0)</f>
        <v>0</v>
      </c>
      <c r="K799" s="35">
        <f>IFERROR(VLOOKUP(VENTAS[[#This Row],[Código del producto Vendido]],STOCK[],16,FALSE)*VENTAS[[#This Row],[Cantidad]]+VLOOKUP(VENTAS[[#This Row],[Código del producto Vendido]],STOCK[],19,FALSE)*VENTAS[[#This Row],[Cantidad]],VENTAS[[#This Row],[Total]])</f>
        <v>14.84</v>
      </c>
      <c r="L799" s="35">
        <f>VENTAS[[#This Row],[Total]]-VENTAS[[#This Row],[Comisión 10%]]-VENTAS[[#This Row],[Costo SIN Comision]]</f>
        <v>20.16</v>
      </c>
      <c r="M799" s="35"/>
    </row>
    <row r="800" ht="20" customHeight="1" spans="1:13">
      <c r="A800" s="29">
        <v>45361</v>
      </c>
      <c r="B800" s="30"/>
      <c r="C800" s="30" t="s">
        <v>3480</v>
      </c>
      <c r="D800" s="30"/>
      <c r="E800" s="30" t="s">
        <v>1614</v>
      </c>
      <c r="F800" s="34" t="str">
        <f>IFERROR(VLOOKUP(VENTAS[[#This Row],[Código del producto Vendido]],STOCK[],5,FALSE),"-")</f>
        <v>Vestido largo estampado</v>
      </c>
      <c r="G800" s="34">
        <v>1</v>
      </c>
      <c r="H800" s="35">
        <v>35</v>
      </c>
      <c r="I800" s="35">
        <f>VENTAS[[#This Row],[Cantidad]]*VENTAS[[#This Row],[Precio Venta]]</f>
        <v>35</v>
      </c>
      <c r="J800" s="35">
        <f>IF(VENTAS[[#This Row],[Nombre del Gestor]]&gt;1,VENTAS[[#This Row],[Total]]*10%,0)</f>
        <v>0</v>
      </c>
      <c r="K800" s="35">
        <f>IFERROR(VLOOKUP(VENTAS[[#This Row],[Código del producto Vendido]],STOCK[],16,FALSE)*VENTAS[[#This Row],[Cantidad]]+VLOOKUP(VENTAS[[#This Row],[Código del producto Vendido]],STOCK[],19,FALSE)*VENTAS[[#This Row],[Cantidad]],VENTAS[[#This Row],[Total]])</f>
        <v>15.09</v>
      </c>
      <c r="L800" s="35">
        <f>VENTAS[[#This Row],[Total]]-VENTAS[[#This Row],[Comisión 10%]]-VENTAS[[#This Row],[Costo SIN Comision]]</f>
        <v>19.91</v>
      </c>
      <c r="M800" s="35"/>
    </row>
    <row r="801" ht="20" customHeight="1" spans="1:13">
      <c r="A801" s="29">
        <v>45372</v>
      </c>
      <c r="B801" s="30"/>
      <c r="C801" s="30" t="s">
        <v>3485</v>
      </c>
      <c r="D801" s="30"/>
      <c r="E801" s="30" t="s">
        <v>1786</v>
      </c>
      <c r="F801" s="34" t="str">
        <f>IFERROR(VLOOKUP(VENTAS[[#This Row],[Código del producto Vendido]],STOCK[],5,FALSE),"-")</f>
        <v>Cinturón básico grueso Negro</v>
      </c>
      <c r="G801" s="34">
        <v>1</v>
      </c>
      <c r="H801" s="35">
        <v>8</v>
      </c>
      <c r="I801" s="35">
        <f>VENTAS[[#This Row],[Cantidad]]*VENTAS[[#This Row],[Precio Venta]]</f>
        <v>8</v>
      </c>
      <c r="J801" s="35">
        <f>IF(VENTAS[[#This Row],[Nombre del Gestor]]&gt;1,VENTAS[[#This Row],[Total]]*10%,0)</f>
        <v>0</v>
      </c>
      <c r="K801" s="35">
        <f>IFERROR(VLOOKUP(VENTAS[[#This Row],[Código del producto Vendido]],STOCK[],16,FALSE)*VENTAS[[#This Row],[Cantidad]]+VLOOKUP(VENTAS[[#This Row],[Código del producto Vendido]],STOCK[],19,FALSE)*VENTAS[[#This Row],[Cantidad]],VENTAS[[#This Row],[Total]])</f>
        <v>4.23529411764706</v>
      </c>
      <c r="L801" s="35">
        <f>VENTAS[[#This Row],[Total]]-VENTAS[[#This Row],[Comisión 10%]]-VENTAS[[#This Row],[Costo SIN Comision]]</f>
        <v>3.76470588235294</v>
      </c>
      <c r="M801" s="35"/>
    </row>
    <row r="802" ht="20" customHeight="1" spans="1:13">
      <c r="A802" s="29">
        <v>45375</v>
      </c>
      <c r="B802" s="30"/>
      <c r="C802" s="30"/>
      <c r="D802" s="30" t="s">
        <v>3481</v>
      </c>
      <c r="E802" s="30" t="s">
        <v>1086</v>
      </c>
      <c r="F802" s="34" t="str">
        <f>IFERROR(VLOOKUP(VENTAS[[#This Row],[Código del producto Vendido]],STOCK[],5,FALSE),"-")</f>
        <v>Cobertor de traje de baño</v>
      </c>
      <c r="G802" s="34">
        <v>1</v>
      </c>
      <c r="H802" s="35">
        <v>10</v>
      </c>
      <c r="I802" s="35">
        <f>VENTAS[[#This Row],[Cantidad]]*VENTAS[[#This Row],[Precio Venta]]</f>
        <v>10</v>
      </c>
      <c r="J802" s="35">
        <f>IF(VENTAS[[#This Row],[Nombre del Gestor]]&gt;1,VENTAS[[#This Row],[Total]]*10%,0)</f>
        <v>1</v>
      </c>
      <c r="K802" s="35">
        <f>IFERROR(VLOOKUP(VENTAS[[#This Row],[Código del producto Vendido]],STOCK[],16,FALSE)*VENTAS[[#This Row],[Cantidad]]+VLOOKUP(VENTAS[[#This Row],[Código del producto Vendido]],STOCK[],19,FALSE)*VENTAS[[#This Row],[Cantidad]],VENTAS[[#This Row],[Total]])</f>
        <v>4.52205882352941</v>
      </c>
      <c r="L802" s="35">
        <f>VENTAS[[#This Row],[Total]]-VENTAS[[#This Row],[Comisión 10%]]-VENTAS[[#This Row],[Costo SIN Comision]]</f>
        <v>4.47794117647059</v>
      </c>
      <c r="M802" s="35"/>
    </row>
    <row r="803" ht="20" customHeight="1" spans="1:13">
      <c r="A803" s="29">
        <v>45375</v>
      </c>
      <c r="B803" s="30"/>
      <c r="C803" s="30"/>
      <c r="D803" s="30" t="s">
        <v>3481</v>
      </c>
      <c r="E803" s="30" t="s">
        <v>828</v>
      </c>
      <c r="F803" s="34" t="str">
        <f>IFERROR(VLOOKUP(VENTAS[[#This Row],[Código del producto Vendido]],STOCK[],5,FALSE),"-")</f>
        <v>Set de bikini malva</v>
      </c>
      <c r="G803" s="34">
        <v>1</v>
      </c>
      <c r="H803" s="35">
        <v>15</v>
      </c>
      <c r="I803" s="35">
        <f>VENTAS[[#This Row],[Cantidad]]*VENTAS[[#This Row],[Precio Venta]]</f>
        <v>15</v>
      </c>
      <c r="J803" s="35">
        <f>IF(VENTAS[[#This Row],[Nombre del Gestor]]&gt;1,VENTAS[[#This Row],[Total]]*10%,0)</f>
        <v>1.5</v>
      </c>
      <c r="K803" s="35">
        <f>IFERROR(VLOOKUP(VENTAS[[#This Row],[Código del producto Vendido]],STOCK[],16,FALSE)*VENTAS[[#This Row],[Cantidad]]+VLOOKUP(VENTAS[[#This Row],[Código del producto Vendido]],STOCK[],19,FALSE)*VENTAS[[#This Row],[Cantidad]],VENTAS[[#This Row],[Total]])</f>
        <v>9.22222222222222</v>
      </c>
      <c r="L803" s="35">
        <f>VENTAS[[#This Row],[Total]]-VENTAS[[#This Row],[Comisión 10%]]-VENTAS[[#This Row],[Costo SIN Comision]]</f>
        <v>4.27777777777778</v>
      </c>
      <c r="M803" s="35"/>
    </row>
    <row r="804" ht="20" customHeight="1" spans="1:13">
      <c r="A804" s="29">
        <v>45361</v>
      </c>
      <c r="B804" s="30"/>
      <c r="C804" s="30" t="s">
        <v>3480</v>
      </c>
      <c r="D804" s="30"/>
      <c r="E804" s="30" t="s">
        <v>818</v>
      </c>
      <c r="F804" s="34" t="str">
        <f>IFERROR(VLOOKUP(VENTAS[[#This Row],[Código del producto Vendido]],STOCK[],5,FALSE),"-")</f>
        <v>Blusa atada bohemia</v>
      </c>
      <c r="G804" s="34">
        <v>1</v>
      </c>
      <c r="H804" s="35">
        <v>10</v>
      </c>
      <c r="I804" s="35">
        <f>VENTAS[[#This Row],[Cantidad]]*VENTAS[[#This Row],[Precio Venta]]</f>
        <v>10</v>
      </c>
      <c r="J804" s="35">
        <f>IF(VENTAS[[#This Row],[Nombre del Gestor]]&gt;1,VENTAS[[#This Row],[Total]]*10%,0)</f>
        <v>0</v>
      </c>
      <c r="K804" s="35">
        <f>IFERROR(VLOOKUP(VENTAS[[#This Row],[Código del producto Vendido]],STOCK[],16,FALSE)*VENTAS[[#This Row],[Cantidad]]+VLOOKUP(VENTAS[[#This Row],[Código del producto Vendido]],STOCK[],19,FALSE)*VENTAS[[#This Row],[Cantidad]],VENTAS[[#This Row],[Total]])</f>
        <v>8</v>
      </c>
      <c r="L804" s="35">
        <f>VENTAS[[#This Row],[Total]]-VENTAS[[#This Row],[Comisión 10%]]-VENTAS[[#This Row],[Costo SIN Comision]]</f>
        <v>2</v>
      </c>
      <c r="M804" s="35"/>
    </row>
    <row r="805" ht="20" customHeight="1" spans="1:13">
      <c r="A805" s="29">
        <v>45376</v>
      </c>
      <c r="B805" s="30"/>
      <c r="C805" s="30"/>
      <c r="D805" s="30" t="s">
        <v>3481</v>
      </c>
      <c r="E805" s="30" t="s">
        <v>404</v>
      </c>
      <c r="F805" s="34" t="str">
        <f>IFERROR(VLOOKUP(VENTAS[[#This Row],[Código del producto Vendido]],STOCK[],5,FALSE),"-")</f>
        <v>Vestido Bohemio</v>
      </c>
      <c r="G805" s="34">
        <v>1</v>
      </c>
      <c r="H805" s="35">
        <v>20</v>
      </c>
      <c r="I805" s="35">
        <f>VENTAS[[#This Row],[Cantidad]]*VENTAS[[#This Row],[Precio Venta]]</f>
        <v>20</v>
      </c>
      <c r="J805" s="35">
        <f>IF(VENTAS[[#This Row],[Nombre del Gestor]]&gt;1,VENTAS[[#This Row],[Total]]*10%,0)</f>
        <v>2</v>
      </c>
      <c r="K805" s="35">
        <f>IFERROR(VLOOKUP(VENTAS[[#This Row],[Código del producto Vendido]],STOCK[],16,FALSE)*VENTAS[[#This Row],[Cantidad]]+VLOOKUP(VENTAS[[#This Row],[Código del producto Vendido]],STOCK[],19,FALSE)*VENTAS[[#This Row],[Cantidad]],VENTAS[[#This Row],[Total]])</f>
        <v>12.5705555555556</v>
      </c>
      <c r="L805" s="35">
        <f>VENTAS[[#This Row],[Total]]-VENTAS[[#This Row],[Comisión 10%]]-VENTAS[[#This Row],[Costo SIN Comision]]</f>
        <v>5.42944444444444</v>
      </c>
      <c r="M805" s="35"/>
    </row>
    <row r="806" ht="20" customHeight="1" spans="1:13">
      <c r="A806" s="29">
        <v>45376</v>
      </c>
      <c r="B806" s="30"/>
      <c r="C806" s="30"/>
      <c r="D806" s="30"/>
      <c r="E806" s="30" t="s">
        <v>1588</v>
      </c>
      <c r="F806" s="34" t="str">
        <f>IFERROR(VLOOKUP(VENTAS[[#This Row],[Código del producto Vendido]],STOCK[],5,FALSE),"-")</f>
        <v>Sandalias flip de plataforma Naranja Marca F21</v>
      </c>
      <c r="G806" s="34">
        <v>1</v>
      </c>
      <c r="H806" s="35">
        <v>15</v>
      </c>
      <c r="I806" s="35">
        <f>VENTAS[[#This Row],[Cantidad]]*VENTAS[[#This Row],[Precio Venta]]</f>
        <v>15</v>
      </c>
      <c r="J806" s="35">
        <f>IF(VENTAS[[#This Row],[Nombre del Gestor]]&gt;1,VENTAS[[#This Row],[Total]]*10%,0)</f>
        <v>0</v>
      </c>
      <c r="K806" s="35">
        <f>IFERROR(VLOOKUP(VENTAS[[#This Row],[Código del producto Vendido]],STOCK[],16,FALSE)*VENTAS[[#This Row],[Cantidad]]+VLOOKUP(VENTAS[[#This Row],[Código del producto Vendido]],STOCK[],19,FALSE)*VENTAS[[#This Row],[Cantidad]],VENTAS[[#This Row],[Total]])</f>
        <v>9.49</v>
      </c>
      <c r="L806" s="35">
        <f>VENTAS[[#This Row],[Total]]-VENTAS[[#This Row],[Comisión 10%]]-VENTAS[[#This Row],[Costo SIN Comision]]</f>
        <v>5.51</v>
      </c>
      <c r="M806" s="35"/>
    </row>
    <row r="807" ht="20" customHeight="1" spans="1:13">
      <c r="A807" s="29">
        <v>45376</v>
      </c>
      <c r="B807" s="30"/>
      <c r="C807" s="30"/>
      <c r="D807" s="30"/>
      <c r="E807" s="30" t="s">
        <v>75</v>
      </c>
      <c r="F807" s="34" t="str">
        <f>IFERROR(VLOOKUP(VENTAS[[#This Row],[Código del producto Vendido]],STOCK[],5,FALSE),"-")</f>
        <v>Pareo pantalón de malla</v>
      </c>
      <c r="G807" s="34">
        <v>1</v>
      </c>
      <c r="H807" s="35">
        <v>15</v>
      </c>
      <c r="I807" s="35">
        <f>VENTAS[[#This Row],[Cantidad]]*VENTAS[[#This Row],[Precio Venta]]</f>
        <v>15</v>
      </c>
      <c r="J807" s="35">
        <f>IF(VENTAS[[#This Row],[Nombre del Gestor]]&gt;1,VENTAS[[#This Row],[Total]]*10%,0)</f>
        <v>0</v>
      </c>
      <c r="K807" s="35">
        <f>IFERROR(VLOOKUP(VENTAS[[#This Row],[Código del producto Vendido]],STOCK[],16,FALSE)*VENTAS[[#This Row],[Cantidad]]+VLOOKUP(VENTAS[[#This Row],[Código del producto Vendido]],STOCK[],19,FALSE)*VENTAS[[#This Row],[Cantidad]],VENTAS[[#This Row],[Total]])</f>
        <v>9.36055555555556</v>
      </c>
      <c r="L807" s="35">
        <f>VENTAS[[#This Row],[Total]]-VENTAS[[#This Row],[Comisión 10%]]-VENTAS[[#This Row],[Costo SIN Comision]]</f>
        <v>5.63944444444444</v>
      </c>
      <c r="M807" s="35"/>
    </row>
    <row r="808" ht="20" customHeight="1" spans="1:13">
      <c r="A808" s="29">
        <v>45376</v>
      </c>
      <c r="B808" s="30"/>
      <c r="C808" s="30"/>
      <c r="D808" s="30"/>
      <c r="E808" s="30" t="s">
        <v>482</v>
      </c>
      <c r="F808" s="34" t="str">
        <f>IFERROR(VLOOKUP(VENTAS[[#This Row],[Código del producto Vendido]],STOCK[],5,FALSE),"-")</f>
        <v>Bikini estampado cebra</v>
      </c>
      <c r="G808" s="34">
        <v>1</v>
      </c>
      <c r="H808" s="35">
        <v>15</v>
      </c>
      <c r="I808" s="35">
        <f>VENTAS[[#This Row],[Cantidad]]*VENTAS[[#This Row],[Precio Venta]]</f>
        <v>15</v>
      </c>
      <c r="J808" s="35">
        <f>IF(VENTAS[[#This Row],[Nombre del Gestor]]&gt;1,VENTAS[[#This Row],[Total]]*10%,0)</f>
        <v>0</v>
      </c>
      <c r="K808" s="35">
        <f>IFERROR(VLOOKUP(VENTAS[[#This Row],[Código del producto Vendido]],STOCK[],16,FALSE)*VENTAS[[#This Row],[Cantidad]]+VLOOKUP(VENTAS[[#This Row],[Código del producto Vendido]],STOCK[],19,FALSE)*VENTAS[[#This Row],[Cantidad]],VENTAS[[#This Row],[Total]])</f>
        <v>8.78722222222222</v>
      </c>
      <c r="L808" s="35">
        <f>VENTAS[[#This Row],[Total]]-VENTAS[[#This Row],[Comisión 10%]]-VENTAS[[#This Row],[Costo SIN Comision]]</f>
        <v>6.21277777777778</v>
      </c>
      <c r="M808" s="35"/>
    </row>
    <row r="809" ht="20" customHeight="1" spans="1:13">
      <c r="A809" s="29">
        <v>45376</v>
      </c>
      <c r="B809" s="30"/>
      <c r="C809" s="30"/>
      <c r="D809" s="30"/>
      <c r="E809" s="30" t="s">
        <v>498</v>
      </c>
      <c r="F809" s="34" t="str">
        <f>IFERROR(VLOOKUP(VENTAS[[#This Row],[Código del producto Vendido]],STOCK[],5,FALSE),"-")</f>
        <v>Vestido Bohemio</v>
      </c>
      <c r="G809" s="34">
        <v>1</v>
      </c>
      <c r="H809" s="35">
        <v>25</v>
      </c>
      <c r="I809" s="35">
        <f>VENTAS[[#This Row],[Cantidad]]*VENTAS[[#This Row],[Precio Venta]]</f>
        <v>25</v>
      </c>
      <c r="J809" s="35">
        <f>IF(VENTAS[[#This Row],[Nombre del Gestor]]&gt;1,VENTAS[[#This Row],[Total]]*10%,0)</f>
        <v>0</v>
      </c>
      <c r="K809" s="35">
        <f>IFERROR(VLOOKUP(VENTAS[[#This Row],[Código del producto Vendido]],STOCK[],16,FALSE)*VENTAS[[#This Row],[Cantidad]]+VLOOKUP(VENTAS[[#This Row],[Código del producto Vendido]],STOCK[],19,FALSE)*VENTAS[[#This Row],[Cantidad]],VENTAS[[#This Row],[Total]])</f>
        <v>10.1894444444444</v>
      </c>
      <c r="L809" s="35">
        <f>VENTAS[[#This Row],[Total]]-VENTAS[[#This Row],[Comisión 10%]]-VENTAS[[#This Row],[Costo SIN Comision]]</f>
        <v>14.8105555555556</v>
      </c>
      <c r="M809" s="35"/>
    </row>
    <row r="810" ht="20" customHeight="1" spans="1:13">
      <c r="A810" s="29">
        <v>45376</v>
      </c>
      <c r="B810" s="30"/>
      <c r="C810" s="30"/>
      <c r="D810" s="30"/>
      <c r="E810" s="30" t="s">
        <v>1397</v>
      </c>
      <c r="F810" s="34" t="str">
        <f>IFERROR(VLOOKUP(VENTAS[[#This Row],[Código del producto Vendido]],STOCK[],5,FALSE),"-")</f>
        <v>Camiseta acanalada de bajo asimétrico blanco</v>
      </c>
      <c r="G810" s="34">
        <v>1</v>
      </c>
      <c r="H810" s="35">
        <v>12</v>
      </c>
      <c r="I810" s="35">
        <f>VENTAS[[#This Row],[Cantidad]]*VENTAS[[#This Row],[Precio Venta]]</f>
        <v>12</v>
      </c>
      <c r="J810" s="35">
        <f>IF(VENTAS[[#This Row],[Nombre del Gestor]]&gt;1,VENTAS[[#This Row],[Total]]*10%,0)</f>
        <v>0</v>
      </c>
      <c r="K810" s="35">
        <f>IFERROR(VLOOKUP(VENTAS[[#This Row],[Código del producto Vendido]],STOCK[],16,FALSE)*VENTAS[[#This Row],[Cantidad]]+VLOOKUP(VENTAS[[#This Row],[Código del producto Vendido]],STOCK[],19,FALSE)*VENTAS[[#This Row],[Cantidad]],VENTAS[[#This Row],[Total]])</f>
        <v>9</v>
      </c>
      <c r="L810" s="35">
        <f>VENTAS[[#This Row],[Total]]-VENTAS[[#This Row],[Comisión 10%]]-VENTAS[[#This Row],[Costo SIN Comision]]</f>
        <v>3</v>
      </c>
      <c r="M810" s="35"/>
    </row>
    <row r="811" ht="20" customHeight="1" spans="1:13">
      <c r="A811" s="29">
        <v>45378</v>
      </c>
      <c r="B811" s="30"/>
      <c r="C811" s="30"/>
      <c r="D811" s="30"/>
      <c r="E811" s="30" t="s">
        <v>1529</v>
      </c>
      <c r="F811" s="34" t="str">
        <f>IFERROR(VLOOKUP(VENTAS[[#This Row],[Código del producto Vendido]],STOCK[],5,FALSE),"-")</f>
        <v>Bolso de Mimbre</v>
      </c>
      <c r="G811" s="34">
        <v>1</v>
      </c>
      <c r="H811" s="35">
        <v>22</v>
      </c>
      <c r="I811" s="35">
        <f>VENTAS[[#This Row],[Cantidad]]*VENTAS[[#This Row],[Precio Venta]]</f>
        <v>22</v>
      </c>
      <c r="J811" s="35">
        <f>IF(VENTAS[[#This Row],[Nombre del Gestor]]&gt;1,VENTAS[[#This Row],[Total]]*10%,0)</f>
        <v>0</v>
      </c>
      <c r="K811" s="35">
        <f>IFERROR(VLOOKUP(VENTAS[[#This Row],[Código del producto Vendido]],STOCK[],16,FALSE)*VENTAS[[#This Row],[Cantidad]]+VLOOKUP(VENTAS[[#This Row],[Código del producto Vendido]],STOCK[],19,FALSE)*VENTAS[[#This Row],[Cantidad]],VENTAS[[#This Row],[Total]])</f>
        <v>14.5</v>
      </c>
      <c r="L811" s="35">
        <f>VENTAS[[#This Row],[Total]]-VENTAS[[#This Row],[Comisión 10%]]-VENTAS[[#This Row],[Costo SIN Comision]]</f>
        <v>7.5</v>
      </c>
      <c r="M811" s="35"/>
    </row>
    <row r="812" ht="20" customHeight="1" spans="1:13">
      <c r="A812" s="29">
        <v>45378</v>
      </c>
      <c r="B812" s="30"/>
      <c r="C812" s="30"/>
      <c r="D812" s="30" t="s">
        <v>3481</v>
      </c>
      <c r="E812" s="30" t="s">
        <v>1529</v>
      </c>
      <c r="F812" s="34" t="str">
        <f>IFERROR(VLOOKUP(VENTAS[[#This Row],[Código del producto Vendido]],STOCK[],5,FALSE),"-")</f>
        <v>Bolso de Mimbre</v>
      </c>
      <c r="G812" s="34">
        <v>1</v>
      </c>
      <c r="H812" s="35">
        <v>22</v>
      </c>
      <c r="I812" s="35">
        <f>VENTAS[[#This Row],[Cantidad]]*VENTAS[[#This Row],[Precio Venta]]</f>
        <v>22</v>
      </c>
      <c r="J812" s="35">
        <f>IF(VENTAS[[#This Row],[Nombre del Gestor]]&gt;1,VENTAS[[#This Row],[Total]]*10%,0)</f>
        <v>2.2</v>
      </c>
      <c r="K812" s="35">
        <f>IFERROR(VLOOKUP(VENTAS[[#This Row],[Código del producto Vendido]],STOCK[],16,FALSE)*VENTAS[[#This Row],[Cantidad]]+VLOOKUP(VENTAS[[#This Row],[Código del producto Vendido]],STOCK[],19,FALSE)*VENTAS[[#This Row],[Cantidad]],VENTAS[[#This Row],[Total]])</f>
        <v>14.5</v>
      </c>
      <c r="L812" s="35">
        <f>VENTAS[[#This Row],[Total]]-VENTAS[[#This Row],[Comisión 10%]]-VENTAS[[#This Row],[Costo SIN Comision]]</f>
        <v>5.3</v>
      </c>
      <c r="M812" s="35"/>
    </row>
    <row r="813" ht="20" customHeight="1" spans="1:13">
      <c r="A813" s="29">
        <v>45378</v>
      </c>
      <c r="B813" s="30"/>
      <c r="C813" s="30"/>
      <c r="D813" s="30"/>
      <c r="E813" s="30" t="s">
        <v>1010</v>
      </c>
      <c r="F813" s="34" t="str">
        <f>IFERROR(VLOOKUP(VENTAS[[#This Row],[Código del producto Vendido]],STOCK[],5,FALSE),"-")</f>
        <v>Maxi Vestido con Bolsillo</v>
      </c>
      <c r="G813" s="34">
        <v>1</v>
      </c>
      <c r="H813" s="35">
        <v>35</v>
      </c>
      <c r="I813" s="35">
        <f>VENTAS[[#This Row],[Cantidad]]*VENTAS[[#This Row],[Precio Venta]]</f>
        <v>35</v>
      </c>
      <c r="J813" s="35">
        <f>IF(VENTAS[[#This Row],[Nombre del Gestor]]&gt;1,VENTAS[[#This Row],[Total]]*10%,0)</f>
        <v>0</v>
      </c>
      <c r="K813" s="35">
        <f>IFERROR(VLOOKUP(VENTAS[[#This Row],[Código del producto Vendido]],STOCK[],16,FALSE)*VENTAS[[#This Row],[Cantidad]]+VLOOKUP(VENTAS[[#This Row],[Código del producto Vendido]],STOCK[],19,FALSE)*VENTAS[[#This Row],[Cantidad]],VENTAS[[#This Row],[Total]])</f>
        <v>24.2045454545455</v>
      </c>
      <c r="L813" s="35">
        <f>VENTAS[[#This Row],[Total]]-VENTAS[[#This Row],[Comisión 10%]]-VENTAS[[#This Row],[Costo SIN Comision]]</f>
        <v>10.7954545454545</v>
      </c>
      <c r="M813" s="35"/>
    </row>
    <row r="814" ht="20" customHeight="1" spans="1:13">
      <c r="A814" s="29">
        <v>45380</v>
      </c>
      <c r="B814" s="30"/>
      <c r="C814" s="30"/>
      <c r="D814" s="30" t="s">
        <v>3368</v>
      </c>
      <c r="E814" s="30" t="s">
        <v>1757</v>
      </c>
      <c r="F814" s="34" t="str">
        <f>IFERROR(VLOOKUP(VENTAS[[#This Row],[Código del producto Vendido]],STOCK[],5,FALSE),"-")</f>
        <v>Zapatillas blanco casual</v>
      </c>
      <c r="G814" s="34">
        <v>1</v>
      </c>
      <c r="H814" s="35">
        <v>35</v>
      </c>
      <c r="I814" s="35">
        <f>VENTAS[[#This Row],[Cantidad]]*VENTAS[[#This Row],[Precio Venta]]</f>
        <v>35</v>
      </c>
      <c r="J814" s="35">
        <f>IF(VENTAS[[#This Row],[Nombre del Gestor]]&gt;1,VENTAS[[#This Row],[Total]]*10%,0)</f>
        <v>3.5</v>
      </c>
      <c r="K814" s="35">
        <f>IFERROR(VLOOKUP(VENTAS[[#This Row],[Código del producto Vendido]],STOCK[],16,FALSE)*VENTAS[[#This Row],[Cantidad]]+VLOOKUP(VENTAS[[#This Row],[Código del producto Vendido]],STOCK[],19,FALSE)*VENTAS[[#This Row],[Cantidad]],VENTAS[[#This Row],[Total]])</f>
        <v>25.4705882352941</v>
      </c>
      <c r="L814" s="35">
        <f>VENTAS[[#This Row],[Total]]-VENTAS[[#This Row],[Comisión 10%]]-VENTAS[[#This Row],[Costo SIN Comision]]</f>
        <v>6.0294117647059</v>
      </c>
      <c r="M814" s="35"/>
    </row>
    <row r="815" ht="20" customHeight="1" spans="1:13">
      <c r="A815" s="29">
        <v>45381</v>
      </c>
      <c r="B815" s="30"/>
      <c r="C815" s="30"/>
      <c r="D815" s="30" t="s">
        <v>3481</v>
      </c>
      <c r="E815" s="30" t="s">
        <v>1621</v>
      </c>
      <c r="F815" s="34" t="str">
        <f>IFERROR(VLOOKUP(VENTAS[[#This Row],[Código del producto Vendido]],STOCK[],5,FALSE),"-")</f>
        <v>Sandalias minimalistas de tacón</v>
      </c>
      <c r="G815" s="34">
        <v>1</v>
      </c>
      <c r="H815" s="35">
        <v>39</v>
      </c>
      <c r="I815" s="35">
        <f>VENTAS[[#This Row],[Cantidad]]*VENTAS[[#This Row],[Precio Venta]]</f>
        <v>39</v>
      </c>
      <c r="J815" s="35">
        <f>IF(VENTAS[[#This Row],[Nombre del Gestor]]&gt;1,VENTAS[[#This Row],[Total]]*10%,0)</f>
        <v>3.9</v>
      </c>
      <c r="K815" s="35">
        <f>IFERROR(VLOOKUP(VENTAS[[#This Row],[Código del producto Vendido]],STOCK[],16,FALSE)*VENTAS[[#This Row],[Cantidad]]+VLOOKUP(VENTAS[[#This Row],[Código del producto Vendido]],STOCK[],19,FALSE)*VENTAS[[#This Row],[Cantidad]],VENTAS[[#This Row],[Total]])</f>
        <v>20.86</v>
      </c>
      <c r="L815" s="35">
        <f>VENTAS[[#This Row],[Total]]-VENTAS[[#This Row],[Comisión 10%]]-VENTAS[[#This Row],[Costo SIN Comision]]</f>
        <v>14.24</v>
      </c>
      <c r="M815" s="35"/>
    </row>
    <row r="816" ht="20" customHeight="1" spans="1:13">
      <c r="A816" s="29">
        <v>45381</v>
      </c>
      <c r="B816" s="30"/>
      <c r="C816" s="30"/>
      <c r="D816" s="30" t="s">
        <v>3481</v>
      </c>
      <c r="E816" s="30" t="s">
        <v>1726</v>
      </c>
      <c r="F816" s="34" t="str">
        <f>IFERROR(VLOOKUP(VENTAS[[#This Row],[Código del producto Vendido]],STOCK[],5,FALSE),"-")</f>
        <v>Zapato de punta fina y Tacón Cuadrado</v>
      </c>
      <c r="G816" s="34">
        <v>1</v>
      </c>
      <c r="H816" s="35">
        <v>40</v>
      </c>
      <c r="I816" s="35">
        <f>VENTAS[[#This Row],[Cantidad]]*VENTAS[[#This Row],[Precio Venta]]</f>
        <v>40</v>
      </c>
      <c r="J816" s="35">
        <f>IF(VENTAS[[#This Row],[Nombre del Gestor]]&gt;1,VENTAS[[#This Row],[Total]]*10%,0)</f>
        <v>4</v>
      </c>
      <c r="K816" s="35">
        <f>IFERROR(VLOOKUP(VENTAS[[#This Row],[Código del producto Vendido]],STOCK[],16,FALSE)*VENTAS[[#This Row],[Cantidad]]+VLOOKUP(VENTAS[[#This Row],[Código del producto Vendido]],STOCK[],19,FALSE)*VENTAS[[#This Row],[Cantidad]],VENTAS[[#This Row],[Total]])</f>
        <v>27.5</v>
      </c>
      <c r="L816" s="35">
        <f>VENTAS[[#This Row],[Total]]-VENTAS[[#This Row],[Comisión 10%]]-VENTAS[[#This Row],[Costo SIN Comision]]</f>
        <v>8.5</v>
      </c>
      <c r="M816" s="35"/>
    </row>
    <row r="817" ht="20" customHeight="1" spans="1:13">
      <c r="A817" s="29">
        <v>45381</v>
      </c>
      <c r="B817" s="30"/>
      <c r="C817" s="30"/>
      <c r="D817" s="30" t="s">
        <v>3481</v>
      </c>
      <c r="E817" s="30" t="s">
        <v>1682</v>
      </c>
      <c r="F817" s="34" t="str">
        <f>IFERROR(VLOOKUP(VENTAS[[#This Row],[Código del producto Vendido]],STOCK[],5,FALSE),"-")</f>
        <v>Vestido de mangas en contraste</v>
      </c>
      <c r="G817" s="34">
        <v>1</v>
      </c>
      <c r="H817" s="35">
        <v>28</v>
      </c>
      <c r="I817" s="35">
        <f>VENTAS[[#This Row],[Cantidad]]*VENTAS[[#This Row],[Precio Venta]]</f>
        <v>28</v>
      </c>
      <c r="J817" s="35">
        <f>IF(VENTAS[[#This Row],[Nombre del Gestor]]&gt;1,VENTAS[[#This Row],[Total]]*10%,0)</f>
        <v>2.8</v>
      </c>
      <c r="K817" s="35">
        <f>IFERROR(VLOOKUP(VENTAS[[#This Row],[Código del producto Vendido]],STOCK[],16,FALSE)*VENTAS[[#This Row],[Cantidad]]+VLOOKUP(VENTAS[[#This Row],[Código del producto Vendido]],STOCK[],19,FALSE)*VENTAS[[#This Row],[Cantidad]],VENTAS[[#This Row],[Total]])</f>
        <v>17.25</v>
      </c>
      <c r="L817" s="35">
        <f>VENTAS[[#This Row],[Total]]-VENTAS[[#This Row],[Comisión 10%]]-VENTAS[[#This Row],[Costo SIN Comision]]</f>
        <v>7.95</v>
      </c>
      <c r="M817" s="35"/>
    </row>
    <row r="818" ht="20" customHeight="1" spans="1:13">
      <c r="A818" s="29">
        <v>45382</v>
      </c>
      <c r="B818" s="30"/>
      <c r="C818" s="30"/>
      <c r="D818" s="30"/>
      <c r="E818" s="30" t="s">
        <v>100</v>
      </c>
      <c r="F818" s="34" t="str">
        <f>IFERROR(VLOOKUP(VENTAS[[#This Row],[Código del producto Vendido]],STOCK[],5,FALSE),"-")</f>
        <v>Pareo pantalón de malla</v>
      </c>
      <c r="G818" s="34">
        <v>1</v>
      </c>
      <c r="H818" s="35">
        <v>15</v>
      </c>
      <c r="I818" s="35">
        <f>VENTAS[[#This Row],[Cantidad]]*VENTAS[[#This Row],[Precio Venta]]</f>
        <v>15</v>
      </c>
      <c r="J818" s="35">
        <f>IF(VENTAS[[#This Row],[Nombre del Gestor]]&gt;1,VENTAS[[#This Row],[Total]]*10%,0)</f>
        <v>0</v>
      </c>
      <c r="K818" s="35">
        <f>IFERROR(VLOOKUP(VENTAS[[#This Row],[Código del producto Vendido]],STOCK[],16,FALSE)*VENTAS[[#This Row],[Cantidad]]+VLOOKUP(VENTAS[[#This Row],[Código del producto Vendido]],STOCK[],19,FALSE)*VENTAS[[#This Row],[Cantidad]],VENTAS[[#This Row],[Total]])</f>
        <v>9.78555555555556</v>
      </c>
      <c r="L818" s="35">
        <f>VENTAS[[#This Row],[Total]]-VENTAS[[#This Row],[Comisión 10%]]-VENTAS[[#This Row],[Costo SIN Comision]]</f>
        <v>5.21444444444444</v>
      </c>
      <c r="M818" s="35"/>
    </row>
    <row r="819" ht="20" customHeight="1" spans="1:13">
      <c r="A819" s="30"/>
      <c r="B819" s="30"/>
      <c r="C819" s="30" t="s">
        <v>3480</v>
      </c>
      <c r="D819" s="30"/>
      <c r="E819" s="30" t="s">
        <v>1738</v>
      </c>
      <c r="F819" s="34" t="str">
        <f>IFERROR(VLOOKUP(VENTAS[[#This Row],[Código del producto Vendido]],STOCK[],5,FALSE),"-")</f>
        <v>Chaleco de traje Blanco</v>
      </c>
      <c r="G819" s="34">
        <v>1</v>
      </c>
      <c r="H819" s="35">
        <v>25</v>
      </c>
      <c r="I819" s="35">
        <f>VENTAS[[#This Row],[Cantidad]]*VENTAS[[#This Row],[Precio Venta]]</f>
        <v>25</v>
      </c>
      <c r="J819" s="35">
        <f>IF(VENTAS[[#This Row],[Nombre del Gestor]]&gt;1,VENTAS[[#This Row],[Total]]*10%,0)</f>
        <v>0</v>
      </c>
      <c r="K819" s="35">
        <f>IFERROR(VLOOKUP(VENTAS[[#This Row],[Código del producto Vendido]],STOCK[],16,FALSE)*VENTAS[[#This Row],[Cantidad]]+VLOOKUP(VENTAS[[#This Row],[Código del producto Vendido]],STOCK[],19,FALSE)*VENTAS[[#This Row],[Cantidad]],VENTAS[[#This Row],[Total]])</f>
        <v>17.9411764705882</v>
      </c>
      <c r="L819" s="35">
        <f>VENTAS[[#This Row],[Total]]-VENTAS[[#This Row],[Comisión 10%]]-VENTAS[[#This Row],[Costo SIN Comision]]</f>
        <v>7.0588235294118</v>
      </c>
      <c r="M819" s="35"/>
    </row>
    <row r="820" ht="20" customHeight="1" spans="1:13">
      <c r="A820" s="29">
        <v>45381</v>
      </c>
      <c r="B820" s="30"/>
      <c r="C820" s="30"/>
      <c r="D820" s="30"/>
      <c r="E820" s="30" t="s">
        <v>1584</v>
      </c>
      <c r="F820" s="34" t="str">
        <f>IFERROR(VLOOKUP(VENTAS[[#This Row],[Código del producto Vendido]],STOCK[],5,FALSE),"-")</f>
        <v>Sandalias de hebilla</v>
      </c>
      <c r="G820" s="34">
        <v>1</v>
      </c>
      <c r="H820" s="35">
        <v>18</v>
      </c>
      <c r="I820" s="35">
        <f>VENTAS[[#This Row],[Cantidad]]*VENTAS[[#This Row],[Precio Venta]]</f>
        <v>18</v>
      </c>
      <c r="J820" s="35">
        <f>IF(VENTAS[[#This Row],[Nombre del Gestor]]&gt;1,VENTAS[[#This Row],[Total]]*10%,0)</f>
        <v>0</v>
      </c>
      <c r="K820" s="35">
        <f>IFERROR(VLOOKUP(VENTAS[[#This Row],[Código del producto Vendido]],STOCK[],16,FALSE)*VENTAS[[#This Row],[Cantidad]]+VLOOKUP(VENTAS[[#This Row],[Código del producto Vendido]],STOCK[],19,FALSE)*VENTAS[[#This Row],[Cantidad]],VENTAS[[#This Row],[Total]])</f>
        <v>11</v>
      </c>
      <c r="L820" s="35">
        <f>VENTAS[[#This Row],[Total]]-VENTAS[[#This Row],[Comisión 10%]]-VENTAS[[#This Row],[Costo SIN Comision]]</f>
        <v>7</v>
      </c>
      <c r="M820" s="35"/>
    </row>
    <row r="821" ht="20" customHeight="1" spans="1:13">
      <c r="A821" s="29">
        <v>45381</v>
      </c>
      <c r="B821" s="30"/>
      <c r="C821" s="30"/>
      <c r="D821" s="30"/>
      <c r="E821" s="30" t="s">
        <v>1522</v>
      </c>
      <c r="F821" s="34" t="str">
        <f>IFERROR(VLOOKUP(VENTAS[[#This Row],[Código del producto Vendido]],STOCK[],5,FALSE),"-")</f>
        <v>Zapato de punta fina y Tacón Cuadrado</v>
      </c>
      <c r="G821" s="34">
        <v>1</v>
      </c>
      <c r="H821" s="35">
        <v>45</v>
      </c>
      <c r="I821" s="35">
        <f>VENTAS[[#This Row],[Cantidad]]*VENTAS[[#This Row],[Precio Venta]]</f>
        <v>45</v>
      </c>
      <c r="J821" s="35">
        <f>IF(VENTAS[[#This Row],[Nombre del Gestor]]&gt;1,VENTAS[[#This Row],[Total]]*10%,0)</f>
        <v>0</v>
      </c>
      <c r="K821" s="35">
        <f>IFERROR(VLOOKUP(VENTAS[[#This Row],[Código del producto Vendido]],STOCK[],16,FALSE)*VENTAS[[#This Row],[Cantidad]]+VLOOKUP(VENTAS[[#This Row],[Código del producto Vendido]],STOCK[],19,FALSE)*VENTAS[[#This Row],[Cantidad]],VENTAS[[#This Row],[Total]])</f>
        <v>31</v>
      </c>
      <c r="L821" s="35">
        <f>VENTAS[[#This Row],[Total]]-VENTAS[[#This Row],[Comisión 10%]]-VENTAS[[#This Row],[Costo SIN Comision]]</f>
        <v>14</v>
      </c>
      <c r="M821" s="35"/>
    </row>
    <row r="822" ht="20" customHeight="1" spans="1:13">
      <c r="A822" s="29">
        <v>45384</v>
      </c>
      <c r="B822" s="30"/>
      <c r="C822" s="30"/>
      <c r="D822" s="30"/>
      <c r="E822" s="30" t="s">
        <v>1760</v>
      </c>
      <c r="F822" s="34" t="str">
        <f>IFERROR(VLOOKUP(VENTAS[[#This Row],[Código del producto Vendido]],STOCK[],5,FALSE),"-")</f>
        <v>Zapatillas blanco casual</v>
      </c>
      <c r="G822" s="34">
        <v>1</v>
      </c>
      <c r="H822" s="35">
        <v>35</v>
      </c>
      <c r="I822" s="35">
        <f>VENTAS[[#This Row],[Cantidad]]*VENTAS[[#This Row],[Precio Venta]]</f>
        <v>35</v>
      </c>
      <c r="J822" s="35">
        <f>IF(VENTAS[[#This Row],[Nombre del Gestor]]&gt;1,VENTAS[[#This Row],[Total]]*10%,0)</f>
        <v>0</v>
      </c>
      <c r="K822" s="35">
        <f>IFERROR(VLOOKUP(VENTAS[[#This Row],[Código del producto Vendido]],STOCK[],16,FALSE)*VENTAS[[#This Row],[Cantidad]]+VLOOKUP(VENTAS[[#This Row],[Código del producto Vendido]],STOCK[],19,FALSE)*VENTAS[[#This Row],[Cantidad]],VENTAS[[#This Row],[Total]])</f>
        <v>25.4705882352941</v>
      </c>
      <c r="L822" s="35">
        <f>VENTAS[[#This Row],[Total]]-VENTAS[[#This Row],[Comisión 10%]]-VENTAS[[#This Row],[Costo SIN Comision]]</f>
        <v>9.5294117647059</v>
      </c>
      <c r="M822" s="35"/>
    </row>
    <row r="823" ht="20" customHeight="1" spans="1:13">
      <c r="A823" s="29">
        <v>45384</v>
      </c>
      <c r="B823" s="30"/>
      <c r="C823" s="30"/>
      <c r="D823" s="30" t="s">
        <v>3481</v>
      </c>
      <c r="E823" s="30" t="s">
        <v>29</v>
      </c>
      <c r="F823" s="34" t="str">
        <f>IFERROR(VLOOKUP(VENTAS[[#This Row],[Código del producto Vendido]],STOCK[],5,FALSE),"-")</f>
        <v>Pareo falda </v>
      </c>
      <c r="G823" s="34">
        <v>1</v>
      </c>
      <c r="H823" s="35">
        <v>8</v>
      </c>
      <c r="I823" s="35">
        <f>VENTAS[[#This Row],[Cantidad]]*VENTAS[[#This Row],[Precio Venta]]</f>
        <v>8</v>
      </c>
      <c r="J823" s="35">
        <f>IF(VENTAS[[#This Row],[Nombre del Gestor]]&gt;1,VENTAS[[#This Row],[Total]]*10%,0)</f>
        <v>0.8</v>
      </c>
      <c r="K823" s="35">
        <f>IFERROR(VLOOKUP(VENTAS[[#This Row],[Código del producto Vendido]],STOCK[],16,FALSE)*VENTAS[[#This Row],[Cantidad]]+VLOOKUP(VENTAS[[#This Row],[Código del producto Vendido]],STOCK[],19,FALSE)*VENTAS[[#This Row],[Cantidad]],VENTAS[[#This Row],[Total]])</f>
        <v>4.33722222222222</v>
      </c>
      <c r="L823" s="35">
        <f>VENTAS[[#This Row],[Total]]-VENTAS[[#This Row],[Comisión 10%]]-VENTAS[[#This Row],[Costo SIN Comision]]</f>
        <v>2.86277777777778</v>
      </c>
      <c r="M823" s="35"/>
    </row>
    <row r="824" ht="20" customHeight="1" spans="1:13">
      <c r="A824" s="29">
        <v>45384</v>
      </c>
      <c r="B824" s="30"/>
      <c r="C824" s="30"/>
      <c r="D824" s="30" t="s">
        <v>3481</v>
      </c>
      <c r="E824" s="30" t="s">
        <v>1784</v>
      </c>
      <c r="F824" s="34" t="str">
        <f>IFERROR(VLOOKUP(VENTAS[[#This Row],[Código del producto Vendido]],STOCK[],5,FALSE),"-")</f>
        <v>Traje de baño blanco sexy</v>
      </c>
      <c r="G824" s="34">
        <v>1</v>
      </c>
      <c r="H824" s="35">
        <v>20</v>
      </c>
      <c r="I824" s="35">
        <f>VENTAS[[#This Row],[Cantidad]]*VENTAS[[#This Row],[Precio Venta]]</f>
        <v>20</v>
      </c>
      <c r="J824" s="35">
        <f>IF(VENTAS[[#This Row],[Nombre del Gestor]]&gt;1,VENTAS[[#This Row],[Total]]*10%,0)</f>
        <v>2</v>
      </c>
      <c r="K824" s="35">
        <f>IFERROR(VLOOKUP(VENTAS[[#This Row],[Código del producto Vendido]],STOCK[],16,FALSE)*VENTAS[[#This Row],[Cantidad]]+VLOOKUP(VENTAS[[#This Row],[Código del producto Vendido]],STOCK[],19,FALSE)*VENTAS[[#This Row],[Cantidad]],VENTAS[[#This Row],[Total]])</f>
        <v>9.58823529411765</v>
      </c>
      <c r="L824" s="35">
        <f>VENTAS[[#This Row],[Total]]-VENTAS[[#This Row],[Comisión 10%]]-VENTAS[[#This Row],[Costo SIN Comision]]</f>
        <v>8.41176470588235</v>
      </c>
      <c r="M824" s="35"/>
    </row>
    <row r="825" ht="20" customHeight="1" spans="1:13">
      <c r="A825" s="29">
        <v>45386</v>
      </c>
      <c r="B825" s="30"/>
      <c r="C825" s="30"/>
      <c r="D825" s="30" t="s">
        <v>3481</v>
      </c>
      <c r="E825" s="30" t="s">
        <v>825</v>
      </c>
      <c r="F825" s="34" t="str">
        <f>IFERROR(VLOOKUP(VENTAS[[#This Row],[Código del producto Vendido]],STOCK[],5,FALSE),"-")</f>
        <v>Bikini cintura alta</v>
      </c>
      <c r="G825" s="34">
        <v>1</v>
      </c>
      <c r="H825" s="35">
        <v>12</v>
      </c>
      <c r="I825" s="35">
        <f>VENTAS[[#This Row],[Cantidad]]*VENTAS[[#This Row],[Precio Venta]]</f>
        <v>12</v>
      </c>
      <c r="J825" s="35">
        <f>IF(VENTAS[[#This Row],[Nombre del Gestor]]&gt;1,VENTAS[[#This Row],[Total]]*10%,0)</f>
        <v>1.2</v>
      </c>
      <c r="K825" s="35">
        <f>IFERROR(VLOOKUP(VENTAS[[#This Row],[Código del producto Vendido]],STOCK[],16,FALSE)*VENTAS[[#This Row],[Cantidad]]+VLOOKUP(VENTAS[[#This Row],[Código del producto Vendido]],STOCK[],19,FALSE)*VENTAS[[#This Row],[Cantidad]],VENTAS[[#This Row],[Total]])</f>
        <v>7.05555555555556</v>
      </c>
      <c r="L825" s="35">
        <f>VENTAS[[#This Row],[Total]]-VENTAS[[#This Row],[Comisión 10%]]-VENTAS[[#This Row],[Costo SIN Comision]]</f>
        <v>3.74444444444444</v>
      </c>
      <c r="M825" s="35"/>
    </row>
    <row r="826" ht="20" customHeight="1" spans="1:13">
      <c r="A826" s="29" t="s">
        <v>3465</v>
      </c>
      <c r="B826" s="30"/>
      <c r="C826" s="30" t="s">
        <v>3486</v>
      </c>
      <c r="D826" s="30"/>
      <c r="E826" s="30" t="s">
        <v>1740</v>
      </c>
      <c r="F826" s="34" t="str">
        <f>IFERROR(VLOOKUP(VENTAS[[#This Row],[Código del producto Vendido]],STOCK[],5,FALSE),"-")</f>
        <v>Kimono Dazy Elegante</v>
      </c>
      <c r="G826" s="34">
        <v>1</v>
      </c>
      <c r="H826" s="35">
        <v>0</v>
      </c>
      <c r="I826" s="35">
        <f>VENTAS[[#This Row],[Cantidad]]*VENTAS[[#This Row],[Precio Venta]]</f>
        <v>0</v>
      </c>
      <c r="J826" s="35">
        <f>IF(VENTAS[[#This Row],[Nombre del Gestor]]&gt;1,VENTAS[[#This Row],[Total]]*10%,0)</f>
        <v>0</v>
      </c>
      <c r="K826" s="35">
        <f>IFERROR(VLOOKUP(VENTAS[[#This Row],[Código del producto Vendido]],STOCK[],16,FALSE)*VENTAS[[#This Row],[Cantidad]]+VLOOKUP(VENTAS[[#This Row],[Código del producto Vendido]],STOCK[],19,FALSE)*VENTAS[[#This Row],[Cantidad]],VENTAS[[#This Row],[Total]])</f>
        <v>13.3529411764706</v>
      </c>
      <c r="L826" s="35">
        <f>VENTAS[[#This Row],[Total]]-VENTAS[[#This Row],[Comisión 10%]]-VENTAS[[#This Row],[Costo SIN Comision]]</f>
        <v>-13.3529411764706</v>
      </c>
      <c r="M826" s="35"/>
    </row>
    <row r="827" ht="20" customHeight="1" spans="1:13">
      <c r="A827" s="29" t="s">
        <v>3465</v>
      </c>
      <c r="B827" s="30"/>
      <c r="C827" s="30"/>
      <c r="D827" s="30"/>
      <c r="E827" s="30" t="s">
        <v>1613</v>
      </c>
      <c r="F827" s="34" t="str">
        <f>IFERROR(VLOOKUP(VENTAS[[#This Row],[Código del producto Vendido]],STOCK[],5,FALSE),"-")</f>
        <v>Camisa Modely</v>
      </c>
      <c r="G827" s="34">
        <v>1</v>
      </c>
      <c r="H827" s="35">
        <v>22</v>
      </c>
      <c r="I827" s="35">
        <f>VENTAS[[#This Row],[Cantidad]]*VENTAS[[#This Row],[Precio Venta]]</f>
        <v>22</v>
      </c>
      <c r="J827" s="35">
        <f>IF(VENTAS[[#This Row],[Nombre del Gestor]]&gt;1,VENTAS[[#This Row],[Total]]*10%,0)</f>
        <v>0</v>
      </c>
      <c r="K827" s="35">
        <f>IFERROR(VLOOKUP(VENTAS[[#This Row],[Código del producto Vendido]],STOCK[],16,FALSE)*VENTAS[[#This Row],[Cantidad]]+VLOOKUP(VENTAS[[#This Row],[Código del producto Vendido]],STOCK[],19,FALSE)*VENTAS[[#This Row],[Cantidad]],VENTAS[[#This Row],[Total]])</f>
        <v>9.74</v>
      </c>
      <c r="L827" s="35">
        <f>VENTAS[[#This Row],[Total]]-VENTAS[[#This Row],[Comisión 10%]]-VENTAS[[#This Row],[Costo SIN Comision]]</f>
        <v>12.26</v>
      </c>
      <c r="M827" s="35"/>
    </row>
    <row r="828" ht="20" customHeight="1" spans="1:13">
      <c r="A828" s="29" t="s">
        <v>3465</v>
      </c>
      <c r="B828" s="30"/>
      <c r="C828" s="30"/>
      <c r="D828" s="30"/>
      <c r="E828" s="30" t="s">
        <v>996</v>
      </c>
      <c r="F828" s="34" t="str">
        <f>IFERROR(VLOOKUP(VENTAS[[#This Row],[Código del producto Vendido]],STOCK[],5,FALSE),"-")</f>
        <v>Top Acanalado</v>
      </c>
      <c r="G828" s="34">
        <v>1</v>
      </c>
      <c r="H828" s="35">
        <v>13</v>
      </c>
      <c r="I828" s="35">
        <f>VENTAS[[#This Row],[Cantidad]]*VENTAS[[#This Row],[Precio Venta]]</f>
        <v>13</v>
      </c>
      <c r="J828" s="35">
        <f>IF(VENTAS[[#This Row],[Nombre del Gestor]]&gt;1,VENTAS[[#This Row],[Total]]*10%,0)</f>
        <v>0</v>
      </c>
      <c r="K828" s="35">
        <f>IFERROR(VLOOKUP(VENTAS[[#This Row],[Código del producto Vendido]],STOCK[],16,FALSE)*VENTAS[[#This Row],[Cantidad]]+VLOOKUP(VENTAS[[#This Row],[Código del producto Vendido]],STOCK[],19,FALSE)*VENTAS[[#This Row],[Cantidad]],VENTAS[[#This Row],[Total]])</f>
        <v>9.28</v>
      </c>
      <c r="L828" s="35">
        <f>VENTAS[[#This Row],[Total]]-VENTAS[[#This Row],[Comisión 10%]]-VENTAS[[#This Row],[Costo SIN Comision]]</f>
        <v>3.72</v>
      </c>
      <c r="M828" s="35"/>
    </row>
    <row r="829" ht="20" customHeight="1" spans="1:13">
      <c r="A829" s="29"/>
      <c r="B829" s="30"/>
      <c r="C829" s="30"/>
      <c r="D829" s="30"/>
      <c r="E829" s="30"/>
      <c r="F829" s="34" t="str">
        <f>IFERROR(VLOOKUP(VENTAS[[#This Row],[Código del producto Vendido]],STOCK[],5,FALSE),"-")</f>
        <v>-</v>
      </c>
      <c r="G829" s="34">
        <v>1</v>
      </c>
      <c r="H829" s="35">
        <v>25</v>
      </c>
      <c r="I829" s="35">
        <f>VENTAS[[#This Row],[Cantidad]]*VENTAS[[#This Row],[Precio Venta]]</f>
        <v>25</v>
      </c>
      <c r="J829" s="35">
        <f>IF(VENTAS[[#This Row],[Nombre del Gestor]]&gt;1,VENTAS[[#This Row],[Total]]*10%,0)</f>
        <v>0</v>
      </c>
      <c r="K829" s="35">
        <f>IFERROR(VLOOKUP(VENTAS[[#This Row],[Código del producto Vendido]],STOCK[],16,FALSE)*VENTAS[[#This Row],[Cantidad]]+VLOOKUP(VENTAS[[#This Row],[Código del producto Vendido]],STOCK[],19,FALSE)*VENTAS[[#This Row],[Cantidad]],VENTAS[[#This Row],[Total]])</f>
        <v>25</v>
      </c>
      <c r="L829" s="35">
        <f>VENTAS[[#This Row],[Total]]-VENTAS[[#This Row],[Comisión 10%]]-VENTAS[[#This Row],[Costo SIN Comision]]</f>
        <v>0</v>
      </c>
      <c r="M829" s="35"/>
    </row>
    <row r="830" ht="20" customHeight="1" spans="1:13">
      <c r="A830" s="29">
        <v>45387</v>
      </c>
      <c r="B830" s="30"/>
      <c r="C830" s="30" t="s">
        <v>3487</v>
      </c>
      <c r="D830" s="30" t="s">
        <v>3481</v>
      </c>
      <c r="E830" s="30" t="s">
        <v>62</v>
      </c>
      <c r="F830" s="34" t="str">
        <f>IFERROR(VLOOKUP(VENTAS[[#This Row],[Código del producto Vendido]],STOCK[],5,FALSE),"-")</f>
        <v>Enguatada con protección UV</v>
      </c>
      <c r="G830" s="34">
        <v>1</v>
      </c>
      <c r="H830" s="35">
        <v>17</v>
      </c>
      <c r="I830" s="35">
        <f>VENTAS[[#This Row],[Cantidad]]*VENTAS[[#This Row],[Precio Venta]]</f>
        <v>17</v>
      </c>
      <c r="J830" s="35">
        <f>IF(VENTAS[[#This Row],[Nombre del Gestor]]&gt;1,VENTAS[[#This Row],[Total]]*10%,0)</f>
        <v>1.7</v>
      </c>
      <c r="K830" s="35">
        <f>IFERROR(VLOOKUP(VENTAS[[#This Row],[Código del producto Vendido]],STOCK[],16,FALSE)*VENTAS[[#This Row],[Cantidad]]+VLOOKUP(VENTAS[[#This Row],[Código del producto Vendido]],STOCK[],19,FALSE)*VENTAS[[#This Row],[Cantidad]],VENTAS[[#This Row],[Total]])</f>
        <v>12.3966666666667</v>
      </c>
      <c r="L830" s="35">
        <f>VENTAS[[#This Row],[Total]]-VENTAS[[#This Row],[Comisión 10%]]-VENTAS[[#This Row],[Costo SIN Comision]]</f>
        <v>2.90333333333333</v>
      </c>
      <c r="M830" s="35"/>
    </row>
    <row r="831" ht="20" customHeight="1" spans="1:13">
      <c r="A831" s="29" t="s">
        <v>3465</v>
      </c>
      <c r="B831" s="30"/>
      <c r="C831" s="30"/>
      <c r="D831" s="30"/>
      <c r="E831" s="30" t="s">
        <v>661</v>
      </c>
      <c r="F831" s="34" t="str">
        <f>IFERROR(VLOOKUP(VENTAS[[#This Row],[Código del producto Vendido]],STOCK[],5,FALSE),"-")</f>
        <v>Top Cruzado negro</v>
      </c>
      <c r="G831" s="34">
        <v>2</v>
      </c>
      <c r="H831" s="35">
        <v>9</v>
      </c>
      <c r="I831" s="35">
        <f>VENTAS[[#This Row],[Cantidad]]*VENTAS[[#This Row],[Precio Venta]]</f>
        <v>18</v>
      </c>
      <c r="J831" s="35">
        <f>IF(VENTAS[[#This Row],[Nombre del Gestor]]&gt;1,VENTAS[[#This Row],[Total]]*10%,0)</f>
        <v>0</v>
      </c>
      <c r="K831" s="35">
        <f>IFERROR(VLOOKUP(VENTAS[[#This Row],[Código del producto Vendido]],STOCK[],16,FALSE)*VENTAS[[#This Row],[Cantidad]]+VLOOKUP(VENTAS[[#This Row],[Código del producto Vendido]],STOCK[],19,FALSE)*VENTAS[[#This Row],[Cantidad]],VENTAS[[#This Row],[Total]])</f>
        <v>9.80333333333334</v>
      </c>
      <c r="L831" s="35">
        <f>VENTAS[[#This Row],[Total]]-VENTAS[[#This Row],[Comisión 10%]]-VENTAS[[#This Row],[Costo SIN Comision]]</f>
        <v>8.19666666666666</v>
      </c>
      <c r="M831" s="35"/>
    </row>
    <row r="832" ht="20" customHeight="1" spans="1:13">
      <c r="A832" s="29" t="s">
        <v>3465</v>
      </c>
      <c r="B832" s="30"/>
      <c r="C832" s="30"/>
      <c r="D832" s="30"/>
      <c r="E832" s="30" t="s">
        <v>1668</v>
      </c>
      <c r="F832" s="34" t="str">
        <f>IFERROR(VLOOKUP(VENTAS[[#This Row],[Código del producto Vendido]],STOCK[],5,FALSE),"-")</f>
        <v>Conjunto Albaricoque</v>
      </c>
      <c r="G832" s="34">
        <v>1</v>
      </c>
      <c r="H832" s="35">
        <v>27</v>
      </c>
      <c r="I832" s="35">
        <f>VENTAS[[#This Row],[Cantidad]]*VENTAS[[#This Row],[Precio Venta]]</f>
        <v>27</v>
      </c>
      <c r="J832" s="35">
        <f>IF(VENTAS[[#This Row],[Nombre del Gestor]]&gt;1,VENTAS[[#This Row],[Total]]*10%,0)</f>
        <v>0</v>
      </c>
      <c r="K832" s="35">
        <f>IFERROR(VLOOKUP(VENTAS[[#This Row],[Código del producto Vendido]],STOCK[],16,FALSE)*VENTAS[[#This Row],[Cantidad]]+VLOOKUP(VENTAS[[#This Row],[Código del producto Vendido]],STOCK[],19,FALSE)*VENTAS[[#This Row],[Cantidad]],VENTAS[[#This Row],[Total]])</f>
        <v>13.97</v>
      </c>
      <c r="L832" s="35">
        <f>VENTAS[[#This Row],[Total]]-VENTAS[[#This Row],[Comisión 10%]]-VENTAS[[#This Row],[Costo SIN Comision]]</f>
        <v>13.03</v>
      </c>
      <c r="M832" s="35"/>
    </row>
    <row r="833" ht="20" customHeight="1" spans="1:13">
      <c r="A833" s="29">
        <v>45386</v>
      </c>
      <c r="B833" s="30"/>
      <c r="C833" s="30" t="s">
        <v>3487</v>
      </c>
      <c r="D833" s="30" t="s">
        <v>3481</v>
      </c>
      <c r="E833" s="30" t="s">
        <v>1666</v>
      </c>
      <c r="F833" s="34" t="str">
        <f>IFERROR(VLOOKUP(VENTAS[[#This Row],[Código del producto Vendido]],STOCK[],5,FALSE),"-")</f>
        <v>Vestido cruzado </v>
      </c>
      <c r="G833" s="34">
        <v>1</v>
      </c>
      <c r="H833" s="35">
        <v>23</v>
      </c>
      <c r="I833" s="35">
        <f>VENTAS[[#This Row],[Cantidad]]*VENTAS[[#This Row],[Precio Venta]]</f>
        <v>23</v>
      </c>
      <c r="J833" s="35">
        <f>IF(VENTAS[[#This Row],[Nombre del Gestor]]&gt;1,VENTAS[[#This Row],[Total]]*10%,0)</f>
        <v>2.3</v>
      </c>
      <c r="K833" s="35">
        <f>IFERROR(VLOOKUP(VENTAS[[#This Row],[Código del producto Vendido]],STOCK[],16,FALSE)*VENTAS[[#This Row],[Cantidad]]+VLOOKUP(VENTAS[[#This Row],[Código del producto Vendido]],STOCK[],19,FALSE)*VENTAS[[#This Row],[Cantidad]],VENTAS[[#This Row],[Total]])</f>
        <v>14.65</v>
      </c>
      <c r="L833" s="35">
        <f>VENTAS[[#This Row],[Total]]-VENTAS[[#This Row],[Comisión 10%]]-VENTAS[[#This Row],[Costo SIN Comision]]</f>
        <v>6.05</v>
      </c>
      <c r="M833" s="35"/>
    </row>
    <row r="834" ht="20" customHeight="1" spans="1:13">
      <c r="A834" s="29">
        <v>45387</v>
      </c>
      <c r="B834" s="30"/>
      <c r="C834" s="30" t="s">
        <v>3487</v>
      </c>
      <c r="D834" s="30" t="s">
        <v>3481</v>
      </c>
      <c r="E834" s="30" t="s">
        <v>411</v>
      </c>
      <c r="F834" s="34" t="str">
        <f>IFERROR(VLOOKUP(VENTAS[[#This Row],[Código del producto Vendido]],STOCK[],5,FALSE),"-")</f>
        <v>Bikini Floral</v>
      </c>
      <c r="G834" s="34">
        <v>1</v>
      </c>
      <c r="H834" s="35">
        <v>22</v>
      </c>
      <c r="I834" s="35">
        <f>VENTAS[[#This Row],[Cantidad]]*VENTAS[[#This Row],[Precio Venta]]</f>
        <v>22</v>
      </c>
      <c r="J834" s="35">
        <f>IF(VENTAS[[#This Row],[Nombre del Gestor]]&gt;1,VENTAS[[#This Row],[Total]]*10%,0)</f>
        <v>2.2</v>
      </c>
      <c r="K834" s="35">
        <f>IFERROR(VLOOKUP(VENTAS[[#This Row],[Código del producto Vendido]],STOCK[],16,FALSE)*VENTAS[[#This Row],[Cantidad]]+VLOOKUP(VENTAS[[#This Row],[Código del producto Vendido]],STOCK[],19,FALSE)*VENTAS[[#This Row],[Cantidad]],VENTAS[[#This Row],[Total]])</f>
        <v>13.9444444444444</v>
      </c>
      <c r="L834" s="35">
        <f>VENTAS[[#This Row],[Total]]-VENTAS[[#This Row],[Comisión 10%]]-VENTAS[[#This Row],[Costo SIN Comision]]</f>
        <v>5.8555555555556</v>
      </c>
      <c r="M834" s="35"/>
    </row>
    <row r="835" ht="20" customHeight="1" spans="1:13">
      <c r="A835" s="29">
        <v>45387</v>
      </c>
      <c r="B835" s="30"/>
      <c r="C835" s="30" t="s">
        <v>3487</v>
      </c>
      <c r="D835" s="30" t="s">
        <v>3481</v>
      </c>
      <c r="E835" s="30" t="s">
        <v>406</v>
      </c>
      <c r="F835" s="34" t="str">
        <f>IFERROR(VLOOKUP(VENTAS[[#This Row],[Código del producto Vendido]],STOCK[],5,FALSE),"-")</f>
        <v>Bañador una pieza de color combinado </v>
      </c>
      <c r="G835" s="34">
        <v>1</v>
      </c>
      <c r="H835" s="35">
        <v>18</v>
      </c>
      <c r="I835" s="35">
        <f>VENTAS[[#This Row],[Cantidad]]*VENTAS[[#This Row],[Precio Venta]]</f>
        <v>18</v>
      </c>
      <c r="J835" s="35">
        <f>IF(VENTAS[[#This Row],[Nombre del Gestor]]&gt;1,VENTAS[[#This Row],[Total]]*10%,0)</f>
        <v>1.8</v>
      </c>
      <c r="K835" s="35">
        <f>IFERROR(VLOOKUP(VENTAS[[#This Row],[Código del producto Vendido]],STOCK[],16,FALSE)*VENTAS[[#This Row],[Cantidad]]+VLOOKUP(VENTAS[[#This Row],[Código del producto Vendido]],STOCK[],19,FALSE)*VENTAS[[#This Row],[Cantidad]],VENTAS[[#This Row],[Total]])</f>
        <v>9.66666666666667</v>
      </c>
      <c r="L835" s="35">
        <f>VENTAS[[#This Row],[Total]]-VENTAS[[#This Row],[Comisión 10%]]-VENTAS[[#This Row],[Costo SIN Comision]]</f>
        <v>6.53333333333333</v>
      </c>
      <c r="M835" s="35"/>
    </row>
    <row r="836" ht="20" customHeight="1" spans="1:13">
      <c r="A836" s="29">
        <v>45387</v>
      </c>
      <c r="B836" s="30"/>
      <c r="C836" s="30" t="s">
        <v>3487</v>
      </c>
      <c r="D836" s="30" t="s">
        <v>3481</v>
      </c>
      <c r="E836" s="30" t="s">
        <v>492</v>
      </c>
      <c r="F836" s="34" t="str">
        <f>IFERROR(VLOOKUP(VENTAS[[#This Row],[Código del producto Vendido]],STOCK[],5,FALSE),"-")</f>
        <v>Bañador de talle alto con vuelos</v>
      </c>
      <c r="G836" s="34">
        <v>1</v>
      </c>
      <c r="H836" s="35">
        <v>22</v>
      </c>
      <c r="I836" s="35">
        <f>VENTAS[[#This Row],[Cantidad]]*VENTAS[[#This Row],[Precio Venta]]</f>
        <v>22</v>
      </c>
      <c r="J836" s="35">
        <f>IF(VENTAS[[#This Row],[Nombre del Gestor]]&gt;1,VENTAS[[#This Row],[Total]]*10%,0)</f>
        <v>2.2</v>
      </c>
      <c r="K836" s="35">
        <f>IFERROR(VLOOKUP(VENTAS[[#This Row],[Código del producto Vendido]],STOCK[],16,FALSE)*VENTAS[[#This Row],[Cantidad]]+VLOOKUP(VENTAS[[#This Row],[Código del producto Vendido]],STOCK[],19,FALSE)*VENTAS[[#This Row],[Cantidad]],VENTAS[[#This Row],[Total]])</f>
        <v>12.4805555555556</v>
      </c>
      <c r="L836" s="35">
        <f>VENTAS[[#This Row],[Total]]-VENTAS[[#This Row],[Comisión 10%]]-VENTAS[[#This Row],[Costo SIN Comision]]</f>
        <v>7.3194444444444</v>
      </c>
      <c r="M836" s="35"/>
    </row>
    <row r="837" ht="20" customHeight="1" spans="1:13">
      <c r="A837" s="29">
        <v>45390</v>
      </c>
      <c r="B837" s="30"/>
      <c r="C837" s="30"/>
      <c r="D837" s="30" t="s">
        <v>3481</v>
      </c>
      <c r="E837" s="30" t="s">
        <v>1748</v>
      </c>
      <c r="F837" s="34" t="str">
        <f>IFERROR(VLOOKUP(VENTAS[[#This Row],[Código del producto Vendido]],STOCK[],5,FALSE),"-")</f>
        <v>Traje de baño de mangas estampadas</v>
      </c>
      <c r="G837" s="34">
        <v>2</v>
      </c>
      <c r="H837" s="35">
        <v>25</v>
      </c>
      <c r="I837" s="35">
        <f>VENTAS[[#This Row],[Cantidad]]*VENTAS[[#This Row],[Precio Venta]]</f>
        <v>50</v>
      </c>
      <c r="J837" s="35">
        <f>IF(VENTAS[[#This Row],[Nombre del Gestor]]&gt;1,VENTAS[[#This Row],[Total]]*10%,0)</f>
        <v>5</v>
      </c>
      <c r="K837" s="35">
        <f>IFERROR(VLOOKUP(VENTAS[[#This Row],[Código del producto Vendido]],STOCK[],16,FALSE)*VENTAS[[#This Row],[Cantidad]]+VLOOKUP(VENTAS[[#This Row],[Código del producto Vendido]],STOCK[],19,FALSE)*VENTAS[[#This Row],[Cantidad]],VENTAS[[#This Row],[Total]])</f>
        <v>24.8235294117648</v>
      </c>
      <c r="L837" s="35">
        <f>VENTAS[[#This Row],[Total]]-VENTAS[[#This Row],[Comisión 10%]]-VENTAS[[#This Row],[Costo SIN Comision]]</f>
        <v>20.1764705882352</v>
      </c>
      <c r="M837" s="35"/>
    </row>
    <row r="838" ht="20" customHeight="1" spans="1:13">
      <c r="A838" s="29">
        <v>45389</v>
      </c>
      <c r="B838" s="30"/>
      <c r="C838" s="30"/>
      <c r="D838" s="30" t="s">
        <v>3481</v>
      </c>
      <c r="E838" s="30" t="s">
        <v>1779</v>
      </c>
      <c r="F838" s="34" t="str">
        <f>IFERROR(VLOOKUP(VENTAS[[#This Row],[Código del producto Vendido]],STOCK[],5,FALSE),"-")</f>
        <v>Conjunto de bikini moca</v>
      </c>
      <c r="G838" s="34">
        <v>1</v>
      </c>
      <c r="H838" s="35">
        <v>20</v>
      </c>
      <c r="I838" s="35">
        <f>VENTAS[[#This Row],[Cantidad]]*VENTAS[[#This Row],[Precio Venta]]</f>
        <v>20</v>
      </c>
      <c r="J838" s="35">
        <f>IF(VENTAS[[#This Row],[Nombre del Gestor]]&gt;1,VENTAS[[#This Row],[Total]]*10%,0)</f>
        <v>2</v>
      </c>
      <c r="K838" s="35">
        <f>IFERROR(VLOOKUP(VENTAS[[#This Row],[Código del producto Vendido]],STOCK[],16,FALSE)*VENTAS[[#This Row],[Cantidad]]+VLOOKUP(VENTAS[[#This Row],[Código del producto Vendido]],STOCK[],19,FALSE)*VENTAS[[#This Row],[Cantidad]],VENTAS[[#This Row],[Total]])</f>
        <v>12.3529411764706</v>
      </c>
      <c r="L838" s="35">
        <f>VENTAS[[#This Row],[Total]]-VENTAS[[#This Row],[Comisión 10%]]-VENTAS[[#This Row],[Costo SIN Comision]]</f>
        <v>5.64705882352941</v>
      </c>
      <c r="M838" s="35"/>
    </row>
    <row r="839" ht="20" customHeight="1" spans="1:13">
      <c r="A839" s="29" t="s">
        <v>3465</v>
      </c>
      <c r="B839" s="30"/>
      <c r="C839" s="30"/>
      <c r="D839" s="30"/>
      <c r="E839" s="30" t="s">
        <v>973</v>
      </c>
      <c r="F839" s="34" t="str">
        <f>IFERROR(VLOOKUP(VENTAS[[#This Row],[Código del producto Vendido]],STOCK[],5,FALSE),"-")</f>
        <v>Bañador despalda descubierta</v>
      </c>
      <c r="G839" s="34">
        <v>1</v>
      </c>
      <c r="H839" s="35">
        <v>25</v>
      </c>
      <c r="I839" s="35">
        <f>VENTAS[[#This Row],[Cantidad]]*VENTAS[[#This Row],[Precio Venta]]</f>
        <v>25</v>
      </c>
      <c r="J839" s="35">
        <f>IF(VENTAS[[#This Row],[Nombre del Gestor]]&gt;1,VENTAS[[#This Row],[Total]]*10%,0)</f>
        <v>0</v>
      </c>
      <c r="K839" s="35">
        <f>IFERROR(VLOOKUP(VENTAS[[#This Row],[Código del producto Vendido]],STOCK[],16,FALSE)*VENTAS[[#This Row],[Cantidad]]+VLOOKUP(VENTAS[[#This Row],[Código del producto Vendido]],STOCK[],19,FALSE)*VENTAS[[#This Row],[Cantidad]],VENTAS[[#This Row],[Total]])</f>
        <v>15.325</v>
      </c>
      <c r="L839" s="35">
        <f>VENTAS[[#This Row],[Total]]-VENTAS[[#This Row],[Comisión 10%]]-VENTAS[[#This Row],[Costo SIN Comision]]</f>
        <v>9.675</v>
      </c>
      <c r="M839" s="35"/>
    </row>
    <row r="840" ht="20" customHeight="1" spans="1:13">
      <c r="A840" s="29">
        <v>45386</v>
      </c>
      <c r="B840" s="30"/>
      <c r="C840" s="30"/>
      <c r="D840" s="30" t="s">
        <v>3481</v>
      </c>
      <c r="E840" s="30" t="s">
        <v>404</v>
      </c>
      <c r="F840" s="34" t="str">
        <f>IFERROR(VLOOKUP(VENTAS[[#This Row],[Código del producto Vendido]],STOCK[],5,FALSE),"-")</f>
        <v>Vestido Bohemio</v>
      </c>
      <c r="G840" s="34">
        <v>1</v>
      </c>
      <c r="H840" s="35">
        <v>20</v>
      </c>
      <c r="I840" s="35">
        <f>VENTAS[[#This Row],[Cantidad]]*VENTAS[[#This Row],[Precio Venta]]</f>
        <v>20</v>
      </c>
      <c r="J840" s="35">
        <f>IF(VENTAS[[#This Row],[Nombre del Gestor]]&gt;1,VENTAS[[#This Row],[Total]]*10%,0)</f>
        <v>2</v>
      </c>
      <c r="K840" s="35">
        <f>IFERROR(VLOOKUP(VENTAS[[#This Row],[Código del producto Vendido]],STOCK[],16,FALSE)*VENTAS[[#This Row],[Cantidad]]+VLOOKUP(VENTAS[[#This Row],[Código del producto Vendido]],STOCK[],19,FALSE)*VENTAS[[#This Row],[Cantidad]],VENTAS[[#This Row],[Total]])</f>
        <v>12.5705555555556</v>
      </c>
      <c r="L840" s="35">
        <f>VENTAS[[#This Row],[Total]]-VENTAS[[#This Row],[Comisión 10%]]-VENTAS[[#This Row],[Costo SIN Comision]]</f>
        <v>5.42944444444444</v>
      </c>
      <c r="M840" s="35"/>
    </row>
    <row r="841" ht="20" customHeight="1" spans="1:13">
      <c r="A841" s="29">
        <v>45383</v>
      </c>
      <c r="B841" s="30"/>
      <c r="C841" s="30"/>
      <c r="D841" s="30" t="s">
        <v>3481</v>
      </c>
      <c r="E841" s="30" t="s">
        <v>1414</v>
      </c>
      <c r="F841" s="34" t="str">
        <f>IFERROR(VLOOKUP(VENTAS[[#This Row],[Código del producto Vendido]],STOCK[],5,FALSE),"-")</f>
        <v>Jean MOM con rotos</v>
      </c>
      <c r="G841" s="34">
        <v>1</v>
      </c>
      <c r="H841" s="35">
        <v>32</v>
      </c>
      <c r="I841" s="35">
        <f>VENTAS[[#This Row],[Cantidad]]*VENTAS[[#This Row],[Precio Venta]]</f>
        <v>32</v>
      </c>
      <c r="J841" s="35">
        <f>IF(VENTAS[[#This Row],[Nombre del Gestor]]&gt;1,VENTAS[[#This Row],[Total]]*10%,0)</f>
        <v>3.2</v>
      </c>
      <c r="K841" s="35">
        <f>IFERROR(VLOOKUP(VENTAS[[#This Row],[Código del producto Vendido]],STOCK[],16,FALSE)*VENTAS[[#This Row],[Cantidad]]+VLOOKUP(VENTAS[[#This Row],[Código del producto Vendido]],STOCK[],19,FALSE)*VENTAS[[#This Row],[Cantidad]],VENTAS[[#This Row],[Total]])</f>
        <v>20</v>
      </c>
      <c r="L841" s="35">
        <f>VENTAS[[#This Row],[Total]]-VENTAS[[#This Row],[Comisión 10%]]-VENTAS[[#This Row],[Costo SIN Comision]]</f>
        <v>8.8</v>
      </c>
      <c r="M841" s="35"/>
    </row>
    <row r="842" ht="20" customHeight="1" spans="1:13">
      <c r="A842" s="29">
        <v>45393</v>
      </c>
      <c r="B842" s="30"/>
      <c r="C842" s="30"/>
      <c r="D842" s="30" t="s">
        <v>3481</v>
      </c>
      <c r="E842" s="30" t="s">
        <v>1301</v>
      </c>
      <c r="F842" s="34" t="str">
        <f>IFERROR(VLOOKUP(VENTAS[[#This Row],[Código del producto Vendido]],STOCK[],5,FALSE),"-")</f>
        <v>Jean ajustado Claro</v>
      </c>
      <c r="G842" s="34">
        <v>1</v>
      </c>
      <c r="H842" s="35">
        <v>32</v>
      </c>
      <c r="I842" s="35">
        <f>VENTAS[[#This Row],[Cantidad]]*VENTAS[[#This Row],[Precio Venta]]</f>
        <v>32</v>
      </c>
      <c r="J842" s="35">
        <f>IF(VENTAS[[#This Row],[Nombre del Gestor]]&gt;1,VENTAS[[#This Row],[Total]]*10%,0)</f>
        <v>3.2</v>
      </c>
      <c r="K842" s="35">
        <f>IFERROR(VLOOKUP(VENTAS[[#This Row],[Código del producto Vendido]],STOCK[],16,FALSE)*VENTAS[[#This Row],[Cantidad]]+VLOOKUP(VENTAS[[#This Row],[Código del producto Vendido]],STOCK[],19,FALSE)*VENTAS[[#This Row],[Cantidad]],VENTAS[[#This Row],[Total]])</f>
        <v>23.79</v>
      </c>
      <c r="L842" s="35">
        <f>VENTAS[[#This Row],[Total]]-VENTAS[[#This Row],[Comisión 10%]]-VENTAS[[#This Row],[Costo SIN Comision]]</f>
        <v>5.01</v>
      </c>
      <c r="M842" s="35"/>
    </row>
    <row r="843" ht="20" customHeight="1" spans="1:13">
      <c r="A843" s="29">
        <v>45385</v>
      </c>
      <c r="B843" s="30"/>
      <c r="C843" s="30"/>
      <c r="D843" s="30" t="s">
        <v>3481</v>
      </c>
      <c r="E843" s="30" t="s">
        <v>1571</v>
      </c>
      <c r="F843" s="34" t="str">
        <f>IFERROR(VLOOKUP(VENTAS[[#This Row],[Código del producto Vendido]],STOCK[],5,FALSE),"-")</f>
        <v>Sandalias de tiras</v>
      </c>
      <c r="G843" s="34">
        <v>2</v>
      </c>
      <c r="H843" s="35">
        <v>25</v>
      </c>
      <c r="I843" s="35">
        <f>VENTAS[[#This Row],[Cantidad]]*VENTAS[[#This Row],[Precio Venta]]</f>
        <v>50</v>
      </c>
      <c r="J843" s="35">
        <f>IF(VENTAS[[#This Row],[Nombre del Gestor]]&gt;1,VENTAS[[#This Row],[Total]]*10%,0)</f>
        <v>5</v>
      </c>
      <c r="K843" s="35">
        <f>IFERROR(VLOOKUP(VENTAS[[#This Row],[Código del producto Vendido]],STOCK[],16,FALSE)*VENTAS[[#This Row],[Cantidad]]+VLOOKUP(VENTAS[[#This Row],[Código del producto Vendido]],STOCK[],19,FALSE)*VENTAS[[#This Row],[Cantidad]],VENTAS[[#This Row],[Total]])</f>
        <v>28</v>
      </c>
      <c r="L843" s="35">
        <f>VENTAS[[#This Row],[Total]]-VENTAS[[#This Row],[Comisión 10%]]-VENTAS[[#This Row],[Costo SIN Comision]]</f>
        <v>17</v>
      </c>
      <c r="M843" s="35"/>
    </row>
    <row r="844" ht="20" customHeight="1" spans="1:13">
      <c r="A844" s="29">
        <v>45393</v>
      </c>
      <c r="B844" s="30"/>
      <c r="C844" s="30"/>
      <c r="D844" s="30"/>
      <c r="E844" s="30" t="s">
        <v>2040</v>
      </c>
      <c r="F844" s="34" t="str">
        <f>IFERROR(VLOOKUP(VENTAS[[#This Row],[Código del producto Vendido]],STOCK[],5,FALSE),"-")</f>
        <v>Blusa estampada geométrica</v>
      </c>
      <c r="G844" s="34">
        <v>1</v>
      </c>
      <c r="H844" s="35">
        <v>3</v>
      </c>
      <c r="I844" s="35">
        <f>VENTAS[[#This Row],[Cantidad]]*VENTAS[[#This Row],[Precio Venta]]</f>
        <v>3</v>
      </c>
      <c r="J844" s="35">
        <f>IF(VENTAS[[#This Row],[Nombre del Gestor]]&gt;1,VENTAS[[#This Row],[Total]]*10%,0)</f>
        <v>0</v>
      </c>
      <c r="K844" s="35">
        <f>IFERROR(VLOOKUP(VENTAS[[#This Row],[Código del producto Vendido]],STOCK[],16,FALSE)*VENTAS[[#This Row],[Cantidad]]+VLOOKUP(VENTAS[[#This Row],[Código del producto Vendido]],STOCK[],19,FALSE)*VENTAS[[#This Row],[Cantidad]],VENTAS[[#This Row],[Total]])</f>
        <v>0</v>
      </c>
      <c r="L844" s="35">
        <f>VENTAS[[#This Row],[Total]]-VENTAS[[#This Row],[Comisión 10%]]-VENTAS[[#This Row],[Costo SIN Comision]]</f>
        <v>3</v>
      </c>
      <c r="M844" s="35" t="s">
        <v>3483</v>
      </c>
    </row>
    <row r="845" ht="20" customHeight="1" spans="1:13">
      <c r="A845" s="29">
        <v>45391</v>
      </c>
      <c r="B845" s="30"/>
      <c r="C845" s="30" t="s">
        <v>3415</v>
      </c>
      <c r="D845" s="30"/>
      <c r="E845" s="30" t="s">
        <v>1869</v>
      </c>
      <c r="F845" s="34" t="str">
        <f>IFERROR(VLOOKUP(VENTAS[[#This Row],[Código del producto Vendido]],STOCK[],5,FALSE),"-")</f>
        <v>Blazer entallado</v>
      </c>
      <c r="G845" s="34">
        <v>1</v>
      </c>
      <c r="H845" s="35">
        <v>40</v>
      </c>
      <c r="I845" s="35">
        <f>VENTAS[[#This Row],[Cantidad]]*VENTAS[[#This Row],[Precio Venta]]</f>
        <v>40</v>
      </c>
      <c r="J845" s="35">
        <f>IF(VENTAS[[#This Row],[Nombre del Gestor]]&gt;1,VENTAS[[#This Row],[Total]]*10%,0)</f>
        <v>0</v>
      </c>
      <c r="K845" s="35">
        <f>IFERROR(VLOOKUP(VENTAS[[#This Row],[Código del producto Vendido]],STOCK[],16,FALSE)*VENTAS[[#This Row],[Cantidad]]+VLOOKUP(VENTAS[[#This Row],[Código del producto Vendido]],STOCK[],19,FALSE)*VENTAS[[#This Row],[Cantidad]],VENTAS[[#This Row],[Total]])</f>
        <v>24.29</v>
      </c>
      <c r="L845" s="35">
        <f>VENTAS[[#This Row],[Total]]-VENTAS[[#This Row],[Comisión 10%]]-VENTAS[[#This Row],[Costo SIN Comision]]</f>
        <v>15.71</v>
      </c>
      <c r="M845" s="35"/>
    </row>
    <row r="846" ht="20" customHeight="1" spans="1:13">
      <c r="A846" s="29">
        <v>45391</v>
      </c>
      <c r="B846" s="30"/>
      <c r="C846" s="30" t="s">
        <v>3415</v>
      </c>
      <c r="D846" s="30"/>
      <c r="E846" s="30" t="s">
        <v>1601</v>
      </c>
      <c r="F846" s="34" t="str">
        <f>IFERROR(VLOOKUP(VENTAS[[#This Row],[Código del producto Vendido]],STOCK[],5,FALSE),"-")</f>
        <v>Sandalias minimalistas de tacón</v>
      </c>
      <c r="G846" s="34">
        <v>1</v>
      </c>
      <c r="H846" s="35">
        <v>45</v>
      </c>
      <c r="I846" s="35">
        <f>VENTAS[[#This Row],[Cantidad]]*VENTAS[[#This Row],[Precio Venta]]</f>
        <v>45</v>
      </c>
      <c r="J846" s="35">
        <f>IF(VENTAS[[#This Row],[Nombre del Gestor]]&gt;1,VENTAS[[#This Row],[Total]]*10%,0)</f>
        <v>0</v>
      </c>
      <c r="K846" s="35">
        <f>IFERROR(VLOOKUP(VENTAS[[#This Row],[Código del producto Vendido]],STOCK[],16,FALSE)*VENTAS[[#This Row],[Cantidad]]+VLOOKUP(VENTAS[[#This Row],[Código del producto Vendido]],STOCK[],19,FALSE)*VENTAS[[#This Row],[Cantidad]],VENTAS[[#This Row],[Total]])</f>
        <v>17.36</v>
      </c>
      <c r="L846" s="35">
        <f>VENTAS[[#This Row],[Total]]-VENTAS[[#This Row],[Comisión 10%]]-VENTAS[[#This Row],[Costo SIN Comision]]</f>
        <v>27.64</v>
      </c>
      <c r="M846" s="35"/>
    </row>
    <row r="847" ht="20" customHeight="1" spans="1:13">
      <c r="A847" s="29">
        <v>45394</v>
      </c>
      <c r="B847" s="30"/>
      <c r="C847" s="30"/>
      <c r="D847" s="30"/>
      <c r="E847" s="30" t="s">
        <v>1898</v>
      </c>
      <c r="F847" s="34" t="str">
        <f>IFERROR(VLOOKUP(VENTAS[[#This Row],[Código del producto Vendido]],STOCK[],5,FALSE),"-")</f>
        <v>Bolso mochila Rojo</v>
      </c>
      <c r="G847" s="34">
        <v>1</v>
      </c>
      <c r="H847" s="35">
        <v>25</v>
      </c>
      <c r="I847" s="35">
        <f>VENTAS[[#This Row],[Cantidad]]*VENTAS[[#This Row],[Precio Venta]]</f>
        <v>25</v>
      </c>
      <c r="J847" s="35">
        <f>IF(VENTAS[[#This Row],[Nombre del Gestor]]&gt;1,VENTAS[[#This Row],[Total]]*10%,0)</f>
        <v>0</v>
      </c>
      <c r="K847" s="35">
        <f>IFERROR(VLOOKUP(VENTAS[[#This Row],[Código del producto Vendido]],STOCK[],16,FALSE)*VENTAS[[#This Row],[Cantidad]]+VLOOKUP(VENTAS[[#This Row],[Código del producto Vendido]],STOCK[],19,FALSE)*VENTAS[[#This Row],[Cantidad]],VENTAS[[#This Row],[Total]])</f>
        <v>11.77</v>
      </c>
      <c r="L847" s="35">
        <f>VENTAS[[#This Row],[Total]]-VENTAS[[#This Row],[Comisión 10%]]-VENTAS[[#This Row],[Costo SIN Comision]]</f>
        <v>13.23</v>
      </c>
      <c r="M847" s="35"/>
    </row>
    <row r="848" ht="20" customHeight="1" spans="1:13">
      <c r="A848" s="29">
        <v>45394</v>
      </c>
      <c r="B848" s="30"/>
      <c r="C848" s="30" t="s">
        <v>3488</v>
      </c>
      <c r="D848" s="30"/>
      <c r="E848" s="30" t="s">
        <v>1896</v>
      </c>
      <c r="F848" s="34" t="str">
        <f>IFERROR(VLOOKUP(VENTAS[[#This Row],[Código del producto Vendido]],STOCK[],5,FALSE),"-")</f>
        <v>Bolso mochila estampado</v>
      </c>
      <c r="G848" s="34">
        <v>1</v>
      </c>
      <c r="H848" s="35">
        <v>25</v>
      </c>
      <c r="I848" s="35">
        <f>VENTAS[[#This Row],[Cantidad]]*VENTAS[[#This Row],[Precio Venta]]</f>
        <v>25</v>
      </c>
      <c r="J848" s="35">
        <f>IF(VENTAS[[#This Row],[Nombre del Gestor]]&gt;1,VENTAS[[#This Row],[Total]]*10%,0)</f>
        <v>0</v>
      </c>
      <c r="K848" s="35">
        <f>IFERROR(VLOOKUP(VENTAS[[#This Row],[Código del producto Vendido]],STOCK[],16,FALSE)*VENTAS[[#This Row],[Cantidad]]+VLOOKUP(VENTAS[[#This Row],[Código del producto Vendido]],STOCK[],19,FALSE)*VENTAS[[#This Row],[Cantidad]],VENTAS[[#This Row],[Total]])</f>
        <v>12.62</v>
      </c>
      <c r="L848" s="35">
        <f>VENTAS[[#This Row],[Total]]-VENTAS[[#This Row],[Comisión 10%]]-VENTAS[[#This Row],[Costo SIN Comision]]</f>
        <v>12.38</v>
      </c>
      <c r="M848" s="35"/>
    </row>
    <row r="849" ht="20" customHeight="1" spans="1:13">
      <c r="A849" s="29">
        <v>45394</v>
      </c>
      <c r="B849" s="30"/>
      <c r="C849" s="30" t="s">
        <v>3469</v>
      </c>
      <c r="D849" s="30"/>
      <c r="E849" s="30" t="s">
        <v>1900</v>
      </c>
      <c r="F849" s="34" t="str">
        <f>IFERROR(VLOOKUP(VENTAS[[#This Row],[Código del producto Vendido]],STOCK[],5,FALSE),"-")</f>
        <v>Blusa estampada de Lunares</v>
      </c>
      <c r="G849" s="34">
        <v>1</v>
      </c>
      <c r="H849" s="35">
        <v>14</v>
      </c>
      <c r="I849" s="35">
        <f>VENTAS[[#This Row],[Cantidad]]*VENTAS[[#This Row],[Precio Venta]]</f>
        <v>14</v>
      </c>
      <c r="J849" s="35">
        <f>IF(VENTAS[[#This Row],[Nombre del Gestor]]&gt;1,VENTAS[[#This Row],[Total]]*10%,0)</f>
        <v>0</v>
      </c>
      <c r="K849" s="35">
        <f>IFERROR(VLOOKUP(VENTAS[[#This Row],[Código del producto Vendido]],STOCK[],16,FALSE)*VENTAS[[#This Row],[Cantidad]]+VLOOKUP(VENTAS[[#This Row],[Código del producto Vendido]],STOCK[],19,FALSE)*VENTAS[[#This Row],[Cantidad]],VENTAS[[#This Row],[Total]])</f>
        <v>9.2</v>
      </c>
      <c r="L849" s="35">
        <f>VENTAS[[#This Row],[Total]]-VENTAS[[#This Row],[Comisión 10%]]-VENTAS[[#This Row],[Costo SIN Comision]]</f>
        <v>4.8</v>
      </c>
      <c r="M849" s="35"/>
    </row>
    <row r="850" ht="20" customHeight="1" spans="1:13">
      <c r="A850" s="29">
        <v>45394</v>
      </c>
      <c r="B850" s="30"/>
      <c r="C850" s="30"/>
      <c r="D850" s="30" t="s">
        <v>3481</v>
      </c>
      <c r="E850" s="30" t="s">
        <v>1858</v>
      </c>
      <c r="F850" s="34" t="str">
        <f>IFERROR(VLOOKUP(VENTAS[[#This Row],[Código del producto Vendido]],STOCK[],5,FALSE),"-")</f>
        <v>Bolso Baguette Rojo</v>
      </c>
      <c r="G850" s="34">
        <v>1</v>
      </c>
      <c r="H850" s="35">
        <v>25</v>
      </c>
      <c r="I850" s="35">
        <f>VENTAS[[#This Row],[Cantidad]]*VENTAS[[#This Row],[Precio Venta]]</f>
        <v>25</v>
      </c>
      <c r="J850" s="35">
        <f>IF(VENTAS[[#This Row],[Nombre del Gestor]]&gt;1,VENTAS[[#This Row],[Total]]*10%,0)</f>
        <v>2.5</v>
      </c>
      <c r="K850" s="35">
        <f>IFERROR(VLOOKUP(VENTAS[[#This Row],[Código del producto Vendido]],STOCK[],16,FALSE)*VENTAS[[#This Row],[Cantidad]]+VLOOKUP(VENTAS[[#This Row],[Código del producto Vendido]],STOCK[],19,FALSE)*VENTAS[[#This Row],[Cantidad]],VENTAS[[#This Row],[Total]])</f>
        <v>15.79</v>
      </c>
      <c r="L850" s="35">
        <f>VENTAS[[#This Row],[Total]]-VENTAS[[#This Row],[Comisión 10%]]-VENTAS[[#This Row],[Costo SIN Comision]]</f>
        <v>6.71</v>
      </c>
      <c r="M850" s="35"/>
    </row>
    <row r="851" ht="20" customHeight="1" spans="1:13">
      <c r="A851" s="29">
        <v>45394</v>
      </c>
      <c r="B851" s="30"/>
      <c r="C851" s="30"/>
      <c r="D851" s="30" t="s">
        <v>3481</v>
      </c>
      <c r="E851" s="30" t="s">
        <v>1854</v>
      </c>
      <c r="F851" s="34" t="str">
        <f>IFERROR(VLOOKUP(VENTAS[[#This Row],[Código del producto Vendido]],STOCK[],5,FALSE),"-")</f>
        <v>Crossbody Bag Blanco Lacado</v>
      </c>
      <c r="G851" s="34">
        <v>1</v>
      </c>
      <c r="H851" s="35">
        <v>20</v>
      </c>
      <c r="I851" s="35">
        <f>VENTAS[[#This Row],[Cantidad]]*VENTAS[[#This Row],[Precio Venta]]</f>
        <v>20</v>
      </c>
      <c r="J851" s="35">
        <f>IF(VENTAS[[#This Row],[Nombre del Gestor]]&gt;1,VENTAS[[#This Row],[Total]]*10%,0)</f>
        <v>2</v>
      </c>
      <c r="K851" s="35">
        <f>IFERROR(VLOOKUP(VENTAS[[#This Row],[Código del producto Vendido]],STOCK[],16,FALSE)*VENTAS[[#This Row],[Cantidad]]+VLOOKUP(VENTAS[[#This Row],[Código del producto Vendido]],STOCK[],19,FALSE)*VENTAS[[#This Row],[Cantidad]],VENTAS[[#This Row],[Total]])</f>
        <v>10.79</v>
      </c>
      <c r="L851" s="35">
        <f>VENTAS[[#This Row],[Total]]-VENTAS[[#This Row],[Comisión 10%]]-VENTAS[[#This Row],[Costo SIN Comision]]</f>
        <v>7.21</v>
      </c>
      <c r="M851" s="35"/>
    </row>
    <row r="852" ht="20" customHeight="1" spans="1:13">
      <c r="A852" s="29">
        <v>45394</v>
      </c>
      <c r="B852" s="30"/>
      <c r="C852" s="30"/>
      <c r="D852" s="30"/>
      <c r="E852" s="30" t="s">
        <v>1800</v>
      </c>
      <c r="F852" s="34" t="str">
        <f>IFERROR(VLOOKUP(VENTAS[[#This Row],[Código del producto Vendido]],STOCK[],5,FALSE),"-")</f>
        <v>Camisa blanca estampado de ave</v>
      </c>
      <c r="G852" s="34">
        <v>1</v>
      </c>
      <c r="H852" s="35">
        <v>25</v>
      </c>
      <c r="I852" s="35">
        <f>VENTAS[[#This Row],[Cantidad]]*VENTAS[[#This Row],[Precio Venta]]</f>
        <v>25</v>
      </c>
      <c r="J852" s="35">
        <f>IF(VENTAS[[#This Row],[Nombre del Gestor]]&gt;1,VENTAS[[#This Row],[Total]]*10%,0)</f>
        <v>0</v>
      </c>
      <c r="K852" s="35">
        <f>IFERROR(VLOOKUP(VENTAS[[#This Row],[Código del producto Vendido]],STOCK[],16,FALSE)*VENTAS[[#This Row],[Cantidad]]+VLOOKUP(VENTAS[[#This Row],[Código del producto Vendido]],STOCK[],19,FALSE)*VENTAS[[#This Row],[Cantidad]],VENTAS[[#This Row],[Total]])</f>
        <v>12.9411764705882</v>
      </c>
      <c r="L852" s="35">
        <f>VENTAS[[#This Row],[Total]]-VENTAS[[#This Row],[Comisión 10%]]-VENTAS[[#This Row],[Costo SIN Comision]]</f>
        <v>12.0588235294118</v>
      </c>
      <c r="M852" s="35"/>
    </row>
    <row r="853" ht="20" customHeight="1" spans="1:13">
      <c r="A853" s="29" t="s">
        <v>3465</v>
      </c>
      <c r="B853" s="30"/>
      <c r="C853" s="30"/>
      <c r="D853" s="30"/>
      <c r="E853" s="30" t="s">
        <v>1503</v>
      </c>
      <c r="F853" s="34" t="str">
        <f>IFERROR(VLOOKUP(VENTAS[[#This Row],[Código del producto Vendido]],STOCK[],5,FALSE),"-")</f>
        <v>Pullover Dazy cuello redondo Blanco</v>
      </c>
      <c r="G853" s="34">
        <v>1</v>
      </c>
      <c r="H853" s="35">
        <v>13</v>
      </c>
      <c r="I853" s="35">
        <f>VENTAS[[#This Row],[Cantidad]]*VENTAS[[#This Row],[Precio Venta]]</f>
        <v>13</v>
      </c>
      <c r="J853" s="35">
        <f>IF(VENTAS[[#This Row],[Nombre del Gestor]]&gt;1,VENTAS[[#This Row],[Total]]*10%,0)</f>
        <v>0</v>
      </c>
      <c r="K853" s="35">
        <f>IFERROR(VLOOKUP(VENTAS[[#This Row],[Código del producto Vendido]],STOCK[],16,FALSE)*VENTAS[[#This Row],[Cantidad]]+VLOOKUP(VENTAS[[#This Row],[Código del producto Vendido]],STOCK[],19,FALSE)*VENTAS[[#This Row],[Cantidad]],VENTAS[[#This Row],[Total]])</f>
        <v>7.5</v>
      </c>
      <c r="L853" s="35">
        <f>VENTAS[[#This Row],[Total]]-VENTAS[[#This Row],[Comisión 10%]]-VENTAS[[#This Row],[Costo SIN Comision]]</f>
        <v>5.5</v>
      </c>
      <c r="M853" s="35"/>
    </row>
    <row r="854" ht="20" customHeight="1" spans="1:13">
      <c r="A854" s="29" t="s">
        <v>3465</v>
      </c>
      <c r="B854" s="30"/>
      <c r="C854" s="30"/>
      <c r="D854" s="30"/>
      <c r="E854" s="30" t="s">
        <v>269</v>
      </c>
      <c r="F854" s="34" t="str">
        <f>IFERROR(VLOOKUP(VENTAS[[#This Row],[Código del producto Vendido]],STOCK[],5,FALSE),"-")</f>
        <v>Vestido playera oversize</v>
      </c>
      <c r="G854" s="34">
        <v>1</v>
      </c>
      <c r="H854" s="35">
        <v>22</v>
      </c>
      <c r="I854" s="35">
        <f>VENTAS[[#This Row],[Cantidad]]*VENTAS[[#This Row],[Precio Venta]]</f>
        <v>22</v>
      </c>
      <c r="J854" s="35">
        <f>IF(VENTAS[[#This Row],[Nombre del Gestor]]&gt;1,VENTAS[[#This Row],[Total]]*10%,0)</f>
        <v>0</v>
      </c>
      <c r="K854" s="35">
        <f>IFERROR(VLOOKUP(VENTAS[[#This Row],[Código del producto Vendido]],STOCK[],16,FALSE)*VENTAS[[#This Row],[Cantidad]]+VLOOKUP(VENTAS[[#This Row],[Código del producto Vendido]],STOCK[],19,FALSE)*VENTAS[[#This Row],[Cantidad]],VENTAS[[#This Row],[Total]])</f>
        <v>13.3888888888889</v>
      </c>
      <c r="L854" s="35">
        <f>VENTAS[[#This Row],[Total]]-VENTAS[[#This Row],[Comisión 10%]]-VENTAS[[#This Row],[Costo SIN Comision]]</f>
        <v>8.6111111111111</v>
      </c>
      <c r="M854" s="35"/>
    </row>
    <row r="855" ht="20" customHeight="1" spans="1:13">
      <c r="A855" s="29" t="s">
        <v>3465</v>
      </c>
      <c r="B855" s="30"/>
      <c r="C855" s="30"/>
      <c r="D855" s="30"/>
      <c r="E855" s="30" t="s">
        <v>250</v>
      </c>
      <c r="F855" s="34" t="str">
        <f>IFERROR(VLOOKUP(VENTAS[[#This Row],[Código del producto Vendido]],STOCK[],5,FALSE),"-")</f>
        <v>Vestido flor y botones</v>
      </c>
      <c r="G855" s="34">
        <v>1</v>
      </c>
      <c r="H855" s="35">
        <v>25</v>
      </c>
      <c r="I855" s="35">
        <f>VENTAS[[#This Row],[Cantidad]]*VENTAS[[#This Row],[Precio Venta]]</f>
        <v>25</v>
      </c>
      <c r="J855" s="35">
        <f>IF(VENTAS[[#This Row],[Nombre del Gestor]]&gt;1,VENTAS[[#This Row],[Total]]*10%,0)</f>
        <v>0</v>
      </c>
      <c r="K855" s="35">
        <f>IFERROR(VLOOKUP(VENTAS[[#This Row],[Código del producto Vendido]],STOCK[],16,FALSE)*VENTAS[[#This Row],[Cantidad]]+VLOOKUP(VENTAS[[#This Row],[Código del producto Vendido]],STOCK[],19,FALSE)*VENTAS[[#This Row],[Cantidad]],VENTAS[[#This Row],[Total]])</f>
        <v>16.76</v>
      </c>
      <c r="L855" s="35">
        <f>VENTAS[[#This Row],[Total]]-VENTAS[[#This Row],[Comisión 10%]]-VENTAS[[#This Row],[Costo SIN Comision]]</f>
        <v>8.24</v>
      </c>
      <c r="M855" s="35"/>
    </row>
    <row r="856" ht="20" customHeight="1" spans="1:13">
      <c r="A856" s="29">
        <v>45401</v>
      </c>
      <c r="B856" s="30"/>
      <c r="C856" s="30"/>
      <c r="D856" s="30" t="s">
        <v>3481</v>
      </c>
      <c r="E856" s="30" t="s">
        <v>1889</v>
      </c>
      <c r="F856" s="34" t="str">
        <f>IFERROR(VLOOKUP(VENTAS[[#This Row],[Código del producto Vendido]],STOCK[],5,FALSE),"-")</f>
        <v>Bolso estampado de Lona</v>
      </c>
      <c r="G856" s="34">
        <v>3</v>
      </c>
      <c r="H856" s="35">
        <v>12</v>
      </c>
      <c r="I856" s="35">
        <f>VENTAS[[#This Row],[Cantidad]]*VENTAS[[#This Row],[Precio Venta]]</f>
        <v>36</v>
      </c>
      <c r="J856" s="35">
        <f>IF(VENTAS[[#This Row],[Nombre del Gestor]]&gt;1,VENTAS[[#This Row],[Total]]*10%,0)</f>
        <v>3.6</v>
      </c>
      <c r="K856" s="35">
        <f>IFERROR(VLOOKUP(VENTAS[[#This Row],[Código del producto Vendido]],STOCK[],16,FALSE)*VENTAS[[#This Row],[Cantidad]]+VLOOKUP(VENTAS[[#This Row],[Código del producto Vendido]],STOCK[],19,FALSE)*VENTAS[[#This Row],[Cantidad]],VENTAS[[#This Row],[Total]])</f>
        <v>19.5</v>
      </c>
      <c r="L856" s="35">
        <f>VENTAS[[#This Row],[Total]]-VENTAS[[#This Row],[Comisión 10%]]-VENTAS[[#This Row],[Costo SIN Comision]]</f>
        <v>12.9</v>
      </c>
      <c r="M856" s="35"/>
    </row>
    <row r="857" ht="20" customHeight="1" spans="1:13">
      <c r="A857" s="29">
        <v>45401</v>
      </c>
      <c r="B857" s="30"/>
      <c r="C857" s="30"/>
      <c r="D857" s="30"/>
      <c r="E857" s="30" t="s">
        <v>1430</v>
      </c>
      <c r="F857" s="34" t="str">
        <f>IFERROR(VLOOKUP(VENTAS[[#This Row],[Código del producto Vendido]],STOCK[],5,FALSE),"-")</f>
        <v>Sandalias blancas cruzadas</v>
      </c>
      <c r="G857" s="34">
        <v>1</v>
      </c>
      <c r="H857" s="35">
        <v>15</v>
      </c>
      <c r="I857" s="35">
        <f>VENTAS[[#This Row],[Cantidad]]*VENTAS[[#This Row],[Precio Venta]]</f>
        <v>15</v>
      </c>
      <c r="J857" s="35">
        <f>IF(VENTAS[[#This Row],[Nombre del Gestor]]&gt;1,VENTAS[[#This Row],[Total]]*10%,0)</f>
        <v>0</v>
      </c>
      <c r="K857" s="35">
        <f>IFERROR(VLOOKUP(VENTAS[[#This Row],[Código del producto Vendido]],STOCK[],16,FALSE)*VENTAS[[#This Row],[Cantidad]]+VLOOKUP(VENTAS[[#This Row],[Código del producto Vendido]],STOCK[],19,FALSE)*VENTAS[[#This Row],[Cantidad]],VENTAS[[#This Row],[Total]])</f>
        <v>11.49</v>
      </c>
      <c r="L857" s="35">
        <f>VENTAS[[#This Row],[Total]]-VENTAS[[#This Row],[Comisión 10%]]-VENTAS[[#This Row],[Costo SIN Comision]]</f>
        <v>3.51</v>
      </c>
      <c r="M857" s="35"/>
    </row>
    <row r="858" ht="20" customHeight="1" spans="1:13">
      <c r="A858" s="29">
        <v>45401</v>
      </c>
      <c r="B858" s="30"/>
      <c r="C858" s="30"/>
      <c r="D858" s="30"/>
      <c r="E858" s="30" t="s">
        <v>1731</v>
      </c>
      <c r="F858" s="34" t="str">
        <f>IFERROR(VLOOKUP(VENTAS[[#This Row],[Código del producto Vendido]],STOCK[],5,FALSE),"-")</f>
        <v>Chaleco de traje Crema</v>
      </c>
      <c r="G858" s="34">
        <v>1</v>
      </c>
      <c r="H858" s="35">
        <v>25</v>
      </c>
      <c r="I858" s="35">
        <f>VENTAS[[#This Row],[Cantidad]]*VENTAS[[#This Row],[Precio Venta]]</f>
        <v>25</v>
      </c>
      <c r="J858" s="35">
        <f>IF(VENTAS[[#This Row],[Nombre del Gestor]]&gt;1,VENTAS[[#This Row],[Total]]*10%,0)</f>
        <v>0</v>
      </c>
      <c r="K858" s="35">
        <f>IFERROR(VLOOKUP(VENTAS[[#This Row],[Código del producto Vendido]],STOCK[],16,FALSE)*VENTAS[[#This Row],[Cantidad]]+VLOOKUP(VENTAS[[#This Row],[Código del producto Vendido]],STOCK[],19,FALSE)*VENTAS[[#This Row],[Cantidad]],VENTAS[[#This Row],[Total]])</f>
        <v>17.9411764705882</v>
      </c>
      <c r="L858" s="35">
        <f>VENTAS[[#This Row],[Total]]-VENTAS[[#This Row],[Comisión 10%]]-VENTAS[[#This Row],[Costo SIN Comision]]</f>
        <v>7.0588235294118</v>
      </c>
      <c r="M858" s="35"/>
    </row>
    <row r="859" ht="20" customHeight="1" spans="1:13">
      <c r="A859" s="29">
        <v>45401</v>
      </c>
      <c r="B859" s="30"/>
      <c r="C859" s="30"/>
      <c r="D859" s="30"/>
      <c r="E859" s="30" t="s">
        <v>1858</v>
      </c>
      <c r="F859" s="34" t="str">
        <f>IFERROR(VLOOKUP(VENTAS[[#This Row],[Código del producto Vendido]],STOCK[],5,FALSE),"-")</f>
        <v>Bolso Baguette Rojo</v>
      </c>
      <c r="G859" s="34">
        <v>1</v>
      </c>
      <c r="H859" s="35">
        <v>25</v>
      </c>
      <c r="I859" s="35">
        <f>VENTAS[[#This Row],[Cantidad]]*VENTAS[[#This Row],[Precio Venta]]</f>
        <v>25</v>
      </c>
      <c r="J859" s="35">
        <f>IF(VENTAS[[#This Row],[Nombre del Gestor]]&gt;1,VENTAS[[#This Row],[Total]]*10%,0)</f>
        <v>0</v>
      </c>
      <c r="K859" s="35">
        <f>IFERROR(VLOOKUP(VENTAS[[#This Row],[Código del producto Vendido]],STOCK[],16,FALSE)*VENTAS[[#This Row],[Cantidad]]+VLOOKUP(VENTAS[[#This Row],[Código del producto Vendido]],STOCK[],19,FALSE)*VENTAS[[#This Row],[Cantidad]],VENTAS[[#This Row],[Total]])</f>
        <v>15.79</v>
      </c>
      <c r="L859" s="35">
        <f>VENTAS[[#This Row],[Total]]-VENTAS[[#This Row],[Comisión 10%]]-VENTAS[[#This Row],[Costo SIN Comision]]</f>
        <v>9.21</v>
      </c>
      <c r="M859" s="35"/>
    </row>
    <row r="860" ht="20" customHeight="1" spans="1:13">
      <c r="A860" s="29">
        <v>45404</v>
      </c>
      <c r="B860" s="30"/>
      <c r="C860" s="30"/>
      <c r="D860" s="30" t="s">
        <v>3481</v>
      </c>
      <c r="E860" s="30" t="s">
        <v>1460</v>
      </c>
      <c r="F860" s="34" t="str">
        <f>IFERROR(VLOOKUP(VENTAS[[#This Row],[Código del producto Vendido]],STOCK[],5,FALSE),"-")</f>
        <v>Pantalón alto de bajo elegante</v>
      </c>
      <c r="G860" s="34">
        <v>1</v>
      </c>
      <c r="H860" s="35">
        <v>32</v>
      </c>
      <c r="I860" s="35">
        <f>VENTAS[[#This Row],[Cantidad]]*VENTAS[[#This Row],[Precio Venta]]</f>
        <v>32</v>
      </c>
      <c r="J860" s="35">
        <f>IF(VENTAS[[#This Row],[Nombre del Gestor]]&gt;1,VENTAS[[#This Row],[Total]]*10%,0)</f>
        <v>3.2</v>
      </c>
      <c r="K860" s="35">
        <f>IFERROR(VLOOKUP(VENTAS[[#This Row],[Código del producto Vendido]],STOCK[],16,FALSE)*VENTAS[[#This Row],[Cantidad]]+VLOOKUP(VENTAS[[#This Row],[Código del producto Vendido]],STOCK[],19,FALSE)*VENTAS[[#This Row],[Cantidad]],VENTAS[[#This Row],[Total]])</f>
        <v>16.19</v>
      </c>
      <c r="L860" s="35">
        <f>VENTAS[[#This Row],[Total]]-VENTAS[[#This Row],[Comisión 10%]]-VENTAS[[#This Row],[Costo SIN Comision]]</f>
        <v>12.61</v>
      </c>
      <c r="M860" s="35"/>
    </row>
    <row r="861" ht="20" customHeight="1" spans="1:13">
      <c r="A861" s="29">
        <v>45410</v>
      </c>
      <c r="B861" s="30"/>
      <c r="C861" s="30" t="s">
        <v>3489</v>
      </c>
      <c r="D861" s="30"/>
      <c r="E861" s="30" t="s">
        <v>773</v>
      </c>
      <c r="F861" s="34" t="str">
        <f>IFERROR(VLOOKUP(VENTAS[[#This Row],[Código del producto Vendido]],STOCK[],5,FALSE),"-")</f>
        <v>Sandalias prácticas</v>
      </c>
      <c r="G861" s="34">
        <v>1</v>
      </c>
      <c r="H861" s="35">
        <v>30</v>
      </c>
      <c r="I861" s="35">
        <f>VENTAS[[#This Row],[Cantidad]]*VENTAS[[#This Row],[Precio Venta]]</f>
        <v>30</v>
      </c>
      <c r="J861" s="35">
        <f>IF(VENTAS[[#This Row],[Nombre del Gestor]]&gt;1,VENTAS[[#This Row],[Total]]*10%,0)</f>
        <v>0</v>
      </c>
      <c r="K861" s="35">
        <f>IFERROR(VLOOKUP(VENTAS[[#This Row],[Código del producto Vendido]],STOCK[],16,FALSE)*VENTAS[[#This Row],[Cantidad]]+VLOOKUP(VENTAS[[#This Row],[Código del producto Vendido]],STOCK[],19,FALSE)*VENTAS[[#This Row],[Cantidad]],VENTAS[[#This Row],[Total]])</f>
        <v>23.2777777777778</v>
      </c>
      <c r="L861" s="35">
        <f>VENTAS[[#This Row],[Total]]-VENTAS[[#This Row],[Comisión 10%]]-VENTAS[[#This Row],[Costo SIN Comision]]</f>
        <v>6.7222222222222</v>
      </c>
      <c r="M861" s="35"/>
    </row>
    <row r="862" ht="20" customHeight="1" spans="1:13">
      <c r="A862" s="29">
        <v>45402</v>
      </c>
      <c r="B862" s="30"/>
      <c r="C862" s="30"/>
      <c r="D862" s="30"/>
      <c r="E862" s="30" t="s">
        <v>1595</v>
      </c>
      <c r="F862" s="34" t="str">
        <f>IFERROR(VLOOKUP(VENTAS[[#This Row],[Código del producto Vendido]],STOCK[],5,FALSE),"-")</f>
        <v>Sandalias flip de plataforma</v>
      </c>
      <c r="G862" s="34">
        <v>1</v>
      </c>
      <c r="H862" s="35">
        <v>15</v>
      </c>
      <c r="I862" s="35">
        <f>VENTAS[[#This Row],[Cantidad]]*VENTAS[[#This Row],[Precio Venta]]</f>
        <v>15</v>
      </c>
      <c r="J862" s="35">
        <f>IF(VENTAS[[#This Row],[Nombre del Gestor]]&gt;1,VENTAS[[#This Row],[Total]]*10%,0)</f>
        <v>0</v>
      </c>
      <c r="K862" s="35">
        <f>IFERROR(VLOOKUP(VENTAS[[#This Row],[Código del producto Vendido]],STOCK[],16,FALSE)*VENTAS[[#This Row],[Cantidad]]+VLOOKUP(VENTAS[[#This Row],[Código del producto Vendido]],STOCK[],19,FALSE)*VENTAS[[#This Row],[Cantidad]],VENTAS[[#This Row],[Total]])</f>
        <v>9.49</v>
      </c>
      <c r="L862" s="35">
        <f>VENTAS[[#This Row],[Total]]-VENTAS[[#This Row],[Comisión 10%]]-VENTAS[[#This Row],[Costo SIN Comision]]</f>
        <v>5.51</v>
      </c>
      <c r="M862" s="35"/>
    </row>
    <row r="863" ht="20" customHeight="1" spans="1:13">
      <c r="A863" s="29">
        <v>45404</v>
      </c>
      <c r="B863" s="30"/>
      <c r="C863" s="30"/>
      <c r="D863" s="30" t="s">
        <v>3481</v>
      </c>
      <c r="E863" s="30" t="s">
        <v>1056</v>
      </c>
      <c r="F863" s="34" t="str">
        <f>IFERROR(VLOOKUP(VENTAS[[#This Row],[Código del producto Vendido]],STOCK[],5,FALSE),"-")</f>
        <v>Falda plisada con cadena</v>
      </c>
      <c r="G863" s="34">
        <v>1</v>
      </c>
      <c r="H863" s="35">
        <v>20</v>
      </c>
      <c r="I863" s="35">
        <f>VENTAS[[#This Row],[Cantidad]]*VENTAS[[#This Row],[Precio Venta]]</f>
        <v>20</v>
      </c>
      <c r="J863" s="35">
        <f>IF(VENTAS[[#This Row],[Nombre del Gestor]]&gt;1,VENTAS[[#This Row],[Total]]*10%,0)</f>
        <v>2</v>
      </c>
      <c r="K863" s="35">
        <f>IFERROR(VLOOKUP(VENTAS[[#This Row],[Código del producto Vendido]],STOCK[],16,FALSE)*VENTAS[[#This Row],[Cantidad]]+VLOOKUP(VENTAS[[#This Row],[Código del producto Vendido]],STOCK[],19,FALSE)*VENTAS[[#This Row],[Cantidad]],VENTAS[[#This Row],[Total]])</f>
        <v>14.8636363636364</v>
      </c>
      <c r="L863" s="35">
        <f>VENTAS[[#This Row],[Total]]-VENTAS[[#This Row],[Comisión 10%]]-VENTAS[[#This Row],[Costo SIN Comision]]</f>
        <v>3.1363636363636</v>
      </c>
      <c r="M863" s="35"/>
    </row>
    <row r="864" ht="20" customHeight="1" spans="1:13">
      <c r="A864" s="29">
        <v>45409</v>
      </c>
      <c r="B864" s="30"/>
      <c r="C864" s="30"/>
      <c r="D864" s="30" t="s">
        <v>3481</v>
      </c>
      <c r="E864" s="30" t="s">
        <v>750</v>
      </c>
      <c r="F864" s="34" t="str">
        <f>IFERROR(VLOOKUP(VENTAS[[#This Row],[Código del producto Vendido]],STOCK[],5,FALSE),"-")</f>
        <v>Sandalias trenzadas</v>
      </c>
      <c r="G864" s="34">
        <v>1</v>
      </c>
      <c r="H864" s="35">
        <v>35</v>
      </c>
      <c r="I864" s="35">
        <f>VENTAS[[#This Row],[Cantidad]]*VENTAS[[#This Row],[Precio Venta]]</f>
        <v>35</v>
      </c>
      <c r="J864" s="35">
        <f>IF(VENTAS[[#This Row],[Nombre del Gestor]]&gt;1,VENTAS[[#This Row],[Total]]*10%,0)</f>
        <v>3.5</v>
      </c>
      <c r="K864" s="35">
        <f>IFERROR(VLOOKUP(VENTAS[[#This Row],[Código del producto Vendido]],STOCK[],16,FALSE)*VENTAS[[#This Row],[Cantidad]]+VLOOKUP(VENTAS[[#This Row],[Código del producto Vendido]],STOCK[],19,FALSE)*VENTAS[[#This Row],[Cantidad]],VENTAS[[#This Row],[Total]])</f>
        <v>27</v>
      </c>
      <c r="L864" s="35">
        <f>VENTAS[[#This Row],[Total]]-VENTAS[[#This Row],[Comisión 10%]]-VENTAS[[#This Row],[Costo SIN Comision]]</f>
        <v>4.5</v>
      </c>
      <c r="M864" s="35"/>
    </row>
    <row r="865" ht="20" customHeight="1" spans="1:13">
      <c r="A865" s="29">
        <v>45405</v>
      </c>
      <c r="B865" s="30"/>
      <c r="C865" s="30"/>
      <c r="D865" s="30" t="s">
        <v>3481</v>
      </c>
      <c r="E865" s="30" t="s">
        <v>1635</v>
      </c>
      <c r="F865" s="34" t="str">
        <f>IFERROR(VLOOKUP(VENTAS[[#This Row],[Código del producto Vendido]],STOCK[],5,FALSE),"-")</f>
        <v>Vestido Privé </v>
      </c>
      <c r="G865" s="34">
        <v>1</v>
      </c>
      <c r="H865" s="35">
        <v>25</v>
      </c>
      <c r="I865" s="35">
        <f>VENTAS[[#This Row],[Cantidad]]*VENTAS[[#This Row],[Precio Venta]]</f>
        <v>25</v>
      </c>
      <c r="J865" s="35">
        <f>IF(VENTAS[[#This Row],[Nombre del Gestor]]&gt;1,VENTAS[[#This Row],[Total]]*10%,0)</f>
        <v>2.5</v>
      </c>
      <c r="K865" s="35">
        <f>IFERROR(VLOOKUP(VENTAS[[#This Row],[Código del producto Vendido]],STOCK[],16,FALSE)*VENTAS[[#This Row],[Cantidad]]+VLOOKUP(VENTAS[[#This Row],[Código del producto Vendido]],STOCK[],19,FALSE)*VENTAS[[#This Row],[Cantidad]],VENTAS[[#This Row],[Total]])</f>
        <v>11.1</v>
      </c>
      <c r="L865" s="35">
        <f>VENTAS[[#This Row],[Total]]-VENTAS[[#This Row],[Comisión 10%]]-VENTAS[[#This Row],[Costo SIN Comision]]</f>
        <v>11.4</v>
      </c>
      <c r="M865" s="35"/>
    </row>
    <row r="866" ht="20" customHeight="1" spans="1:13">
      <c r="A866" s="29">
        <v>45406</v>
      </c>
      <c r="B866" s="30"/>
      <c r="C866" s="30"/>
      <c r="D866" s="30" t="s">
        <v>3481</v>
      </c>
      <c r="E866" s="30" t="s">
        <v>253</v>
      </c>
      <c r="F866" s="34" t="str">
        <f>IFERROR(VLOOKUP(VENTAS[[#This Row],[Código del producto Vendido]],STOCK[],5,FALSE),"-")</f>
        <v>Blusa espalda cruzada blanca</v>
      </c>
      <c r="G866" s="34">
        <v>1</v>
      </c>
      <c r="H866" s="35">
        <v>12</v>
      </c>
      <c r="I866" s="35">
        <f>VENTAS[[#This Row],[Cantidad]]*VENTAS[[#This Row],[Precio Venta]]</f>
        <v>12</v>
      </c>
      <c r="J866" s="35">
        <f>IF(VENTAS[[#This Row],[Nombre del Gestor]]&gt;1,VENTAS[[#This Row],[Total]]*10%,0)</f>
        <v>1.2</v>
      </c>
      <c r="K866" s="35">
        <f>IFERROR(VLOOKUP(VENTAS[[#This Row],[Código del producto Vendido]],STOCK[],16,FALSE)*VENTAS[[#This Row],[Cantidad]]+VLOOKUP(VENTAS[[#This Row],[Código del producto Vendido]],STOCK[],19,FALSE)*VENTAS[[#This Row],[Cantidad]],VENTAS[[#This Row],[Total]])</f>
        <v>8.34222222222222</v>
      </c>
      <c r="L866" s="35">
        <f>VENTAS[[#This Row],[Total]]-VENTAS[[#This Row],[Comisión 10%]]-VENTAS[[#This Row],[Costo SIN Comision]]</f>
        <v>2.45777777777778</v>
      </c>
      <c r="M866" s="35"/>
    </row>
    <row r="867" ht="20" customHeight="1" spans="1:13">
      <c r="A867" s="29">
        <v>45408</v>
      </c>
      <c r="B867" s="30"/>
      <c r="C867" s="30"/>
      <c r="D867" s="30" t="s">
        <v>3481</v>
      </c>
      <c r="E867" s="30" t="s">
        <v>1777</v>
      </c>
      <c r="F867" s="34" t="str">
        <f>IFERROR(VLOOKUP(VENTAS[[#This Row],[Código del producto Vendido]],STOCK[],5,FALSE),"-")</f>
        <v>Conjunto de bikini moca</v>
      </c>
      <c r="G867" s="34">
        <v>1</v>
      </c>
      <c r="H867" s="35">
        <v>20</v>
      </c>
      <c r="I867" s="35">
        <f>VENTAS[[#This Row],[Cantidad]]*VENTAS[[#This Row],[Precio Venta]]</f>
        <v>20</v>
      </c>
      <c r="J867" s="35">
        <f>IF(VENTAS[[#This Row],[Nombre del Gestor]]&gt;1,VENTAS[[#This Row],[Total]]*10%,0)</f>
        <v>2</v>
      </c>
      <c r="K867" s="35">
        <f>IFERROR(VLOOKUP(VENTAS[[#This Row],[Código del producto Vendido]],STOCK[],16,FALSE)*VENTAS[[#This Row],[Cantidad]]+VLOOKUP(VENTAS[[#This Row],[Código del producto Vendido]],STOCK[],19,FALSE)*VENTAS[[#This Row],[Cantidad]],VENTAS[[#This Row],[Total]])</f>
        <v>12.3529411764706</v>
      </c>
      <c r="L867" s="35">
        <f>VENTAS[[#This Row],[Total]]-VENTAS[[#This Row],[Comisión 10%]]-VENTAS[[#This Row],[Costo SIN Comision]]</f>
        <v>5.64705882352941</v>
      </c>
      <c r="M867" s="35"/>
    </row>
    <row r="868" ht="20" customHeight="1" spans="1:13">
      <c r="A868" s="29">
        <v>45409</v>
      </c>
      <c r="B868" s="30"/>
      <c r="C868" s="30"/>
      <c r="D868" s="30" t="s">
        <v>3481</v>
      </c>
      <c r="E868" s="30" t="s">
        <v>1573</v>
      </c>
      <c r="F868" s="34" t="str">
        <f>IFERROR(VLOOKUP(VENTAS[[#This Row],[Código del producto Vendido]],STOCK[],5,FALSE),"-")</f>
        <v>Sandalias de nudos</v>
      </c>
      <c r="G868" s="34">
        <v>1</v>
      </c>
      <c r="H868" s="35">
        <v>18</v>
      </c>
      <c r="I868" s="35">
        <f>VENTAS[[#This Row],[Cantidad]]*VENTAS[[#This Row],[Precio Venta]]</f>
        <v>18</v>
      </c>
      <c r="J868" s="35">
        <f>IF(VENTAS[[#This Row],[Nombre del Gestor]]&gt;1,VENTAS[[#This Row],[Total]]*10%,0)</f>
        <v>1.8</v>
      </c>
      <c r="K868" s="35">
        <f>IFERROR(VLOOKUP(VENTAS[[#This Row],[Código del producto Vendido]],STOCK[],16,FALSE)*VENTAS[[#This Row],[Cantidad]]+VLOOKUP(VENTAS[[#This Row],[Código del producto Vendido]],STOCK[],19,FALSE)*VENTAS[[#This Row],[Cantidad]],VENTAS[[#This Row],[Total]])</f>
        <v>11</v>
      </c>
      <c r="L868" s="35">
        <f>VENTAS[[#This Row],[Total]]-VENTAS[[#This Row],[Comisión 10%]]-VENTAS[[#This Row],[Costo SIN Comision]]</f>
        <v>5.2</v>
      </c>
      <c r="M868" s="35"/>
    </row>
    <row r="869" ht="20" customHeight="1" spans="1:13">
      <c r="A869" s="29">
        <v>45410</v>
      </c>
      <c r="B869" s="30"/>
      <c r="C869" s="30"/>
      <c r="D869" s="30" t="s">
        <v>3481</v>
      </c>
      <c r="E869" s="30" t="s">
        <v>1760</v>
      </c>
      <c r="F869" s="34" t="str">
        <f>IFERROR(VLOOKUP(VENTAS[[#This Row],[Código del producto Vendido]],STOCK[],5,FALSE),"-")</f>
        <v>Zapatillas blanco casual</v>
      </c>
      <c r="G869" s="34">
        <v>1</v>
      </c>
      <c r="H869" s="35">
        <v>30</v>
      </c>
      <c r="I869" s="35">
        <f>VENTAS[[#This Row],[Cantidad]]*VENTAS[[#This Row],[Precio Venta]]</f>
        <v>30</v>
      </c>
      <c r="J869" s="35">
        <f>IF(VENTAS[[#This Row],[Nombre del Gestor]]&gt;1,VENTAS[[#This Row],[Total]]*10%,0)</f>
        <v>3</v>
      </c>
      <c r="K869" s="35">
        <f>IFERROR(VLOOKUP(VENTAS[[#This Row],[Código del producto Vendido]],STOCK[],16,FALSE)*VENTAS[[#This Row],[Cantidad]]+VLOOKUP(VENTAS[[#This Row],[Código del producto Vendido]],STOCK[],19,FALSE)*VENTAS[[#This Row],[Cantidad]],VENTAS[[#This Row],[Total]])</f>
        <v>25.4705882352941</v>
      </c>
      <c r="L869" s="35">
        <f>VENTAS[[#This Row],[Total]]-VENTAS[[#This Row],[Comisión 10%]]-VENTAS[[#This Row],[Costo SIN Comision]]</f>
        <v>1.5294117647059</v>
      </c>
      <c r="M869" s="35"/>
    </row>
    <row r="870" ht="20" customHeight="1" spans="1:13">
      <c r="A870" s="29">
        <v>45410</v>
      </c>
      <c r="B870" s="30"/>
      <c r="C870" s="30"/>
      <c r="D870" s="30" t="s">
        <v>3481</v>
      </c>
      <c r="E870" s="30" t="s">
        <v>1421</v>
      </c>
      <c r="F870" s="34" t="str">
        <f>IFERROR(VLOOKUP(VENTAS[[#This Row],[Código del producto Vendido]],STOCK[],5,FALSE),"-")</f>
        <v>Pantalón de traje</v>
      </c>
      <c r="G870" s="34">
        <v>1</v>
      </c>
      <c r="H870" s="35">
        <v>30</v>
      </c>
      <c r="I870" s="35">
        <f>VENTAS[[#This Row],[Cantidad]]*VENTAS[[#This Row],[Precio Venta]]</f>
        <v>30</v>
      </c>
      <c r="J870" s="35">
        <f>IF(VENTAS[[#This Row],[Nombre del Gestor]]&gt;1,VENTAS[[#This Row],[Total]]*10%,0)</f>
        <v>3</v>
      </c>
      <c r="K870" s="35">
        <f>IFERROR(VLOOKUP(VENTAS[[#This Row],[Código del producto Vendido]],STOCK[],16,FALSE)*VENTAS[[#This Row],[Cantidad]]+VLOOKUP(VENTAS[[#This Row],[Código del producto Vendido]],STOCK[],19,FALSE)*VENTAS[[#This Row],[Cantidad]],VENTAS[[#This Row],[Total]])</f>
        <v>21</v>
      </c>
      <c r="L870" s="35">
        <f>VENTAS[[#This Row],[Total]]-VENTAS[[#This Row],[Comisión 10%]]-VENTAS[[#This Row],[Costo SIN Comision]]</f>
        <v>6</v>
      </c>
      <c r="M870" s="35"/>
    </row>
    <row r="871" ht="20" customHeight="1" spans="1:13">
      <c r="A871" s="29">
        <v>45410</v>
      </c>
      <c r="B871" s="30"/>
      <c r="C871" s="30"/>
      <c r="D871" s="30" t="s">
        <v>3481</v>
      </c>
      <c r="E871" s="30" t="s">
        <v>959</v>
      </c>
      <c r="F871" s="34" t="str">
        <f>IFERROR(VLOOKUP(VENTAS[[#This Row],[Código del producto Vendido]],STOCK[],5,FALSE),"-")</f>
        <v>Pantalón business básico</v>
      </c>
      <c r="G871" s="34">
        <v>1</v>
      </c>
      <c r="H871" s="35">
        <v>28</v>
      </c>
      <c r="I871" s="35">
        <f>VENTAS[[#This Row],[Cantidad]]*VENTAS[[#This Row],[Precio Venta]]</f>
        <v>28</v>
      </c>
      <c r="J871" s="35">
        <f>IF(VENTAS[[#This Row],[Nombre del Gestor]]&gt;1,VENTAS[[#This Row],[Total]]*10%,0)</f>
        <v>2.8</v>
      </c>
      <c r="K871" s="35">
        <f>IFERROR(VLOOKUP(VENTAS[[#This Row],[Código del producto Vendido]],STOCK[],16,FALSE)*VENTAS[[#This Row],[Cantidad]]+VLOOKUP(VENTAS[[#This Row],[Código del producto Vendido]],STOCK[],19,FALSE)*VENTAS[[#This Row],[Cantidad]],VENTAS[[#This Row],[Total]])</f>
        <v>21.3722727272727</v>
      </c>
      <c r="L871" s="35">
        <f>VENTAS[[#This Row],[Total]]-VENTAS[[#This Row],[Comisión 10%]]-VENTAS[[#This Row],[Costo SIN Comision]]</f>
        <v>3.8277272727273</v>
      </c>
      <c r="M871" s="35"/>
    </row>
    <row r="872" ht="20" customHeight="1" spans="1:13">
      <c r="A872" s="29">
        <v>45411</v>
      </c>
      <c r="B872" s="30"/>
      <c r="C872" s="30" t="s">
        <v>3490</v>
      </c>
      <c r="D872" s="30"/>
      <c r="E872" s="30"/>
      <c r="F872" s="34" t="str">
        <f>IFERROR(VLOOKUP(VENTAS[[#This Row],[Código del producto Vendido]],STOCK[],5,FALSE),"-")</f>
        <v>-</v>
      </c>
      <c r="G872" s="34">
        <v>1</v>
      </c>
      <c r="H872" s="35">
        <v>0</v>
      </c>
      <c r="I872" s="35">
        <f>VENTAS[[#This Row],[Cantidad]]*VENTAS[[#This Row],[Precio Venta]]</f>
        <v>0</v>
      </c>
      <c r="J872" s="35">
        <f>IF(VENTAS[[#This Row],[Nombre del Gestor]]&gt;1,VENTAS[[#This Row],[Total]]*10%,0)</f>
        <v>0</v>
      </c>
      <c r="K872" s="35">
        <f>IFERROR(VLOOKUP(VENTAS[[#This Row],[Código del producto Vendido]],STOCK[],16,FALSE)*VENTAS[[#This Row],[Cantidad]]+VLOOKUP(VENTAS[[#This Row],[Código del producto Vendido]],STOCK[],19,FALSE)*VENTAS[[#This Row],[Cantidad]],VENTAS[[#This Row],[Total]])</f>
        <v>0</v>
      </c>
      <c r="L872" s="35">
        <f>VENTAS[[#This Row],[Total]]-VENTAS[[#This Row],[Comisión 10%]]-VENTAS[[#This Row],[Costo SIN Comision]]</f>
        <v>0</v>
      </c>
      <c r="M872" s="35"/>
    </row>
    <row r="873" ht="20" customHeight="1" spans="1:13">
      <c r="A873" s="29">
        <v>45411</v>
      </c>
      <c r="B873" s="30"/>
      <c r="C873" s="30"/>
      <c r="D873" s="30" t="s">
        <v>3481</v>
      </c>
      <c r="E873" s="30" t="s">
        <v>1677</v>
      </c>
      <c r="F873" s="34" t="str">
        <f>IFERROR(VLOOKUP(VENTAS[[#This Row],[Código del producto Vendido]],STOCK[],5,FALSE),"-")</f>
        <v>Botas negras de zíper</v>
      </c>
      <c r="G873" s="34">
        <v>1</v>
      </c>
      <c r="H873" s="35">
        <v>40</v>
      </c>
      <c r="I873" s="35">
        <f>VENTAS[[#This Row],[Cantidad]]*VENTAS[[#This Row],[Precio Venta]]</f>
        <v>40</v>
      </c>
      <c r="J873" s="35">
        <f>IF(VENTAS[[#This Row],[Nombre del Gestor]]&gt;1,VENTAS[[#This Row],[Total]]*10%,0)</f>
        <v>4</v>
      </c>
      <c r="K873" s="35">
        <f>IFERROR(VLOOKUP(VENTAS[[#This Row],[Código del producto Vendido]],STOCK[],16,FALSE)*VENTAS[[#This Row],[Cantidad]]+VLOOKUP(VENTAS[[#This Row],[Código del producto Vendido]],STOCK[],19,FALSE)*VENTAS[[#This Row],[Cantidad]],VENTAS[[#This Row],[Total]])</f>
        <v>22.42</v>
      </c>
      <c r="L873" s="35">
        <f>VENTAS[[#This Row],[Total]]-VENTAS[[#This Row],[Comisión 10%]]-VENTAS[[#This Row],[Costo SIN Comision]]</f>
        <v>13.58</v>
      </c>
      <c r="M873" s="35"/>
    </row>
    <row r="874" ht="20" customHeight="1" spans="1:13">
      <c r="A874" s="29">
        <v>45411</v>
      </c>
      <c r="B874" s="30"/>
      <c r="C874" s="30"/>
      <c r="D874" s="30" t="s">
        <v>3481</v>
      </c>
      <c r="E874" s="30" t="s">
        <v>1366</v>
      </c>
      <c r="F874" s="34" t="str">
        <f>IFERROR(VLOOKUP(VENTAS[[#This Row],[Código del producto Vendido]],STOCK[],5,FALSE),"-")</f>
        <v>Falda plisada de cuadros</v>
      </c>
      <c r="G874" s="34">
        <v>1</v>
      </c>
      <c r="H874" s="35">
        <v>20</v>
      </c>
      <c r="I874" s="35">
        <f>VENTAS[[#This Row],[Cantidad]]*VENTAS[[#This Row],[Precio Venta]]</f>
        <v>20</v>
      </c>
      <c r="J874" s="35">
        <f>IF(VENTAS[[#This Row],[Nombre del Gestor]]&gt;1,VENTAS[[#This Row],[Total]]*10%,0)</f>
        <v>2</v>
      </c>
      <c r="K874" s="35">
        <f>IFERROR(VLOOKUP(VENTAS[[#This Row],[Código del producto Vendido]],STOCK[],16,FALSE)*VENTAS[[#This Row],[Cantidad]]+VLOOKUP(VENTAS[[#This Row],[Código del producto Vendido]],STOCK[],19,FALSE)*VENTAS[[#This Row],[Cantidad]],VENTAS[[#This Row],[Total]])</f>
        <v>12.74</v>
      </c>
      <c r="L874" s="35">
        <f>VENTAS[[#This Row],[Total]]-VENTAS[[#This Row],[Comisión 10%]]-VENTAS[[#This Row],[Costo SIN Comision]]</f>
        <v>5.26</v>
      </c>
      <c r="M874" s="35"/>
    </row>
    <row r="875" ht="20" customHeight="1" spans="1:13">
      <c r="A875" s="29">
        <v>45411</v>
      </c>
      <c r="B875" s="30"/>
      <c r="C875" s="30"/>
      <c r="D875" s="30" t="s">
        <v>3481</v>
      </c>
      <c r="E875" s="30" t="s">
        <v>1363</v>
      </c>
      <c r="F875" s="34" t="str">
        <f>IFERROR(VLOOKUP(VENTAS[[#This Row],[Código del producto Vendido]],STOCK[],5,FALSE),"-")</f>
        <v>Vestido de flecos</v>
      </c>
      <c r="G875" s="34">
        <v>1</v>
      </c>
      <c r="H875" s="35">
        <v>25</v>
      </c>
      <c r="I875" s="35">
        <f>VENTAS[[#This Row],[Cantidad]]*VENTAS[[#This Row],[Precio Venta]]</f>
        <v>25</v>
      </c>
      <c r="J875" s="35">
        <f>IF(VENTAS[[#This Row],[Nombre del Gestor]]&gt;1,VENTAS[[#This Row],[Total]]*10%,0)</f>
        <v>2.5</v>
      </c>
      <c r="K875" s="35">
        <f>IFERROR(VLOOKUP(VENTAS[[#This Row],[Código del producto Vendido]],STOCK[],16,FALSE)*VENTAS[[#This Row],[Cantidad]]+VLOOKUP(VENTAS[[#This Row],[Código del producto Vendido]],STOCK[],19,FALSE)*VENTAS[[#This Row],[Cantidad]],VENTAS[[#This Row],[Total]])</f>
        <v>18.83</v>
      </c>
      <c r="L875" s="35">
        <f>VENTAS[[#This Row],[Total]]-VENTAS[[#This Row],[Comisión 10%]]-VENTAS[[#This Row],[Costo SIN Comision]]</f>
        <v>3.67</v>
      </c>
      <c r="M875" s="35"/>
    </row>
    <row r="876" ht="20" customHeight="1" spans="1:13">
      <c r="A876" s="29">
        <v>45411</v>
      </c>
      <c r="B876" s="30"/>
      <c r="C876" s="30" t="s">
        <v>3491</v>
      </c>
      <c r="D876" s="30"/>
      <c r="E876" s="30" t="s">
        <v>434</v>
      </c>
      <c r="F876" s="34" t="str">
        <f>IFERROR(VLOOKUP(VENTAS[[#This Row],[Código del producto Vendido]],STOCK[],5,FALSE),"-")</f>
        <v>Camisa amplia multicolor </v>
      </c>
      <c r="G876" s="34">
        <v>1</v>
      </c>
      <c r="H876" s="35">
        <v>25</v>
      </c>
      <c r="I876" s="35">
        <f>VENTAS[[#This Row],[Cantidad]]*VENTAS[[#This Row],[Precio Venta]]</f>
        <v>25</v>
      </c>
      <c r="J876" s="35">
        <f>IF(VENTAS[[#This Row],[Nombre del Gestor]]&gt;1,VENTAS[[#This Row],[Total]]*10%,0)</f>
        <v>0</v>
      </c>
      <c r="K876" s="35">
        <f>IFERROR(VLOOKUP(VENTAS[[#This Row],[Código del producto Vendido]],STOCK[],16,FALSE)*VENTAS[[#This Row],[Cantidad]]+VLOOKUP(VENTAS[[#This Row],[Código del producto Vendido]],STOCK[],19,FALSE)*VENTAS[[#This Row],[Cantidad]],VENTAS[[#This Row],[Total]])</f>
        <v>16.2566666666667</v>
      </c>
      <c r="L876" s="35">
        <f>VENTAS[[#This Row],[Total]]-VENTAS[[#This Row],[Comisión 10%]]-VENTAS[[#This Row],[Costo SIN Comision]]</f>
        <v>8.7433333333333</v>
      </c>
      <c r="M876" s="35"/>
    </row>
    <row r="877" ht="20" customHeight="1" spans="1:13">
      <c r="A877" s="29">
        <v>45411</v>
      </c>
      <c r="B877" s="30"/>
      <c r="C877" s="30" t="s">
        <v>3491</v>
      </c>
      <c r="D877" s="30"/>
      <c r="E877" s="30" t="s">
        <v>1571</v>
      </c>
      <c r="F877" s="34" t="str">
        <f>IFERROR(VLOOKUP(VENTAS[[#This Row],[Código del producto Vendido]],STOCK[],5,FALSE),"-")</f>
        <v>Sandalias de tiras</v>
      </c>
      <c r="G877" s="34">
        <v>1</v>
      </c>
      <c r="H877" s="35">
        <v>20</v>
      </c>
      <c r="I877" s="35">
        <f>VENTAS[[#This Row],[Cantidad]]*VENTAS[[#This Row],[Precio Venta]]</f>
        <v>20</v>
      </c>
      <c r="J877" s="35">
        <f>IF(VENTAS[[#This Row],[Nombre del Gestor]]&gt;1,VENTAS[[#This Row],[Total]]*10%,0)</f>
        <v>0</v>
      </c>
      <c r="K877" s="35">
        <f>IFERROR(VLOOKUP(VENTAS[[#This Row],[Código del producto Vendido]],STOCK[],16,FALSE)*VENTAS[[#This Row],[Cantidad]]+VLOOKUP(VENTAS[[#This Row],[Código del producto Vendido]],STOCK[],19,FALSE)*VENTAS[[#This Row],[Cantidad]],VENTAS[[#This Row],[Total]])</f>
        <v>14</v>
      </c>
      <c r="L877" s="35">
        <f>VENTAS[[#This Row],[Total]]-VENTAS[[#This Row],[Comisión 10%]]-VENTAS[[#This Row],[Costo SIN Comision]]</f>
        <v>6</v>
      </c>
      <c r="M877" s="35"/>
    </row>
    <row r="878" ht="20" customHeight="1" spans="1:13">
      <c r="A878" s="29">
        <v>45413</v>
      </c>
      <c r="B878" s="30"/>
      <c r="C878" s="30"/>
      <c r="D878" s="30" t="s">
        <v>3481</v>
      </c>
      <c r="E878" s="30" t="s">
        <v>1759</v>
      </c>
      <c r="F878" s="34" t="str">
        <f>IFERROR(VLOOKUP(VENTAS[[#This Row],[Código del producto Vendido]],STOCK[],5,FALSE),"-")</f>
        <v>Zapatillas blanco casual</v>
      </c>
      <c r="G878" s="34">
        <v>1</v>
      </c>
      <c r="H878" s="35">
        <v>30</v>
      </c>
      <c r="I878" s="35">
        <f>VENTAS[[#This Row],[Cantidad]]*VENTAS[[#This Row],[Precio Venta]]</f>
        <v>30</v>
      </c>
      <c r="J878" s="35">
        <f>IF(VENTAS[[#This Row],[Nombre del Gestor]]&gt;1,VENTAS[[#This Row],[Total]]*10%,0)</f>
        <v>3</v>
      </c>
      <c r="K878" s="35">
        <f>IFERROR(VLOOKUP(VENTAS[[#This Row],[Código del producto Vendido]],STOCK[],16,FALSE)*VENTAS[[#This Row],[Cantidad]]+VLOOKUP(VENTAS[[#This Row],[Código del producto Vendido]],STOCK[],19,FALSE)*VENTAS[[#This Row],[Cantidad]],VENTAS[[#This Row],[Total]])</f>
        <v>25.4705882352941</v>
      </c>
      <c r="L878" s="35">
        <f>VENTAS[[#This Row],[Total]]-VENTAS[[#This Row],[Comisión 10%]]-VENTAS[[#This Row],[Costo SIN Comision]]</f>
        <v>1.5294117647059</v>
      </c>
      <c r="M878" s="35"/>
    </row>
    <row r="879" ht="20" customHeight="1" spans="1:13">
      <c r="A879" s="29">
        <v>45414</v>
      </c>
      <c r="B879" s="30"/>
      <c r="C879" s="30" t="s">
        <v>3492</v>
      </c>
      <c r="D879" s="30"/>
      <c r="E879" s="30" t="s">
        <v>1941</v>
      </c>
      <c r="F879" s="34" t="str">
        <f>IFERROR(VLOOKUP(VENTAS[[#This Row],[Código del producto Vendido]],STOCK[],5,FALSE),"-")</f>
        <v>Zapatillas blanco casual</v>
      </c>
      <c r="G879" s="34">
        <v>1</v>
      </c>
      <c r="H879" s="35">
        <v>30</v>
      </c>
      <c r="I879" s="35">
        <f>VENTAS[[#This Row],[Cantidad]]*VENTAS[[#This Row],[Precio Venta]]</f>
        <v>30</v>
      </c>
      <c r="J879" s="35">
        <f>IF(VENTAS[[#This Row],[Nombre del Gestor]]&gt;1,VENTAS[[#This Row],[Total]]*10%,0)</f>
        <v>0</v>
      </c>
      <c r="K879" s="35">
        <f>IFERROR(VLOOKUP(VENTAS[[#This Row],[Código del producto Vendido]],STOCK[],16,FALSE)*VENTAS[[#This Row],[Cantidad]]+VLOOKUP(VENTAS[[#This Row],[Código del producto Vendido]],STOCK[],19,FALSE)*VENTAS[[#This Row],[Cantidad]],VENTAS[[#This Row],[Total]])</f>
        <v>17.97</v>
      </c>
      <c r="L879" s="35">
        <f>VENTAS[[#This Row],[Total]]-VENTAS[[#This Row],[Comisión 10%]]-VENTAS[[#This Row],[Costo SIN Comision]]</f>
        <v>12.03</v>
      </c>
      <c r="M879" s="35"/>
    </row>
    <row r="880" ht="20" customHeight="1" spans="1:13">
      <c r="A880" s="29">
        <v>45414</v>
      </c>
      <c r="B880" s="30"/>
      <c r="C880" s="30"/>
      <c r="D880" s="30" t="s">
        <v>3481</v>
      </c>
      <c r="E880" s="30" t="s">
        <v>1675</v>
      </c>
      <c r="F880" s="34" t="str">
        <f>IFERROR(VLOOKUP(VENTAS[[#This Row],[Código del producto Vendido]],STOCK[],5,FALSE),"-")</f>
        <v>Botas negras de zíper</v>
      </c>
      <c r="G880" s="34">
        <v>1</v>
      </c>
      <c r="H880" s="35">
        <v>40</v>
      </c>
      <c r="I880" s="35">
        <f>VENTAS[[#This Row],[Cantidad]]*VENTAS[[#This Row],[Precio Venta]]</f>
        <v>40</v>
      </c>
      <c r="J880" s="35">
        <f>IF(VENTAS[[#This Row],[Nombre del Gestor]]&gt;1,VENTAS[[#This Row],[Total]]*10%,0)</f>
        <v>4</v>
      </c>
      <c r="K880" s="35">
        <f>IFERROR(VLOOKUP(VENTAS[[#This Row],[Código del producto Vendido]],STOCK[],16,FALSE)*VENTAS[[#This Row],[Cantidad]]+VLOOKUP(VENTAS[[#This Row],[Código del producto Vendido]],STOCK[],19,FALSE)*VENTAS[[#This Row],[Cantidad]],VENTAS[[#This Row],[Total]])</f>
        <v>22.42</v>
      </c>
      <c r="L880" s="35">
        <f>VENTAS[[#This Row],[Total]]-VENTAS[[#This Row],[Comisión 10%]]-VENTAS[[#This Row],[Costo SIN Comision]]</f>
        <v>13.58</v>
      </c>
      <c r="M880" s="35"/>
    </row>
    <row r="881" ht="20" customHeight="1" spans="1:13">
      <c r="A881" s="29">
        <v>45415</v>
      </c>
      <c r="B881" s="30"/>
      <c r="C881" s="30" t="s">
        <v>3493</v>
      </c>
      <c r="D881" s="30"/>
      <c r="E881" s="30" t="s">
        <v>1941</v>
      </c>
      <c r="F881" s="34" t="str">
        <f>IFERROR(VLOOKUP(VENTAS[[#This Row],[Código del producto Vendido]],STOCK[],5,FALSE),"-")</f>
        <v>Zapatillas blanco casual</v>
      </c>
      <c r="G881" s="34">
        <v>1</v>
      </c>
      <c r="H881" s="35">
        <v>0</v>
      </c>
      <c r="I881" s="35">
        <f>VENTAS[[#This Row],[Cantidad]]*VENTAS[[#This Row],[Precio Venta]]</f>
        <v>0</v>
      </c>
      <c r="J881" s="35">
        <f>IF(VENTAS[[#This Row],[Nombre del Gestor]]&gt;1,VENTAS[[#This Row],[Total]]*10%,0)</f>
        <v>0</v>
      </c>
      <c r="K881" s="35">
        <f>IFERROR(VLOOKUP(VENTAS[[#This Row],[Código del producto Vendido]],STOCK[],16,FALSE)*VENTAS[[#This Row],[Cantidad]]+VLOOKUP(VENTAS[[#This Row],[Código del producto Vendido]],STOCK[],19,FALSE)*VENTAS[[#This Row],[Cantidad]],VENTAS[[#This Row],[Total]])</f>
        <v>17.97</v>
      </c>
      <c r="L881" s="35">
        <f>VENTAS[[#This Row],[Total]]-VENTAS[[#This Row],[Comisión 10%]]-VENTAS[[#This Row],[Costo SIN Comision]]</f>
        <v>-17.97</v>
      </c>
      <c r="M881" s="35"/>
    </row>
    <row r="882" ht="20" customHeight="1" spans="1:13">
      <c r="A882" s="29">
        <v>45416</v>
      </c>
      <c r="B882" s="30"/>
      <c r="C882" s="30"/>
      <c r="D882" s="30" t="s">
        <v>3481</v>
      </c>
      <c r="E882" s="30" t="s">
        <v>245</v>
      </c>
      <c r="F882" s="34" t="str">
        <f>IFERROR(VLOOKUP(VENTAS[[#This Row],[Código del producto Vendido]],STOCK[],5,FALSE),"-")</f>
        <v>Top de mangas anchas y lentejuelas amarillo</v>
      </c>
      <c r="G882" s="34">
        <v>1</v>
      </c>
      <c r="H882" s="35">
        <v>13</v>
      </c>
      <c r="I882" s="35">
        <f>VENTAS[[#This Row],[Cantidad]]*VENTAS[[#This Row],[Precio Venta]]</f>
        <v>13</v>
      </c>
      <c r="J882" s="35">
        <f>IF(VENTAS[[#This Row],[Nombre del Gestor]]&gt;1,VENTAS[[#This Row],[Total]]*10%,0)</f>
        <v>1.3</v>
      </c>
      <c r="K882" s="35">
        <f>IFERROR(VLOOKUP(VENTAS[[#This Row],[Código del producto Vendido]],STOCK[],16,FALSE)*VENTAS[[#This Row],[Cantidad]]+VLOOKUP(VENTAS[[#This Row],[Código del producto Vendido]],STOCK[],19,FALSE)*VENTAS[[#This Row],[Cantidad]],VENTAS[[#This Row],[Total]])</f>
        <v>8.04222222222222</v>
      </c>
      <c r="L882" s="35">
        <f>VENTAS[[#This Row],[Total]]-VENTAS[[#This Row],[Comisión 10%]]-VENTAS[[#This Row],[Costo SIN Comision]]</f>
        <v>3.65777777777778</v>
      </c>
      <c r="M882" s="35"/>
    </row>
    <row r="883" ht="20" customHeight="1" spans="1:13">
      <c r="A883" s="29">
        <v>45416</v>
      </c>
      <c r="B883" s="30"/>
      <c r="C883" s="30"/>
      <c r="D883" s="30"/>
      <c r="E883" s="30" t="s">
        <v>1733</v>
      </c>
      <c r="F883" s="34" t="str">
        <f>IFERROR(VLOOKUP(VENTAS[[#This Row],[Código del producto Vendido]],STOCK[],5,FALSE),"-")</f>
        <v>Chaleco de traje Negro</v>
      </c>
      <c r="G883" s="34">
        <v>2</v>
      </c>
      <c r="H883" s="35">
        <v>25</v>
      </c>
      <c r="I883" s="35">
        <f>VENTAS[[#This Row],[Cantidad]]*VENTAS[[#This Row],[Precio Venta]]</f>
        <v>50</v>
      </c>
      <c r="J883" s="35">
        <f>IF(VENTAS[[#This Row],[Nombre del Gestor]]&gt;1,VENTAS[[#This Row],[Total]]*10%,0)</f>
        <v>0</v>
      </c>
      <c r="K883" s="35">
        <f>IFERROR(VLOOKUP(VENTAS[[#This Row],[Código del producto Vendido]],STOCK[],16,FALSE)*VENTAS[[#This Row],[Cantidad]]+VLOOKUP(VENTAS[[#This Row],[Código del producto Vendido]],STOCK[],19,FALSE)*VENTAS[[#This Row],[Cantidad]],VENTAS[[#This Row],[Total]])</f>
        <v>35.8823529411764</v>
      </c>
      <c r="L883" s="35">
        <f>VENTAS[[#This Row],[Total]]-VENTAS[[#This Row],[Comisión 10%]]-VENTAS[[#This Row],[Costo SIN Comision]]</f>
        <v>14.1176470588236</v>
      </c>
      <c r="M883" s="35"/>
    </row>
    <row r="884" ht="20" customHeight="1" spans="1:13">
      <c r="A884" s="29">
        <v>45416</v>
      </c>
      <c r="B884" s="30"/>
      <c r="C884" s="30"/>
      <c r="D884" s="30" t="s">
        <v>3481</v>
      </c>
      <c r="E884" s="30" t="s">
        <v>1920</v>
      </c>
      <c r="F884" s="34" t="str">
        <f>IFERROR(VLOOKUP(VENTAS[[#This Row],[Código del producto Vendido]],STOCK[],5,FALSE),"-")</f>
        <v>Vestido Fresco Verano</v>
      </c>
      <c r="G884" s="34">
        <v>1</v>
      </c>
      <c r="H884" s="35">
        <v>30</v>
      </c>
      <c r="I884" s="35">
        <f>VENTAS[[#This Row],[Cantidad]]*VENTAS[[#This Row],[Precio Venta]]</f>
        <v>30</v>
      </c>
      <c r="J884" s="35">
        <f>IF(VENTAS[[#This Row],[Nombre del Gestor]]&gt;1,VENTAS[[#This Row],[Total]]*10%,0)</f>
        <v>3</v>
      </c>
      <c r="K884" s="35">
        <f>IFERROR(VLOOKUP(VENTAS[[#This Row],[Código del producto Vendido]],STOCK[],16,FALSE)*VENTAS[[#This Row],[Cantidad]]+VLOOKUP(VENTAS[[#This Row],[Código del producto Vendido]],STOCK[],19,FALSE)*VENTAS[[#This Row],[Cantidad]],VENTAS[[#This Row],[Total]])</f>
        <v>11.61</v>
      </c>
      <c r="L884" s="35">
        <f>VENTAS[[#This Row],[Total]]-VENTAS[[#This Row],[Comisión 10%]]-VENTAS[[#This Row],[Costo SIN Comision]]</f>
        <v>15.39</v>
      </c>
      <c r="M884" s="35"/>
    </row>
    <row r="885" ht="20" customHeight="1" spans="1:13">
      <c r="A885" s="29">
        <v>45418</v>
      </c>
      <c r="B885" s="30"/>
      <c r="C885" s="30"/>
      <c r="D885" s="30" t="s">
        <v>3481</v>
      </c>
      <c r="E885" s="30" t="s">
        <v>1900</v>
      </c>
      <c r="F885" s="34" t="str">
        <f>IFERROR(VLOOKUP(VENTAS[[#This Row],[Código del producto Vendido]],STOCK[],5,FALSE),"-")</f>
        <v>Blusa estampada de Lunares</v>
      </c>
      <c r="G885" s="34">
        <v>1</v>
      </c>
      <c r="H885" s="35">
        <v>14</v>
      </c>
      <c r="I885" s="35">
        <f>VENTAS[[#This Row],[Cantidad]]*VENTAS[[#This Row],[Precio Venta]]</f>
        <v>14</v>
      </c>
      <c r="J885" s="35">
        <f>IF(VENTAS[[#This Row],[Nombre del Gestor]]&gt;1,VENTAS[[#This Row],[Total]]*10%,0)</f>
        <v>1.4</v>
      </c>
      <c r="K885" s="35">
        <f>IFERROR(VLOOKUP(VENTAS[[#This Row],[Código del producto Vendido]],STOCK[],16,FALSE)*VENTAS[[#This Row],[Cantidad]]+VLOOKUP(VENTAS[[#This Row],[Código del producto Vendido]],STOCK[],19,FALSE)*VENTAS[[#This Row],[Cantidad]],VENTAS[[#This Row],[Total]])</f>
        <v>9.2</v>
      </c>
      <c r="L885" s="35">
        <f>VENTAS[[#This Row],[Total]]-VENTAS[[#This Row],[Comisión 10%]]-VENTAS[[#This Row],[Costo SIN Comision]]</f>
        <v>3.4</v>
      </c>
      <c r="M885" s="35"/>
    </row>
    <row r="886" ht="20" customHeight="1" spans="1:13">
      <c r="A886" s="29">
        <v>45418</v>
      </c>
      <c r="B886" s="30"/>
      <c r="C886" s="30"/>
      <c r="D886" s="30" t="s">
        <v>3481</v>
      </c>
      <c r="E886" s="30" t="s">
        <v>3494</v>
      </c>
      <c r="F886" s="34" t="str">
        <f>IFERROR(VLOOKUP(VENTAS[[#This Row],[Código del producto Vendido]],STOCK[],5,FALSE),"-")</f>
        <v>Botas negras de zíper</v>
      </c>
      <c r="G886" s="34">
        <v>1</v>
      </c>
      <c r="H886" s="35">
        <v>45</v>
      </c>
      <c r="I886" s="35">
        <f>VENTAS[[#This Row],[Cantidad]]*VENTAS[[#This Row],[Precio Venta]]</f>
        <v>45</v>
      </c>
      <c r="J886" s="35">
        <f>IF(VENTAS[[#This Row],[Nombre del Gestor]]&gt;1,VENTAS[[#This Row],[Total]]*10%,0)</f>
        <v>4.5</v>
      </c>
      <c r="K886" s="35">
        <f>IFERROR(VLOOKUP(VENTAS[[#This Row],[Código del producto Vendido]],STOCK[],16,FALSE)*VENTAS[[#This Row],[Cantidad]]+VLOOKUP(VENTAS[[#This Row],[Código del producto Vendido]],STOCK[],19,FALSE)*VENTAS[[#This Row],[Cantidad]],VENTAS[[#This Row],[Total]])</f>
        <v>22.42</v>
      </c>
      <c r="L886" s="35">
        <f>VENTAS[[#This Row],[Total]]-VENTAS[[#This Row],[Comisión 10%]]-VENTAS[[#This Row],[Costo SIN Comision]]</f>
        <v>18.08</v>
      </c>
      <c r="M886" s="35"/>
    </row>
    <row r="887" ht="20" customHeight="1" spans="1:13">
      <c r="A887" s="29">
        <v>45418</v>
      </c>
      <c r="B887" s="30"/>
      <c r="C887" s="30"/>
      <c r="D887" s="30" t="s">
        <v>3481</v>
      </c>
      <c r="E887" s="30" t="s">
        <v>3495</v>
      </c>
      <c r="F887" s="34" t="str">
        <f>IFERROR(VLOOKUP(VENTAS[[#This Row],[Código del producto Vendido]],STOCK[],5,FALSE),"-")</f>
        <v>Pantalón acampanado Blanco</v>
      </c>
      <c r="G887" s="34">
        <v>1</v>
      </c>
      <c r="H887" s="35">
        <v>30</v>
      </c>
      <c r="I887" s="35">
        <f>VENTAS[[#This Row],[Cantidad]]*VENTAS[[#This Row],[Precio Venta]]</f>
        <v>30</v>
      </c>
      <c r="J887" s="35">
        <f>IF(VENTAS[[#This Row],[Nombre del Gestor]]&gt;1,VENTAS[[#This Row],[Total]]*10%,0)</f>
        <v>3</v>
      </c>
      <c r="K887" s="35">
        <f>IFERROR(VLOOKUP(VENTAS[[#This Row],[Código del producto Vendido]],STOCK[],16,FALSE)*VENTAS[[#This Row],[Cantidad]]+VLOOKUP(VENTAS[[#This Row],[Código del producto Vendido]],STOCK[],19,FALSE)*VENTAS[[#This Row],[Cantidad]],VENTAS[[#This Row],[Total]])</f>
        <v>16.5</v>
      </c>
      <c r="L887" s="35">
        <f>VENTAS[[#This Row],[Total]]-VENTAS[[#This Row],[Comisión 10%]]-VENTAS[[#This Row],[Costo SIN Comision]]</f>
        <v>10.5</v>
      </c>
      <c r="M887" s="35"/>
    </row>
    <row r="888" ht="20" customHeight="1" spans="1:13">
      <c r="A888" s="29">
        <v>45419</v>
      </c>
      <c r="B888" s="30"/>
      <c r="C888" s="30"/>
      <c r="D888" s="30" t="s">
        <v>3481</v>
      </c>
      <c r="E888" s="30" t="s">
        <v>3496</v>
      </c>
      <c r="F888" s="34" t="str">
        <f>IFERROR(VLOOKUP(VENTAS[[#This Row],[Código del producto Vendido]],STOCK[],5,FALSE),"-")</f>
        <v>Bikini niñita Arcoíris</v>
      </c>
      <c r="G888" s="34">
        <v>1</v>
      </c>
      <c r="H888" s="35">
        <v>18</v>
      </c>
      <c r="I888" s="35">
        <f>VENTAS[[#This Row],[Cantidad]]*VENTAS[[#This Row],[Precio Venta]]</f>
        <v>18</v>
      </c>
      <c r="J888" s="35">
        <f>IF(VENTAS[[#This Row],[Nombre del Gestor]]&gt;1,VENTAS[[#This Row],[Total]]*10%,0)</f>
        <v>1.8</v>
      </c>
      <c r="K888" s="35">
        <f>IFERROR(VLOOKUP(VENTAS[[#This Row],[Código del producto Vendido]],STOCK[],16,FALSE)*VENTAS[[#This Row],[Cantidad]]+VLOOKUP(VENTAS[[#This Row],[Código del producto Vendido]],STOCK[],19,FALSE)*VENTAS[[#This Row],[Cantidad]],VENTAS[[#This Row],[Total]])</f>
        <v>11.5466666666667</v>
      </c>
      <c r="L888" s="35">
        <f>VENTAS[[#This Row],[Total]]-VENTAS[[#This Row],[Comisión 10%]]-VENTAS[[#This Row],[Costo SIN Comision]]</f>
        <v>4.65333333333333</v>
      </c>
      <c r="M888" s="35"/>
    </row>
    <row r="889" ht="20" customHeight="1" spans="1:13">
      <c r="A889" s="29">
        <v>45419</v>
      </c>
      <c r="B889" s="30"/>
      <c r="C889" s="30"/>
      <c r="D889" s="30" t="s">
        <v>3481</v>
      </c>
      <c r="E889" s="30" t="s">
        <v>3497</v>
      </c>
      <c r="F889" s="34" t="str">
        <f>IFERROR(VLOOKUP(VENTAS[[#This Row],[Código del producto Vendido]],STOCK[],5,FALSE),"-")</f>
        <v>Traje de baño niñitas Pastel con diadema</v>
      </c>
      <c r="G889" s="34">
        <v>1</v>
      </c>
      <c r="H889" s="35">
        <v>18</v>
      </c>
      <c r="I889" s="35">
        <f>VENTAS[[#This Row],[Cantidad]]*VENTAS[[#This Row],[Precio Venta]]</f>
        <v>18</v>
      </c>
      <c r="J889" s="35">
        <f>IF(VENTAS[[#This Row],[Nombre del Gestor]]&gt;1,VENTAS[[#This Row],[Total]]*10%,0)</f>
        <v>1.8</v>
      </c>
      <c r="K889" s="35">
        <f>IFERROR(VLOOKUP(VENTAS[[#This Row],[Código del producto Vendido]],STOCK[],16,FALSE)*VENTAS[[#This Row],[Cantidad]]+VLOOKUP(VENTAS[[#This Row],[Código del producto Vendido]],STOCK[],19,FALSE)*VENTAS[[#This Row],[Cantidad]],VENTAS[[#This Row],[Total]])</f>
        <v>11.8866666666667</v>
      </c>
      <c r="L889" s="35">
        <f>VENTAS[[#This Row],[Total]]-VENTAS[[#This Row],[Comisión 10%]]-VENTAS[[#This Row],[Costo SIN Comision]]</f>
        <v>4.31333333333333</v>
      </c>
      <c r="M889" s="35"/>
    </row>
    <row r="890" ht="20" customHeight="1" spans="1:13">
      <c r="A890" s="29">
        <v>45417</v>
      </c>
      <c r="B890" s="30"/>
      <c r="C890" s="30"/>
      <c r="D890" s="30" t="s">
        <v>3481</v>
      </c>
      <c r="E890" s="30" t="s">
        <v>3498</v>
      </c>
      <c r="F890" s="34" t="str">
        <f>IFERROR(VLOOKUP(VENTAS[[#This Row],[Código del producto Vendido]],STOCK[],5,FALSE),"-")</f>
        <v>Bikini niñitas unicornio con Diadema</v>
      </c>
      <c r="G890" s="34">
        <v>1</v>
      </c>
      <c r="H890" s="35">
        <v>18</v>
      </c>
      <c r="I890" s="35">
        <f>VENTAS[[#This Row],[Cantidad]]*VENTAS[[#This Row],[Precio Venta]]</f>
        <v>18</v>
      </c>
      <c r="J890" s="35">
        <f>IF(VENTAS[[#This Row],[Nombre del Gestor]]&gt;1,VENTAS[[#This Row],[Total]]*10%,0)</f>
        <v>1.8</v>
      </c>
      <c r="K890" s="35">
        <f>IFERROR(VLOOKUP(VENTAS[[#This Row],[Código del producto Vendido]],STOCK[],16,FALSE)*VENTAS[[#This Row],[Cantidad]]+VLOOKUP(VENTAS[[#This Row],[Código del producto Vendido]],STOCK[],19,FALSE)*VENTAS[[#This Row],[Cantidad]],VENTAS[[#This Row],[Total]])</f>
        <v>9.76611111111111</v>
      </c>
      <c r="L890" s="35">
        <f>VENTAS[[#This Row],[Total]]-VENTAS[[#This Row],[Comisión 10%]]-VENTAS[[#This Row],[Costo SIN Comision]]</f>
        <v>6.43388888888889</v>
      </c>
      <c r="M890" s="35"/>
    </row>
    <row r="891" ht="20" customHeight="1" spans="1:13">
      <c r="A891" s="29">
        <v>45416</v>
      </c>
      <c r="B891" s="30"/>
      <c r="C891" s="30"/>
      <c r="D891" s="30" t="s">
        <v>3481</v>
      </c>
      <c r="E891" s="30" t="s">
        <v>1366</v>
      </c>
      <c r="F891" s="34" t="str">
        <f>IFERROR(VLOOKUP(VENTAS[[#This Row],[Código del producto Vendido]],STOCK[],5,FALSE),"-")</f>
        <v>Falda plisada de cuadros</v>
      </c>
      <c r="G891" s="34">
        <v>1</v>
      </c>
      <c r="H891" s="35">
        <v>20</v>
      </c>
      <c r="I891" s="35">
        <f>VENTAS[[#This Row],[Cantidad]]*VENTAS[[#This Row],[Precio Venta]]</f>
        <v>20</v>
      </c>
      <c r="J891" s="35">
        <f>IF(VENTAS[[#This Row],[Nombre del Gestor]]&gt;1,VENTAS[[#This Row],[Total]]*10%,0)</f>
        <v>2</v>
      </c>
      <c r="K891" s="35">
        <f>IFERROR(VLOOKUP(VENTAS[[#This Row],[Código del producto Vendido]],STOCK[],16,FALSE)*VENTAS[[#This Row],[Cantidad]]+VLOOKUP(VENTAS[[#This Row],[Código del producto Vendido]],STOCK[],19,FALSE)*VENTAS[[#This Row],[Cantidad]],VENTAS[[#This Row],[Total]])</f>
        <v>12.74</v>
      </c>
      <c r="L891" s="35">
        <f>VENTAS[[#This Row],[Total]]-VENTAS[[#This Row],[Comisión 10%]]-VENTAS[[#This Row],[Costo SIN Comision]]</f>
        <v>5.26</v>
      </c>
      <c r="M891" s="35"/>
    </row>
    <row r="892" ht="20" customHeight="1" spans="1:13">
      <c r="A892" s="29">
        <v>45416</v>
      </c>
      <c r="B892" s="30"/>
      <c r="C892" s="30"/>
      <c r="D892" s="30" t="s">
        <v>3481</v>
      </c>
      <c r="E892" s="30" t="s">
        <v>245</v>
      </c>
      <c r="F892" s="34" t="str">
        <f>IFERROR(VLOOKUP(VENTAS[[#This Row],[Código del producto Vendido]],STOCK[],5,FALSE),"-")</f>
        <v>Top de mangas anchas y lentejuelas amarillo</v>
      </c>
      <c r="G892" s="34">
        <v>0</v>
      </c>
      <c r="H892" s="35">
        <v>13</v>
      </c>
      <c r="I892" s="35">
        <f>VENTAS[[#This Row],[Cantidad]]*VENTAS[[#This Row],[Precio Venta]]</f>
        <v>0</v>
      </c>
      <c r="J892" s="35">
        <f>IF(VENTAS[[#This Row],[Nombre del Gestor]]&gt;1,VENTAS[[#This Row],[Total]]*10%,0)</f>
        <v>0</v>
      </c>
      <c r="K892" s="35">
        <f>IFERROR(VLOOKUP(VENTAS[[#This Row],[Código del producto Vendido]],STOCK[],16,FALSE)*VENTAS[[#This Row],[Cantidad]]+VLOOKUP(VENTAS[[#This Row],[Código del producto Vendido]],STOCK[],19,FALSE)*VENTAS[[#This Row],[Cantidad]],VENTAS[[#This Row],[Total]])</f>
        <v>0</v>
      </c>
      <c r="L892" s="35">
        <f>VENTAS[[#This Row],[Total]]-VENTAS[[#This Row],[Comisión 10%]]-VENTAS[[#This Row],[Costo SIN Comision]]</f>
        <v>0</v>
      </c>
      <c r="M892" s="35"/>
    </row>
    <row r="893" ht="20" customHeight="1" spans="1:13">
      <c r="A893" s="29">
        <v>45416</v>
      </c>
      <c r="B893" s="30"/>
      <c r="C893" s="30"/>
      <c r="D893" s="30" t="s">
        <v>3481</v>
      </c>
      <c r="E893" s="30" t="s">
        <v>273</v>
      </c>
      <c r="F893" s="34" t="str">
        <f>IFERROR(VLOOKUP(VENTAS[[#This Row],[Código del producto Vendido]],STOCK[],5,FALSE),"-")</f>
        <v>Vestido playera oversize</v>
      </c>
      <c r="G893" s="34">
        <v>1</v>
      </c>
      <c r="H893" s="35">
        <v>20</v>
      </c>
      <c r="I893" s="35">
        <f>VENTAS[[#This Row],[Cantidad]]*VENTAS[[#This Row],[Precio Venta]]</f>
        <v>20</v>
      </c>
      <c r="J893" s="35">
        <f>IF(VENTAS[[#This Row],[Nombre del Gestor]]&gt;1,VENTAS[[#This Row],[Total]]*10%,0)</f>
        <v>2</v>
      </c>
      <c r="K893" s="35">
        <f>IFERROR(VLOOKUP(VENTAS[[#This Row],[Código del producto Vendido]],STOCK[],16,FALSE)*VENTAS[[#This Row],[Cantidad]]+VLOOKUP(VENTAS[[#This Row],[Código del producto Vendido]],STOCK[],19,FALSE)*VENTAS[[#This Row],[Cantidad]],VENTAS[[#This Row],[Total]])</f>
        <v>13.7888888888889</v>
      </c>
      <c r="L893" s="35">
        <f>VENTAS[[#This Row],[Total]]-VENTAS[[#This Row],[Comisión 10%]]-VENTAS[[#This Row],[Costo SIN Comision]]</f>
        <v>4.2111111111111</v>
      </c>
      <c r="M893" s="35"/>
    </row>
    <row r="894" ht="20" customHeight="1" spans="1:13">
      <c r="A894" s="29">
        <v>45419</v>
      </c>
      <c r="B894" s="30"/>
      <c r="C894" s="30"/>
      <c r="D894" s="30"/>
      <c r="E894" s="30" t="s">
        <v>3499</v>
      </c>
      <c r="F894" s="34" t="str">
        <f>IFERROR(VLOOKUP(VENTAS[[#This Row],[Código del producto Vendido]],STOCK[],5,FALSE),"-")</f>
        <v>Sandalias negras acolchadas</v>
      </c>
      <c r="G894" s="34">
        <v>1</v>
      </c>
      <c r="H894" s="35">
        <v>27</v>
      </c>
      <c r="I894" s="35">
        <f>VENTAS[[#This Row],[Cantidad]]*VENTAS[[#This Row],[Precio Venta]]</f>
        <v>27</v>
      </c>
      <c r="J894" s="35">
        <f>IF(VENTAS[[#This Row],[Nombre del Gestor]]&gt;1,VENTAS[[#This Row],[Total]]*10%,0)</f>
        <v>0</v>
      </c>
      <c r="K894" s="35">
        <f>IFERROR(VLOOKUP(VENTAS[[#This Row],[Código del producto Vendido]],STOCK[],16,FALSE)*VENTAS[[#This Row],[Cantidad]]+VLOOKUP(VENTAS[[#This Row],[Código del producto Vendido]],STOCK[],19,FALSE)*VENTAS[[#This Row],[Cantidad]],VENTAS[[#This Row],[Total]])</f>
        <v>12.49</v>
      </c>
      <c r="L894" s="35">
        <f>VENTAS[[#This Row],[Total]]-VENTAS[[#This Row],[Comisión 10%]]-VENTAS[[#This Row],[Costo SIN Comision]]</f>
        <v>14.51</v>
      </c>
      <c r="M894" s="35"/>
    </row>
    <row r="895" ht="20" customHeight="1" spans="1:13">
      <c r="A895" s="29">
        <v>45418</v>
      </c>
      <c r="B895" s="30"/>
      <c r="C895" s="30"/>
      <c r="D895" s="30" t="s">
        <v>3481</v>
      </c>
      <c r="E895" s="30" t="s">
        <v>1479</v>
      </c>
      <c r="F895" s="34" t="str">
        <f>IFERROR(VLOOKUP(VENTAS[[#This Row],[Código del producto Vendido]],STOCK[],5,FALSE),"-")</f>
        <v>Botas negras de zíper</v>
      </c>
      <c r="G895" s="34">
        <v>1</v>
      </c>
      <c r="H895" s="35">
        <v>45</v>
      </c>
      <c r="I895" s="35">
        <f>VENTAS[[#This Row],[Cantidad]]*VENTAS[[#This Row],[Precio Venta]]</f>
        <v>45</v>
      </c>
      <c r="J895" s="35">
        <f>IF(VENTAS[[#This Row],[Nombre del Gestor]]&gt;1,VENTAS[[#This Row],[Total]]*10%,0)</f>
        <v>4.5</v>
      </c>
      <c r="K895" s="35">
        <f>IFERROR(VLOOKUP(VENTAS[[#This Row],[Código del producto Vendido]],STOCK[],16,FALSE)*VENTAS[[#This Row],[Cantidad]]+VLOOKUP(VENTAS[[#This Row],[Código del producto Vendido]],STOCK[],19,FALSE)*VENTAS[[#This Row],[Cantidad]],VENTAS[[#This Row],[Total]])</f>
        <v>30</v>
      </c>
      <c r="L895" s="35">
        <f>VENTAS[[#This Row],[Total]]-VENTAS[[#This Row],[Comisión 10%]]-VENTAS[[#This Row],[Costo SIN Comision]]</f>
        <v>10.5</v>
      </c>
      <c r="M895" s="35"/>
    </row>
    <row r="896" ht="20" customHeight="1" spans="1:13">
      <c r="A896" s="29">
        <v>45418</v>
      </c>
      <c r="B896" s="30"/>
      <c r="C896" s="30"/>
      <c r="D896" s="30" t="s">
        <v>3481</v>
      </c>
      <c r="E896" s="30" t="s">
        <v>29</v>
      </c>
      <c r="F896" s="34" t="str">
        <f>IFERROR(VLOOKUP(VENTAS[[#This Row],[Código del producto Vendido]],STOCK[],5,FALSE),"-")</f>
        <v>Pareo falda </v>
      </c>
      <c r="G896" s="34">
        <v>1</v>
      </c>
      <c r="H896" s="35">
        <v>8</v>
      </c>
      <c r="I896" s="35">
        <f>VENTAS[[#This Row],[Cantidad]]*VENTAS[[#This Row],[Precio Venta]]</f>
        <v>8</v>
      </c>
      <c r="J896" s="35">
        <f>IF(VENTAS[[#This Row],[Nombre del Gestor]]&gt;1,VENTAS[[#This Row],[Total]]*10%,0)</f>
        <v>0.8</v>
      </c>
      <c r="K896" s="35">
        <f>IFERROR(VLOOKUP(VENTAS[[#This Row],[Código del producto Vendido]],STOCK[],16,FALSE)*VENTAS[[#This Row],[Cantidad]]+VLOOKUP(VENTAS[[#This Row],[Código del producto Vendido]],STOCK[],19,FALSE)*VENTAS[[#This Row],[Cantidad]],VENTAS[[#This Row],[Total]])</f>
        <v>4.33722222222222</v>
      </c>
      <c r="L896" s="35">
        <f>VENTAS[[#This Row],[Total]]-VENTAS[[#This Row],[Comisión 10%]]-VENTAS[[#This Row],[Costo SIN Comision]]</f>
        <v>2.86277777777778</v>
      </c>
      <c r="M896" s="35"/>
    </row>
    <row r="897" ht="20" customHeight="1" spans="1:13">
      <c r="A897" s="29">
        <v>45435</v>
      </c>
      <c r="B897" s="30"/>
      <c r="C897" s="30"/>
      <c r="D897" s="30" t="s">
        <v>3468</v>
      </c>
      <c r="E897" s="30" t="s">
        <v>79</v>
      </c>
      <c r="F897" s="34" t="str">
        <f>IFERROR(VLOOKUP(VENTAS[[#This Row],[Código del producto Vendido]],STOCK[],5,FALSE),"-")</f>
        <v>Pareo pantalón de malla</v>
      </c>
      <c r="G897" s="34">
        <v>1</v>
      </c>
      <c r="H897" s="35">
        <v>15</v>
      </c>
      <c r="I897" s="35">
        <f>VENTAS[[#This Row],[Cantidad]]*VENTAS[[#This Row],[Precio Venta]]</f>
        <v>15</v>
      </c>
      <c r="J897" s="35">
        <f>IF(VENTAS[[#This Row],[Nombre del Gestor]]&gt;1,VENTAS[[#This Row],[Total]]*10%,0)</f>
        <v>1.5</v>
      </c>
      <c r="K897" s="35">
        <f>IFERROR(VLOOKUP(VENTAS[[#This Row],[Código del producto Vendido]],STOCK[],16,FALSE)*VENTAS[[#This Row],[Cantidad]]+VLOOKUP(VENTAS[[#This Row],[Código del producto Vendido]],STOCK[],19,FALSE)*VENTAS[[#This Row],[Cantidad]],VENTAS[[#This Row],[Total]])</f>
        <v>9.95555555555556</v>
      </c>
      <c r="L897" s="35">
        <f>VENTAS[[#This Row],[Total]]-VENTAS[[#This Row],[Comisión 10%]]-VENTAS[[#This Row],[Costo SIN Comision]]</f>
        <v>3.54444444444444</v>
      </c>
      <c r="M897" s="35"/>
    </row>
    <row r="898" ht="20" customHeight="1" spans="1:13">
      <c r="A898" s="29">
        <v>45418</v>
      </c>
      <c r="B898" s="30"/>
      <c r="C898" s="30"/>
      <c r="D898" s="30" t="s">
        <v>3481</v>
      </c>
      <c r="E898" s="30" t="s">
        <v>84</v>
      </c>
      <c r="F898" s="34" t="str">
        <f>IFERROR(VLOOKUP(VENTAS[[#This Row],[Código del producto Vendido]],STOCK[],5,FALSE),"-")</f>
        <v>Bikini elegante con herrajes color humo</v>
      </c>
      <c r="G898" s="34">
        <v>1</v>
      </c>
      <c r="H898" s="35">
        <v>18</v>
      </c>
      <c r="I898" s="35">
        <f>VENTAS[[#This Row],[Cantidad]]*VENTAS[[#This Row],[Precio Venta]]</f>
        <v>18</v>
      </c>
      <c r="J898" s="35">
        <f>IF(VENTAS[[#This Row],[Nombre del Gestor]]&gt;1,VENTAS[[#This Row],[Total]]*10%,0)</f>
        <v>1.8</v>
      </c>
      <c r="K898" s="35">
        <f>IFERROR(VLOOKUP(VENTAS[[#This Row],[Código del producto Vendido]],STOCK[],16,FALSE)*VENTAS[[#This Row],[Cantidad]]+VLOOKUP(VENTAS[[#This Row],[Código del producto Vendido]],STOCK[],19,FALSE)*VENTAS[[#This Row],[Cantidad]],VENTAS[[#This Row],[Total]])</f>
        <v>12.6972222222222</v>
      </c>
      <c r="L898" s="35">
        <f>VENTAS[[#This Row],[Total]]-VENTAS[[#This Row],[Comisión 10%]]-VENTAS[[#This Row],[Costo SIN Comision]]</f>
        <v>3.50277777777778</v>
      </c>
      <c r="M898" s="35"/>
    </row>
    <row r="899" ht="20" customHeight="1" spans="1:13">
      <c r="A899" s="29">
        <v>45416</v>
      </c>
      <c r="B899" s="30"/>
      <c r="C899" s="30"/>
      <c r="D899" s="30" t="s">
        <v>3481</v>
      </c>
      <c r="E899" s="30" t="s">
        <v>509</v>
      </c>
      <c r="F899" s="34" t="str">
        <f>IFERROR(VLOOKUP(VENTAS[[#This Row],[Código del producto Vendido]],STOCK[],5,FALSE),"-")</f>
        <v>Set 3 piezas bikini</v>
      </c>
      <c r="G899" s="34">
        <v>1</v>
      </c>
      <c r="H899" s="35">
        <v>25</v>
      </c>
      <c r="I899" s="35">
        <f>VENTAS[[#This Row],[Cantidad]]*VENTAS[[#This Row],[Precio Venta]]</f>
        <v>25</v>
      </c>
      <c r="J899" s="35">
        <f>IF(VENTAS[[#This Row],[Nombre del Gestor]]&gt;1,VENTAS[[#This Row],[Total]]*10%,0)</f>
        <v>2.5</v>
      </c>
      <c r="K899" s="35">
        <f>IFERROR(VLOOKUP(VENTAS[[#This Row],[Código del producto Vendido]],STOCK[],16,FALSE)*VENTAS[[#This Row],[Cantidad]]+VLOOKUP(VENTAS[[#This Row],[Código del producto Vendido]],STOCK[],19,FALSE)*VENTAS[[#This Row],[Cantidad]],VENTAS[[#This Row],[Total]])</f>
        <v>16.0444444444444</v>
      </c>
      <c r="L899" s="35">
        <f>VENTAS[[#This Row],[Total]]-VENTAS[[#This Row],[Comisión 10%]]-VENTAS[[#This Row],[Costo SIN Comision]]</f>
        <v>6.4555555555556</v>
      </c>
      <c r="M899" s="35"/>
    </row>
    <row r="900" ht="20" customHeight="1" spans="1:13">
      <c r="A900" s="29">
        <v>45416</v>
      </c>
      <c r="B900" s="30"/>
      <c r="C900" s="30"/>
      <c r="D900" s="30" t="s">
        <v>3481</v>
      </c>
      <c r="E900" s="30" t="s">
        <v>750</v>
      </c>
      <c r="F900" s="34" t="str">
        <f>IFERROR(VLOOKUP(VENTAS[[#This Row],[Código del producto Vendido]],STOCK[],5,FALSE),"-")</f>
        <v>Sandalias trenzadas</v>
      </c>
      <c r="G900" s="34">
        <v>1</v>
      </c>
      <c r="H900" s="35">
        <v>35</v>
      </c>
      <c r="I900" s="35">
        <f>VENTAS[[#This Row],[Cantidad]]*VENTAS[[#This Row],[Precio Venta]]</f>
        <v>35</v>
      </c>
      <c r="J900" s="35">
        <f>IF(VENTAS[[#This Row],[Nombre del Gestor]]&gt;1,VENTAS[[#This Row],[Total]]*10%,0)</f>
        <v>3.5</v>
      </c>
      <c r="K900" s="35">
        <f>IFERROR(VLOOKUP(VENTAS[[#This Row],[Código del producto Vendido]],STOCK[],16,FALSE)*VENTAS[[#This Row],[Cantidad]]+VLOOKUP(VENTAS[[#This Row],[Código del producto Vendido]],STOCK[],19,FALSE)*VENTAS[[#This Row],[Cantidad]],VENTAS[[#This Row],[Total]])</f>
        <v>27</v>
      </c>
      <c r="L900" s="35">
        <f>VENTAS[[#This Row],[Total]]-VENTAS[[#This Row],[Comisión 10%]]-VENTAS[[#This Row],[Costo SIN Comision]]</f>
        <v>4.5</v>
      </c>
      <c r="M900" s="35"/>
    </row>
    <row r="901" ht="20" customHeight="1" spans="1:13">
      <c r="A901" s="29">
        <v>45416</v>
      </c>
      <c r="B901" s="30"/>
      <c r="C901" s="30" t="s">
        <v>3500</v>
      </c>
      <c r="D901" s="30"/>
      <c r="E901" s="30" t="s">
        <v>767</v>
      </c>
      <c r="F901" s="34" t="str">
        <f>IFERROR(VLOOKUP(VENTAS[[#This Row],[Código del producto Vendido]],STOCK[],5,FALSE),"-")</f>
        <v>Alpargatas a cuadros</v>
      </c>
      <c r="G901" s="34">
        <v>1</v>
      </c>
      <c r="H901" s="35">
        <v>0</v>
      </c>
      <c r="I901" s="35">
        <f>VENTAS[[#This Row],[Cantidad]]*VENTAS[[#This Row],[Precio Venta]]</f>
        <v>0</v>
      </c>
      <c r="J901" s="35">
        <f>IF(VENTAS[[#This Row],[Nombre del Gestor]]&gt;1,VENTAS[[#This Row],[Total]]*10%,0)</f>
        <v>0</v>
      </c>
      <c r="K901" s="35">
        <f>IFERROR(VLOOKUP(VENTAS[[#This Row],[Código del producto Vendido]],STOCK[],16,FALSE)*VENTAS[[#This Row],[Cantidad]]+VLOOKUP(VENTAS[[#This Row],[Código del producto Vendido]],STOCK[],19,FALSE)*VENTAS[[#This Row],[Cantidad]],VENTAS[[#This Row],[Total]])</f>
        <v>11.8888888888889</v>
      </c>
      <c r="L901" s="35">
        <f>VENTAS[[#This Row],[Total]]-VENTAS[[#This Row],[Comisión 10%]]-VENTAS[[#This Row],[Costo SIN Comision]]</f>
        <v>-11.8888888888889</v>
      </c>
      <c r="M901" s="35"/>
    </row>
    <row r="902" ht="20" customHeight="1" spans="1:13">
      <c r="A902" s="29">
        <v>45416</v>
      </c>
      <c r="B902" s="30"/>
      <c r="C902" s="30"/>
      <c r="D902" s="30" t="s">
        <v>3481</v>
      </c>
      <c r="E902" s="30" t="s">
        <v>962</v>
      </c>
      <c r="F902" s="34" t="str">
        <f>IFERROR(VLOOKUP(VENTAS[[#This Row],[Código del producto Vendido]],STOCK[],5,FALSE),"-")</f>
        <v>Pantalón business básico</v>
      </c>
      <c r="G902" s="34">
        <v>1</v>
      </c>
      <c r="H902" s="35">
        <v>30</v>
      </c>
      <c r="I902" s="35">
        <f>VENTAS[[#This Row],[Cantidad]]*VENTAS[[#This Row],[Precio Venta]]</f>
        <v>30</v>
      </c>
      <c r="J902" s="35">
        <f>IF(VENTAS[[#This Row],[Nombre del Gestor]]&gt;1,VENTAS[[#This Row],[Total]]*10%,0)</f>
        <v>3</v>
      </c>
      <c r="K902" s="35">
        <f>IFERROR(VLOOKUP(VENTAS[[#This Row],[Código del producto Vendido]],STOCK[],16,FALSE)*VENTAS[[#This Row],[Cantidad]]+VLOOKUP(VENTAS[[#This Row],[Código del producto Vendido]],STOCK[],19,FALSE)*VENTAS[[#This Row],[Cantidad]],VENTAS[[#This Row],[Total]])</f>
        <v>21.3722727272727</v>
      </c>
      <c r="L902" s="35">
        <f>VENTAS[[#This Row],[Total]]-VENTAS[[#This Row],[Comisión 10%]]-VENTAS[[#This Row],[Costo SIN Comision]]</f>
        <v>5.6277272727273</v>
      </c>
      <c r="M902" s="35"/>
    </row>
    <row r="903" ht="20" customHeight="1" spans="1:13">
      <c r="A903" s="29">
        <v>45435</v>
      </c>
      <c r="B903" s="30"/>
      <c r="C903" s="30"/>
      <c r="D903" s="30"/>
      <c r="E903" s="30" t="s">
        <v>966</v>
      </c>
      <c r="F903" s="34" t="str">
        <f>IFERROR(VLOOKUP(VENTAS[[#This Row],[Código del producto Vendido]],STOCK[],5,FALSE),"-")</f>
        <v> Top Básico Business</v>
      </c>
      <c r="G903" s="34">
        <v>1</v>
      </c>
      <c r="H903" s="35">
        <v>10</v>
      </c>
      <c r="I903" s="35">
        <f>VENTAS[[#This Row],[Cantidad]]*VENTAS[[#This Row],[Precio Venta]]</f>
        <v>10</v>
      </c>
      <c r="J903" s="35">
        <f>IF(VENTAS[[#This Row],[Nombre del Gestor]]&gt;1,VENTAS[[#This Row],[Total]]*10%,0)</f>
        <v>0</v>
      </c>
      <c r="K903" s="35">
        <f>IFERROR(VLOOKUP(VENTAS[[#This Row],[Código del producto Vendido]],STOCK[],16,FALSE)*VENTAS[[#This Row],[Cantidad]]+VLOOKUP(VENTAS[[#This Row],[Código del producto Vendido]],STOCK[],19,FALSE)*VENTAS[[#This Row],[Cantidad]],VENTAS[[#This Row],[Total]])</f>
        <v>6.78409090909091</v>
      </c>
      <c r="L903" s="35">
        <f>VENTAS[[#This Row],[Total]]-VENTAS[[#This Row],[Comisión 10%]]-VENTAS[[#This Row],[Costo SIN Comision]]</f>
        <v>3.21590909090909</v>
      </c>
      <c r="M903" s="35"/>
    </row>
    <row r="904" ht="20" customHeight="1" spans="1:13">
      <c r="A904" s="29">
        <v>45416</v>
      </c>
      <c r="B904" s="30"/>
      <c r="C904" s="30"/>
      <c r="D904" s="30"/>
      <c r="E904" s="30" t="s">
        <v>1204</v>
      </c>
      <c r="F904" s="34" t="str">
        <f>IFERROR(VLOOKUP(VENTAS[[#This Row],[Código del producto Vendido]],STOCK[],5,FALSE),"-")</f>
        <v>Pantaloneta de zíper</v>
      </c>
      <c r="G904" s="34">
        <v>1</v>
      </c>
      <c r="H904" s="35">
        <v>20</v>
      </c>
      <c r="I904" s="35">
        <f>VENTAS[[#This Row],[Cantidad]]*VENTAS[[#This Row],[Precio Venta]]</f>
        <v>20</v>
      </c>
      <c r="J904" s="35">
        <f>IF(VENTAS[[#This Row],[Nombre del Gestor]]&gt;1,VENTAS[[#This Row],[Total]]*10%,0)</f>
        <v>0</v>
      </c>
      <c r="K904" s="35">
        <f>IFERROR(VLOOKUP(VENTAS[[#This Row],[Código del producto Vendido]],STOCK[],16,FALSE)*VENTAS[[#This Row],[Cantidad]]+VLOOKUP(VENTAS[[#This Row],[Código del producto Vendido]],STOCK[],19,FALSE)*VENTAS[[#This Row],[Cantidad]],VENTAS[[#This Row],[Total]])</f>
        <v>13.36</v>
      </c>
      <c r="L904" s="35">
        <f>VENTAS[[#This Row],[Total]]-VENTAS[[#This Row],[Comisión 10%]]-VENTAS[[#This Row],[Costo SIN Comision]]</f>
        <v>6.64</v>
      </c>
      <c r="M904" s="35"/>
    </row>
    <row r="905" ht="20" customHeight="1" spans="1:13">
      <c r="A905" s="29">
        <v>45435</v>
      </c>
      <c r="B905" s="30"/>
      <c r="C905" s="30"/>
      <c r="D905" s="30" t="s">
        <v>3481</v>
      </c>
      <c r="E905" s="30" t="s">
        <v>1436</v>
      </c>
      <c r="F905" s="34" t="str">
        <f>IFERROR(VLOOKUP(VENTAS[[#This Row],[Código del producto Vendido]],STOCK[],5,FALSE),"-")</f>
        <v>Sandalias de velcro</v>
      </c>
      <c r="G905" s="34">
        <v>1</v>
      </c>
      <c r="H905" s="35">
        <v>30</v>
      </c>
      <c r="I905" s="35">
        <f>VENTAS[[#This Row],[Cantidad]]*VENTAS[[#This Row],[Precio Venta]]</f>
        <v>30</v>
      </c>
      <c r="J905" s="35">
        <f>IF(VENTAS[[#This Row],[Nombre del Gestor]]&gt;1,VENTAS[[#This Row],[Total]]*10%,0)</f>
        <v>3</v>
      </c>
      <c r="K905" s="35">
        <f>IFERROR(VLOOKUP(VENTAS[[#This Row],[Código del producto Vendido]],STOCK[],16,FALSE)*VENTAS[[#This Row],[Cantidad]]+VLOOKUP(VENTAS[[#This Row],[Código del producto Vendido]],STOCK[],19,FALSE)*VENTAS[[#This Row],[Cantidad]],VENTAS[[#This Row],[Total]])</f>
        <v>17</v>
      </c>
      <c r="L905" s="35">
        <f>VENTAS[[#This Row],[Total]]-VENTAS[[#This Row],[Comisión 10%]]-VENTAS[[#This Row],[Costo SIN Comision]]</f>
        <v>10</v>
      </c>
      <c r="M905" s="35"/>
    </row>
    <row r="906" ht="20" customHeight="1" spans="1:13">
      <c r="A906" s="29">
        <v>45434</v>
      </c>
      <c r="B906" s="30"/>
      <c r="C906" s="30"/>
      <c r="D906" s="30" t="s">
        <v>3481</v>
      </c>
      <c r="E906" s="30" t="s">
        <v>1759</v>
      </c>
      <c r="F906" s="34" t="str">
        <f>IFERROR(VLOOKUP(VENTAS[[#This Row],[Código del producto Vendido]],STOCK[],5,FALSE),"-")</f>
        <v>Zapatillas blanco casual</v>
      </c>
      <c r="G906" s="34">
        <v>2</v>
      </c>
      <c r="H906" s="35">
        <v>30</v>
      </c>
      <c r="I906" s="35">
        <f>VENTAS[[#This Row],[Cantidad]]*VENTAS[[#This Row],[Precio Venta]]</f>
        <v>60</v>
      </c>
      <c r="J906" s="35">
        <f>IF(VENTAS[[#This Row],[Nombre del Gestor]]&gt;1,VENTAS[[#This Row],[Total]]*10%,0)</f>
        <v>6</v>
      </c>
      <c r="K906" s="35">
        <f>IFERROR(VLOOKUP(VENTAS[[#This Row],[Código del producto Vendido]],STOCK[],16,FALSE)*VENTAS[[#This Row],[Cantidad]]+VLOOKUP(VENTAS[[#This Row],[Código del producto Vendido]],STOCK[],19,FALSE)*VENTAS[[#This Row],[Cantidad]],VENTAS[[#This Row],[Total]])</f>
        <v>50.9411764705882</v>
      </c>
      <c r="L906" s="35">
        <f>VENTAS[[#This Row],[Total]]-VENTAS[[#This Row],[Comisión 10%]]-VENTAS[[#This Row],[Costo SIN Comision]]</f>
        <v>3.0588235294118</v>
      </c>
      <c r="M906" s="35"/>
    </row>
    <row r="907" ht="20" customHeight="1" spans="1:13">
      <c r="A907" s="29">
        <v>45422</v>
      </c>
      <c r="B907" s="30"/>
      <c r="C907" s="30"/>
      <c r="D907" s="30" t="s">
        <v>3481</v>
      </c>
      <c r="E907" s="30" t="s">
        <v>1816</v>
      </c>
      <c r="F907" s="34" t="str">
        <f>IFERROR(VLOOKUP(VENTAS[[#This Row],[Código del producto Vendido]],STOCK[],5,FALSE),"-")</f>
        <v>Vestido Midi Elegante</v>
      </c>
      <c r="G907" s="34">
        <v>1</v>
      </c>
      <c r="H907" s="35">
        <v>22</v>
      </c>
      <c r="I907" s="35">
        <f>VENTAS[[#This Row],[Cantidad]]*VENTAS[[#This Row],[Precio Venta]]</f>
        <v>22</v>
      </c>
      <c r="J907" s="35">
        <f>IF(VENTAS[[#This Row],[Nombre del Gestor]]&gt;1,VENTAS[[#This Row],[Total]]*10%,0)</f>
        <v>2.2</v>
      </c>
      <c r="K907" s="35">
        <f>IFERROR(VLOOKUP(VENTAS[[#This Row],[Código del producto Vendido]],STOCK[],16,FALSE)*VENTAS[[#This Row],[Cantidad]]+VLOOKUP(VENTAS[[#This Row],[Código del producto Vendido]],STOCK[],19,FALSE)*VENTAS[[#This Row],[Cantidad]],VENTAS[[#This Row],[Total]])</f>
        <v>10.79</v>
      </c>
      <c r="L907" s="35">
        <f>VENTAS[[#This Row],[Total]]-VENTAS[[#This Row],[Comisión 10%]]-VENTAS[[#This Row],[Costo SIN Comision]]</f>
        <v>9.01</v>
      </c>
      <c r="M907" s="35"/>
    </row>
    <row r="908" ht="20" customHeight="1" spans="1:13">
      <c r="A908" s="30"/>
      <c r="B908" s="30"/>
      <c r="C908" s="30" t="s">
        <v>3390</v>
      </c>
      <c r="D908" s="30"/>
      <c r="E908" s="30" t="s">
        <v>1816</v>
      </c>
      <c r="F908" s="34" t="str">
        <f>IFERROR(VLOOKUP(VENTAS[[#This Row],[Código del producto Vendido]],STOCK[],5,FALSE),"-")</f>
        <v>Vestido Midi Elegante</v>
      </c>
      <c r="G908" s="34">
        <v>1</v>
      </c>
      <c r="H908" s="35">
        <v>22</v>
      </c>
      <c r="I908" s="35">
        <f>VENTAS[[#This Row],[Cantidad]]*VENTAS[[#This Row],[Precio Venta]]</f>
        <v>22</v>
      </c>
      <c r="J908" s="35">
        <f>IF(VENTAS[[#This Row],[Nombre del Gestor]]&gt;1,VENTAS[[#This Row],[Total]]*10%,0)</f>
        <v>0</v>
      </c>
      <c r="K908" s="35">
        <f>IFERROR(VLOOKUP(VENTAS[[#This Row],[Código del producto Vendido]],STOCK[],16,FALSE)*VENTAS[[#This Row],[Cantidad]]+VLOOKUP(VENTAS[[#This Row],[Código del producto Vendido]],STOCK[],19,FALSE)*VENTAS[[#This Row],[Cantidad]],VENTAS[[#This Row],[Total]])</f>
        <v>10.79</v>
      </c>
      <c r="L908" s="35">
        <f>VENTAS[[#This Row],[Total]]-VENTAS[[#This Row],[Comisión 10%]]-VENTAS[[#This Row],[Costo SIN Comision]]</f>
        <v>11.21</v>
      </c>
      <c r="M908" s="35"/>
    </row>
    <row r="909" ht="20" customHeight="1" spans="1:13">
      <c r="A909" s="30"/>
      <c r="B909" s="30"/>
      <c r="C909" s="30" t="s">
        <v>3501</v>
      </c>
      <c r="D909" s="30"/>
      <c r="E909" s="30" t="s">
        <v>1821</v>
      </c>
      <c r="F909" s="34" t="str">
        <f>IFERROR(VLOOKUP(VENTAS[[#This Row],[Código del producto Vendido]],STOCK[],5,FALSE),"-")</f>
        <v>Vestido Midi Elegante</v>
      </c>
      <c r="G909" s="34">
        <v>1</v>
      </c>
      <c r="H909" s="35">
        <v>22</v>
      </c>
      <c r="I909" s="35">
        <f>VENTAS[[#This Row],[Cantidad]]*VENTAS[[#This Row],[Precio Venta]]</f>
        <v>22</v>
      </c>
      <c r="J909" s="35">
        <f>IF(VENTAS[[#This Row],[Nombre del Gestor]]&gt;1,VENTAS[[#This Row],[Total]]*10%,0)</f>
        <v>0</v>
      </c>
      <c r="K909" s="35">
        <f>IFERROR(VLOOKUP(VENTAS[[#This Row],[Código del producto Vendido]],STOCK[],16,FALSE)*VENTAS[[#This Row],[Cantidad]]+VLOOKUP(VENTAS[[#This Row],[Código del producto Vendido]],STOCK[],19,FALSE)*VENTAS[[#This Row],[Cantidad]],VENTAS[[#This Row],[Total]])</f>
        <v>10.79</v>
      </c>
      <c r="L909" s="35">
        <f>VENTAS[[#This Row],[Total]]-VENTAS[[#This Row],[Comisión 10%]]-VENTAS[[#This Row],[Costo SIN Comision]]</f>
        <v>11.21</v>
      </c>
      <c r="M909" s="35"/>
    </row>
    <row r="910" ht="20" customHeight="1" spans="1:13">
      <c r="A910" s="29">
        <v>45421</v>
      </c>
      <c r="B910" s="30"/>
      <c r="C910" s="30"/>
      <c r="D910" s="30" t="s">
        <v>3481</v>
      </c>
      <c r="E910" s="30" t="s">
        <v>1892</v>
      </c>
      <c r="F910" s="34" t="str">
        <f>IFERROR(VLOOKUP(VENTAS[[#This Row],[Código del producto Vendido]],STOCK[],5,FALSE),"-")</f>
        <v>Set de bolso minimalista negro</v>
      </c>
      <c r="G910" s="34">
        <v>1</v>
      </c>
      <c r="H910" s="35">
        <v>25</v>
      </c>
      <c r="I910" s="35">
        <f>VENTAS[[#This Row],[Cantidad]]*VENTAS[[#This Row],[Precio Venta]]</f>
        <v>25</v>
      </c>
      <c r="J910" s="35">
        <f>IF(VENTAS[[#This Row],[Nombre del Gestor]]&gt;1,VENTAS[[#This Row],[Total]]*10%,0)</f>
        <v>2.5</v>
      </c>
      <c r="K910" s="35">
        <f>IFERROR(VLOOKUP(VENTAS[[#This Row],[Código del producto Vendido]],STOCK[],16,FALSE)*VENTAS[[#This Row],[Cantidad]]+VLOOKUP(VENTAS[[#This Row],[Código del producto Vendido]],STOCK[],19,FALSE)*VENTAS[[#This Row],[Cantidad]],VENTAS[[#This Row],[Total]])</f>
        <v>12.75</v>
      </c>
      <c r="L910" s="35">
        <f>VENTAS[[#This Row],[Total]]-VENTAS[[#This Row],[Comisión 10%]]-VENTAS[[#This Row],[Costo SIN Comision]]</f>
        <v>9.75</v>
      </c>
      <c r="M910" s="35"/>
    </row>
    <row r="911" ht="20" customHeight="1" spans="1:13">
      <c r="A911" s="29">
        <v>45428</v>
      </c>
      <c r="B911" s="30"/>
      <c r="C911" s="30"/>
      <c r="D911" s="30" t="s">
        <v>3481</v>
      </c>
      <c r="E911" s="30" t="s">
        <v>1894</v>
      </c>
      <c r="F911" s="34" t="str">
        <f>IFERROR(VLOOKUP(VENTAS[[#This Row],[Código del producto Vendido]],STOCK[],5,FALSE),"-")</f>
        <v>Set de bolso minimalista amarillo</v>
      </c>
      <c r="G911" s="34">
        <v>1</v>
      </c>
      <c r="H911" s="35">
        <v>25</v>
      </c>
      <c r="I911" s="35">
        <f>VENTAS[[#This Row],[Cantidad]]*VENTAS[[#This Row],[Precio Venta]]</f>
        <v>25</v>
      </c>
      <c r="J911" s="35">
        <f>IF(VENTAS[[#This Row],[Nombre del Gestor]]&gt;1,VENTAS[[#This Row],[Total]]*10%,0)</f>
        <v>2.5</v>
      </c>
      <c r="K911" s="35">
        <f>IFERROR(VLOOKUP(VENTAS[[#This Row],[Código del producto Vendido]],STOCK[],16,FALSE)*VENTAS[[#This Row],[Cantidad]]+VLOOKUP(VENTAS[[#This Row],[Código del producto Vendido]],STOCK[],19,FALSE)*VENTAS[[#This Row],[Cantidad]],VENTAS[[#This Row],[Total]])</f>
        <v>12.75</v>
      </c>
      <c r="L911" s="35">
        <f>VENTAS[[#This Row],[Total]]-VENTAS[[#This Row],[Comisión 10%]]-VENTAS[[#This Row],[Costo SIN Comision]]</f>
        <v>9.75</v>
      </c>
      <c r="M911" s="35"/>
    </row>
    <row r="912" ht="20" customHeight="1" spans="1:13">
      <c r="A912" s="29">
        <v>45428</v>
      </c>
      <c r="B912" s="30"/>
      <c r="C912" s="30"/>
      <c r="D912" s="30" t="s">
        <v>3481</v>
      </c>
      <c r="E912" s="30" t="s">
        <v>1301</v>
      </c>
      <c r="F912" s="34" t="str">
        <f>IFERROR(VLOOKUP(VENTAS[[#This Row],[Código del producto Vendido]],STOCK[],5,FALSE),"-")</f>
        <v>Jean ajustado Claro</v>
      </c>
      <c r="G912" s="34">
        <v>1</v>
      </c>
      <c r="H912" s="35">
        <v>30</v>
      </c>
      <c r="I912" s="35">
        <f>VENTAS[[#This Row],[Cantidad]]*VENTAS[[#This Row],[Precio Venta]]</f>
        <v>30</v>
      </c>
      <c r="J912" s="35">
        <f>IF(VENTAS[[#This Row],[Nombre del Gestor]]&gt;1,VENTAS[[#This Row],[Total]]*10%,0)</f>
        <v>3</v>
      </c>
      <c r="K912" s="35">
        <f>IFERROR(VLOOKUP(VENTAS[[#This Row],[Código del producto Vendido]],STOCK[],16,FALSE)*VENTAS[[#This Row],[Cantidad]]+VLOOKUP(VENTAS[[#This Row],[Código del producto Vendido]],STOCK[],19,FALSE)*VENTAS[[#This Row],[Cantidad]],VENTAS[[#This Row],[Total]])</f>
        <v>23.79</v>
      </c>
      <c r="L912" s="35">
        <f>VENTAS[[#This Row],[Total]]-VENTAS[[#This Row],[Comisión 10%]]-VENTAS[[#This Row],[Costo SIN Comision]]</f>
        <v>3.21</v>
      </c>
      <c r="M912" s="35"/>
    </row>
    <row r="913" ht="20" customHeight="1" spans="1:13">
      <c r="A913" s="29">
        <v>45428</v>
      </c>
      <c r="B913" s="30"/>
      <c r="C913" s="30"/>
      <c r="D913" s="30" t="s">
        <v>3481</v>
      </c>
      <c r="E913" s="30" t="s">
        <v>1521</v>
      </c>
      <c r="F913" s="34" t="str">
        <f>IFERROR(VLOOKUP(VENTAS[[#This Row],[Código del producto Vendido]],STOCK[],5,FALSE),"-")</f>
        <v>Sandalias Albaricoque</v>
      </c>
      <c r="G913" s="34">
        <v>1</v>
      </c>
      <c r="H913" s="35">
        <v>35</v>
      </c>
      <c r="I913" s="35">
        <f>VENTAS[[#This Row],[Cantidad]]*VENTAS[[#This Row],[Precio Venta]]</f>
        <v>35</v>
      </c>
      <c r="J913" s="35">
        <f>IF(VENTAS[[#This Row],[Nombre del Gestor]]&gt;1,VENTAS[[#This Row],[Total]]*10%,0)</f>
        <v>3.5</v>
      </c>
      <c r="K913" s="35">
        <f>IFERROR(VLOOKUP(VENTAS[[#This Row],[Código del producto Vendido]],STOCK[],16,FALSE)*VENTAS[[#This Row],[Cantidad]]+VLOOKUP(VENTAS[[#This Row],[Código del producto Vendido]],STOCK[],19,FALSE)*VENTAS[[#This Row],[Cantidad]],VENTAS[[#This Row],[Total]])</f>
        <v>23</v>
      </c>
      <c r="L913" s="35">
        <f>VENTAS[[#This Row],[Total]]-VENTAS[[#This Row],[Comisión 10%]]-VENTAS[[#This Row],[Costo SIN Comision]]</f>
        <v>8.5</v>
      </c>
      <c r="M913" s="35"/>
    </row>
    <row r="914" ht="20" customHeight="1" spans="1:13">
      <c r="A914" s="29">
        <v>45430</v>
      </c>
      <c r="B914" s="30"/>
      <c r="C914" s="30"/>
      <c r="D914" s="30" t="s">
        <v>3481</v>
      </c>
      <c r="E914" s="30" t="s">
        <v>1754</v>
      </c>
      <c r="F914" s="34" t="str">
        <f>IFERROR(VLOOKUP(VENTAS[[#This Row],[Código del producto Vendido]],STOCK[],5,FALSE),"-")</f>
        <v>Zapatillas blanco casual</v>
      </c>
      <c r="G914" s="34">
        <v>1</v>
      </c>
      <c r="H914" s="35">
        <v>30</v>
      </c>
      <c r="I914" s="35">
        <f>VENTAS[[#This Row],[Cantidad]]*VENTAS[[#This Row],[Precio Venta]]</f>
        <v>30</v>
      </c>
      <c r="J914" s="35">
        <f>IF(VENTAS[[#This Row],[Nombre del Gestor]]&gt;1,VENTAS[[#This Row],[Total]]*10%,0)</f>
        <v>3</v>
      </c>
      <c r="K914" s="35">
        <f>IFERROR(VLOOKUP(VENTAS[[#This Row],[Código del producto Vendido]],STOCK[],16,FALSE)*VENTAS[[#This Row],[Cantidad]]+VLOOKUP(VENTAS[[#This Row],[Código del producto Vendido]],STOCK[],19,FALSE)*VENTAS[[#This Row],[Cantidad]],VENTAS[[#This Row],[Total]])</f>
        <v>24.4705882352941</v>
      </c>
      <c r="L914" s="35">
        <f>VENTAS[[#This Row],[Total]]-VENTAS[[#This Row],[Comisión 10%]]-VENTAS[[#This Row],[Costo SIN Comision]]</f>
        <v>2.5294117647059</v>
      </c>
      <c r="M914" s="35"/>
    </row>
    <row r="915" ht="20" customHeight="1" spans="1:13">
      <c r="A915" s="29">
        <v>45430</v>
      </c>
      <c r="B915" s="30"/>
      <c r="C915" s="30" t="s">
        <v>3502</v>
      </c>
      <c r="D915" s="30"/>
      <c r="E915" s="30" t="s">
        <v>1650</v>
      </c>
      <c r="F915" s="34" t="str">
        <f>IFERROR(VLOOKUP(VENTAS[[#This Row],[Código del producto Vendido]],STOCK[],5,FALSE),"-")</f>
        <v>Vestido Frenchy Rojo</v>
      </c>
      <c r="G915" s="34">
        <v>1</v>
      </c>
      <c r="H915" s="35">
        <v>0</v>
      </c>
      <c r="I915" s="35">
        <f>VENTAS[[#This Row],[Cantidad]]*VENTAS[[#This Row],[Precio Venta]]</f>
        <v>0</v>
      </c>
      <c r="J915" s="35">
        <f>IF(VENTAS[[#This Row],[Nombre del Gestor]]&gt;1,VENTAS[[#This Row],[Total]]*10%,0)</f>
        <v>0</v>
      </c>
      <c r="K915" s="35">
        <f>IFERROR(VLOOKUP(VENTAS[[#This Row],[Código del producto Vendido]],STOCK[],16,FALSE)*VENTAS[[#This Row],[Cantidad]]+VLOOKUP(VENTAS[[#This Row],[Código del producto Vendido]],STOCK[],19,FALSE)*VENTAS[[#This Row],[Cantidad]],VENTAS[[#This Row],[Total]])</f>
        <v>11.56</v>
      </c>
      <c r="L915" s="35">
        <f>VENTAS[[#This Row],[Total]]-VENTAS[[#This Row],[Comisión 10%]]-VENTAS[[#This Row],[Costo SIN Comision]]</f>
        <v>-11.56</v>
      </c>
      <c r="M915" s="35"/>
    </row>
    <row r="916" ht="20" customHeight="1" spans="1:13">
      <c r="A916" s="29">
        <v>45430</v>
      </c>
      <c r="B916" s="30"/>
      <c r="C916" s="30"/>
      <c r="D916" s="30" t="s">
        <v>3481</v>
      </c>
      <c r="E916" s="30" t="s">
        <v>1777</v>
      </c>
      <c r="F916" s="34" t="str">
        <f>IFERROR(VLOOKUP(VENTAS[[#This Row],[Código del producto Vendido]],STOCK[],5,FALSE),"-")</f>
        <v>Conjunto de bikini moca</v>
      </c>
      <c r="G916" s="34">
        <v>1</v>
      </c>
      <c r="H916" s="35">
        <v>20</v>
      </c>
      <c r="I916" s="35">
        <f>VENTAS[[#This Row],[Cantidad]]*VENTAS[[#This Row],[Precio Venta]]</f>
        <v>20</v>
      </c>
      <c r="J916" s="35">
        <f>IF(VENTAS[[#This Row],[Nombre del Gestor]]&gt;1,VENTAS[[#This Row],[Total]]*10%,0)</f>
        <v>2</v>
      </c>
      <c r="K916" s="35">
        <f>IFERROR(VLOOKUP(VENTAS[[#This Row],[Código del producto Vendido]],STOCK[],16,FALSE)*VENTAS[[#This Row],[Cantidad]]+VLOOKUP(VENTAS[[#This Row],[Código del producto Vendido]],STOCK[],19,FALSE)*VENTAS[[#This Row],[Cantidad]],VENTAS[[#This Row],[Total]])</f>
        <v>12.3529411764706</v>
      </c>
      <c r="L916" s="35">
        <f>VENTAS[[#This Row],[Total]]-VENTAS[[#This Row],[Comisión 10%]]-VENTAS[[#This Row],[Costo SIN Comision]]</f>
        <v>5.64705882352941</v>
      </c>
      <c r="M916" s="35"/>
    </row>
    <row r="917" ht="20" customHeight="1" spans="1:13">
      <c r="A917" s="29">
        <v>45424</v>
      </c>
      <c r="B917" s="30"/>
      <c r="C917" s="30"/>
      <c r="D917" s="30" t="s">
        <v>3481</v>
      </c>
      <c r="E917" s="30" t="s">
        <v>1624</v>
      </c>
      <c r="F917" s="34" t="str">
        <f>IFERROR(VLOOKUP(VENTAS[[#This Row],[Código del producto Vendido]],STOCK[],5,FALSE),"-")</f>
        <v>Vestido Tarsha</v>
      </c>
      <c r="G917" s="34">
        <v>1</v>
      </c>
      <c r="H917" s="35">
        <v>27</v>
      </c>
      <c r="I917" s="35">
        <f>VENTAS[[#This Row],[Cantidad]]*VENTAS[[#This Row],[Precio Venta]]</f>
        <v>27</v>
      </c>
      <c r="J917" s="35">
        <f>IF(VENTAS[[#This Row],[Nombre del Gestor]]&gt;1,VENTAS[[#This Row],[Total]]*10%,0)</f>
        <v>2.7</v>
      </c>
      <c r="K917" s="35">
        <f>IFERROR(VLOOKUP(VENTAS[[#This Row],[Código del producto Vendido]],STOCK[],16,FALSE)*VENTAS[[#This Row],[Cantidad]]+VLOOKUP(VENTAS[[#This Row],[Código del producto Vendido]],STOCK[],19,FALSE)*VENTAS[[#This Row],[Cantidad]],VENTAS[[#This Row],[Total]])</f>
        <v>13.97</v>
      </c>
      <c r="L917" s="35">
        <f>VENTAS[[#This Row],[Total]]-VENTAS[[#This Row],[Comisión 10%]]-VENTAS[[#This Row],[Costo SIN Comision]]</f>
        <v>10.33</v>
      </c>
      <c r="M917" s="35"/>
    </row>
    <row r="918" ht="20" customHeight="1" spans="1:13">
      <c r="A918" s="29">
        <v>45424</v>
      </c>
      <c r="B918" s="30"/>
      <c r="C918" s="30"/>
      <c r="D918" s="30" t="s">
        <v>3481</v>
      </c>
      <c r="E918" s="30" t="s">
        <v>1757</v>
      </c>
      <c r="F918" s="34" t="str">
        <f>IFERROR(VLOOKUP(VENTAS[[#This Row],[Código del producto Vendido]],STOCK[],5,FALSE),"-")</f>
        <v>Zapatillas blanco casual</v>
      </c>
      <c r="G918" s="34">
        <v>2</v>
      </c>
      <c r="H918" s="35">
        <v>30</v>
      </c>
      <c r="I918" s="35">
        <f>VENTAS[[#This Row],[Cantidad]]*VENTAS[[#This Row],[Precio Venta]]</f>
        <v>60</v>
      </c>
      <c r="J918" s="35">
        <f>IF(VENTAS[[#This Row],[Nombre del Gestor]]&gt;1,VENTAS[[#This Row],[Total]]*10%,0)</f>
        <v>6</v>
      </c>
      <c r="K918" s="35">
        <f>IFERROR(VLOOKUP(VENTAS[[#This Row],[Código del producto Vendido]],STOCK[],16,FALSE)*VENTAS[[#This Row],[Cantidad]]+VLOOKUP(VENTAS[[#This Row],[Código del producto Vendido]],STOCK[],19,FALSE)*VENTAS[[#This Row],[Cantidad]],VENTAS[[#This Row],[Total]])</f>
        <v>50.9411764705882</v>
      </c>
      <c r="L918" s="35">
        <f>VENTAS[[#This Row],[Total]]-VENTAS[[#This Row],[Comisión 10%]]-VENTAS[[#This Row],[Costo SIN Comision]]</f>
        <v>3.0588235294118</v>
      </c>
      <c r="M918" s="35"/>
    </row>
    <row r="919" ht="20" customHeight="1" spans="1:13">
      <c r="A919" s="29">
        <v>45424</v>
      </c>
      <c r="B919" s="30"/>
      <c r="C919" s="30"/>
      <c r="D919" s="30" t="s">
        <v>3481</v>
      </c>
      <c r="E919" s="30" t="s">
        <v>1582</v>
      </c>
      <c r="F919" s="34" t="str">
        <f>IFERROR(VLOOKUP(VENTAS[[#This Row],[Código del producto Vendido]],STOCK[],5,FALSE),"-")</f>
        <v>Sandalias de hebilla</v>
      </c>
      <c r="G919" s="34">
        <v>1</v>
      </c>
      <c r="H919" s="35">
        <v>18</v>
      </c>
      <c r="I919" s="35">
        <f>VENTAS[[#This Row],[Cantidad]]*VENTAS[[#This Row],[Precio Venta]]</f>
        <v>18</v>
      </c>
      <c r="J919" s="35">
        <f>IF(VENTAS[[#This Row],[Nombre del Gestor]]&gt;1,VENTAS[[#This Row],[Total]]*10%,0)</f>
        <v>1.8</v>
      </c>
      <c r="K919" s="35">
        <f>IFERROR(VLOOKUP(VENTAS[[#This Row],[Código del producto Vendido]],STOCK[],16,FALSE)*VENTAS[[#This Row],[Cantidad]]+VLOOKUP(VENTAS[[#This Row],[Código del producto Vendido]],STOCK[],19,FALSE)*VENTAS[[#This Row],[Cantidad]],VENTAS[[#This Row],[Total]])</f>
        <v>11</v>
      </c>
      <c r="L919" s="35">
        <f>VENTAS[[#This Row],[Total]]-VENTAS[[#This Row],[Comisión 10%]]-VENTAS[[#This Row],[Costo SIN Comision]]</f>
        <v>5.2</v>
      </c>
      <c r="M919" s="35"/>
    </row>
    <row r="920" ht="20" customHeight="1" spans="1:13">
      <c r="A920" s="29">
        <v>45431</v>
      </c>
      <c r="B920" s="30"/>
      <c r="C920" s="30"/>
      <c r="D920" s="30" t="s">
        <v>3481</v>
      </c>
      <c r="E920" s="30" t="s">
        <v>1593</v>
      </c>
      <c r="F920" s="34" t="str">
        <f>IFERROR(VLOOKUP(VENTAS[[#This Row],[Código del producto Vendido]],STOCK[],5,FALSE),"-")</f>
        <v>Sandalias flip de plataforma Negro</v>
      </c>
      <c r="G920" s="34">
        <v>1</v>
      </c>
      <c r="H920" s="35">
        <v>15</v>
      </c>
      <c r="I920" s="35">
        <f>VENTAS[[#This Row],[Cantidad]]*VENTAS[[#This Row],[Precio Venta]]</f>
        <v>15</v>
      </c>
      <c r="J920" s="35">
        <f>IF(VENTAS[[#This Row],[Nombre del Gestor]]&gt;1,VENTAS[[#This Row],[Total]]*10%,0)</f>
        <v>1.5</v>
      </c>
      <c r="K920" s="35">
        <f>IFERROR(VLOOKUP(VENTAS[[#This Row],[Código del producto Vendido]],STOCK[],16,FALSE)*VENTAS[[#This Row],[Cantidad]]+VLOOKUP(VENTAS[[#This Row],[Código del producto Vendido]],STOCK[],19,FALSE)*VENTAS[[#This Row],[Cantidad]],VENTAS[[#This Row],[Total]])</f>
        <v>9.49</v>
      </c>
      <c r="L920" s="35">
        <f>VENTAS[[#This Row],[Total]]-VENTAS[[#This Row],[Comisión 10%]]-VENTAS[[#This Row],[Costo SIN Comision]]</f>
        <v>4.01</v>
      </c>
      <c r="M920" s="35"/>
    </row>
    <row r="921" ht="20" customHeight="1" spans="1:13">
      <c r="A921" s="29">
        <v>45431</v>
      </c>
      <c r="B921" s="30"/>
      <c r="C921" s="30"/>
      <c r="D921" s="30" t="s">
        <v>3481</v>
      </c>
      <c r="E921" s="30" t="s">
        <v>1603</v>
      </c>
      <c r="F921" s="34" t="str">
        <f>IFERROR(VLOOKUP(VENTAS[[#This Row],[Código del producto Vendido]],STOCK[],5,FALSE),"-")</f>
        <v>Sandalias minimalistas de tacón</v>
      </c>
      <c r="G921" s="34">
        <v>1</v>
      </c>
      <c r="H921" s="35">
        <v>35</v>
      </c>
      <c r="I921" s="35">
        <f>VENTAS[[#This Row],[Cantidad]]*VENTAS[[#This Row],[Precio Venta]]</f>
        <v>35</v>
      </c>
      <c r="J921" s="35">
        <f>IF(VENTAS[[#This Row],[Nombre del Gestor]]&gt;1,VENTAS[[#This Row],[Total]]*10%,0)</f>
        <v>3.5</v>
      </c>
      <c r="K921" s="35">
        <f>IFERROR(VLOOKUP(VENTAS[[#This Row],[Código del producto Vendido]],STOCK[],16,FALSE)*VENTAS[[#This Row],[Cantidad]]+VLOOKUP(VENTAS[[#This Row],[Código del producto Vendido]],STOCK[],19,FALSE)*VENTAS[[#This Row],[Cantidad]],VENTAS[[#This Row],[Total]])</f>
        <v>17.36</v>
      </c>
      <c r="L921" s="35">
        <f>VENTAS[[#This Row],[Total]]-VENTAS[[#This Row],[Comisión 10%]]-VENTAS[[#This Row],[Costo SIN Comision]]</f>
        <v>14.14</v>
      </c>
      <c r="M921" s="35"/>
    </row>
    <row r="922" ht="20" customHeight="1" spans="1:13">
      <c r="A922" s="29">
        <v>45431</v>
      </c>
      <c r="B922" s="30"/>
      <c r="C922" s="30"/>
      <c r="D922" s="30" t="s">
        <v>3481</v>
      </c>
      <c r="E922" s="30" t="s">
        <v>1450</v>
      </c>
      <c r="F922" s="34" t="str">
        <f>IFERROR(VLOOKUP(VENTAS[[#This Row],[Código del producto Vendido]],STOCK[],5,FALSE),"-")</f>
        <v>Sandalias minimalistas de plataforma</v>
      </c>
      <c r="G922" s="34">
        <v>1</v>
      </c>
      <c r="H922" s="35">
        <v>35</v>
      </c>
      <c r="I922" s="35">
        <f>VENTAS[[#This Row],[Cantidad]]*VENTAS[[#This Row],[Precio Venta]]</f>
        <v>35</v>
      </c>
      <c r="J922" s="35">
        <f>IF(VENTAS[[#This Row],[Nombre del Gestor]]&gt;1,VENTAS[[#This Row],[Total]]*10%,0)</f>
        <v>3.5</v>
      </c>
      <c r="K922" s="35">
        <f>IFERROR(VLOOKUP(VENTAS[[#This Row],[Código del producto Vendido]],STOCK[],16,FALSE)*VENTAS[[#This Row],[Cantidad]]+VLOOKUP(VENTAS[[#This Row],[Código del producto Vendido]],STOCK[],19,FALSE)*VENTAS[[#This Row],[Cantidad]],VENTAS[[#This Row],[Total]])</f>
        <v>22.49</v>
      </c>
      <c r="L922" s="35">
        <f>VENTAS[[#This Row],[Total]]-VENTAS[[#This Row],[Comisión 10%]]-VENTAS[[#This Row],[Costo SIN Comision]]</f>
        <v>9.01</v>
      </c>
      <c r="M922" s="35"/>
    </row>
    <row r="923" ht="20" customHeight="1" spans="1:13">
      <c r="A923" s="29">
        <v>45428</v>
      </c>
      <c r="B923" s="30"/>
      <c r="C923" s="30"/>
      <c r="D923" s="30" t="s">
        <v>3481</v>
      </c>
      <c r="E923" s="30" t="s">
        <v>1291</v>
      </c>
      <c r="F923" s="34" t="str">
        <f>IFERROR(VLOOKUP(VENTAS[[#This Row],[Código del producto Vendido]],STOCK[],5,FALSE),"-")</f>
        <v>Jean skinny oscuro </v>
      </c>
      <c r="G923" s="34">
        <v>1</v>
      </c>
      <c r="H923" s="35">
        <v>30</v>
      </c>
      <c r="I923" s="35">
        <f>VENTAS[[#This Row],[Cantidad]]*VENTAS[[#This Row],[Precio Venta]]</f>
        <v>30</v>
      </c>
      <c r="J923" s="35">
        <f>IF(VENTAS[[#This Row],[Nombre del Gestor]]&gt;1,VENTAS[[#This Row],[Total]]*10%,0)</f>
        <v>3</v>
      </c>
      <c r="K923" s="35">
        <f>IFERROR(VLOOKUP(VENTAS[[#This Row],[Código del producto Vendido]],STOCK[],16,FALSE)*VENTAS[[#This Row],[Cantidad]]+VLOOKUP(VENTAS[[#This Row],[Código del producto Vendido]],STOCK[],19,FALSE)*VENTAS[[#This Row],[Cantidad]],VENTAS[[#This Row],[Total]])</f>
        <v>20.79</v>
      </c>
      <c r="L923" s="35">
        <f>VENTAS[[#This Row],[Total]]-VENTAS[[#This Row],[Comisión 10%]]-VENTAS[[#This Row],[Costo SIN Comision]]</f>
        <v>6.21</v>
      </c>
      <c r="M923" s="35"/>
    </row>
    <row r="924" ht="20" customHeight="1" spans="1:13">
      <c r="A924" s="29">
        <v>45428</v>
      </c>
      <c r="B924" s="30"/>
      <c r="C924" s="30"/>
      <c r="D924" s="30" t="s">
        <v>3481</v>
      </c>
      <c r="E924" s="30" t="s">
        <v>2084</v>
      </c>
      <c r="F924" s="34" t="str">
        <f>IFERROR(VLOOKUP(VENTAS[[#This Row],[Código del producto Vendido]],STOCK[],5,FALSE),"-")</f>
        <v>Botín de punta cuadrada y zíper</v>
      </c>
      <c r="G924" s="34">
        <v>1</v>
      </c>
      <c r="H924" s="35">
        <v>45</v>
      </c>
      <c r="I924" s="35">
        <f>VENTAS[[#This Row],[Cantidad]]*VENTAS[[#This Row],[Precio Venta]]</f>
        <v>45</v>
      </c>
      <c r="J924" s="35">
        <f>IF(VENTAS[[#This Row],[Nombre del Gestor]]&gt;1,VENTAS[[#This Row],[Total]]*10%,0)</f>
        <v>4.5</v>
      </c>
      <c r="K924" s="35">
        <f>IFERROR(VLOOKUP(VENTAS[[#This Row],[Código del producto Vendido]],STOCK[],16,FALSE)*VENTAS[[#This Row],[Cantidad]]+VLOOKUP(VENTAS[[#This Row],[Código del producto Vendido]],STOCK[],19,FALSE)*VENTAS[[#This Row],[Cantidad]],VENTAS[[#This Row],[Total]])</f>
        <v>22.42</v>
      </c>
      <c r="L924" s="35">
        <f>VENTAS[[#This Row],[Total]]-VENTAS[[#This Row],[Comisión 10%]]-VENTAS[[#This Row],[Costo SIN Comision]]</f>
        <v>18.08</v>
      </c>
      <c r="M924" s="35"/>
    </row>
    <row r="925" ht="20" customHeight="1" spans="1:13">
      <c r="A925" s="29">
        <v>45429</v>
      </c>
      <c r="B925" s="30"/>
      <c r="C925" s="30"/>
      <c r="D925" s="30" t="s">
        <v>3481</v>
      </c>
      <c r="E925" s="30" t="s">
        <v>2022</v>
      </c>
      <c r="F925" s="34" t="str">
        <f>IFERROR(VLOOKUP(VENTAS[[#This Row],[Código del producto Vendido]],STOCK[],5,FALSE),"-")</f>
        <v>Jogger afelpado de talle alto (Nuevo)</v>
      </c>
      <c r="G925" s="34">
        <v>1</v>
      </c>
      <c r="H925" s="35">
        <v>22</v>
      </c>
      <c r="I925" s="35">
        <f>VENTAS[[#This Row],[Cantidad]]*VENTAS[[#This Row],[Precio Venta]]</f>
        <v>22</v>
      </c>
      <c r="J925" s="35">
        <f>IF(VENTAS[[#This Row],[Nombre del Gestor]]&gt;1,VENTAS[[#This Row],[Total]]*10%,0)</f>
        <v>2.2</v>
      </c>
      <c r="K925" s="35">
        <f>IFERROR(VLOOKUP(VENTAS[[#This Row],[Código del producto Vendido]],STOCK[],16,FALSE)*VENTAS[[#This Row],[Cantidad]]+VLOOKUP(VENTAS[[#This Row],[Código del producto Vendido]],STOCK[],19,FALSE)*VENTAS[[#This Row],[Cantidad]],VENTAS[[#This Row],[Total]])</f>
        <v>0</v>
      </c>
      <c r="L925" s="35">
        <f>VENTAS[[#This Row],[Total]]-VENTAS[[#This Row],[Comisión 10%]]-VENTAS[[#This Row],[Costo SIN Comision]]</f>
        <v>19.8</v>
      </c>
      <c r="M925" s="35"/>
    </row>
    <row r="926" ht="20" customHeight="1" spans="1:13">
      <c r="A926" s="29">
        <v>45430</v>
      </c>
      <c r="B926" s="30"/>
      <c r="C926" s="30"/>
      <c r="D926" s="30" t="s">
        <v>3481</v>
      </c>
      <c r="E926" s="30" t="s">
        <v>1582</v>
      </c>
      <c r="F926" s="34" t="str">
        <f>IFERROR(VLOOKUP(VENTAS[[#This Row],[Código del producto Vendido]],STOCK[],5,FALSE),"-")</f>
        <v>Sandalias de hebilla</v>
      </c>
      <c r="G926" s="34">
        <v>1</v>
      </c>
      <c r="H926" s="35">
        <v>18</v>
      </c>
      <c r="I926" s="35">
        <f>VENTAS[[#This Row],[Cantidad]]*VENTAS[[#This Row],[Precio Venta]]</f>
        <v>18</v>
      </c>
      <c r="J926" s="35">
        <f>IF(VENTAS[[#This Row],[Nombre del Gestor]]&gt;1,VENTAS[[#This Row],[Total]]*10%,0)</f>
        <v>1.8</v>
      </c>
      <c r="K926" s="35">
        <f>IFERROR(VLOOKUP(VENTAS[[#This Row],[Código del producto Vendido]],STOCK[],16,FALSE)*VENTAS[[#This Row],[Cantidad]]+VLOOKUP(VENTAS[[#This Row],[Código del producto Vendido]],STOCK[],19,FALSE)*VENTAS[[#This Row],[Cantidad]],VENTAS[[#This Row],[Total]])</f>
        <v>11</v>
      </c>
      <c r="L926" s="35">
        <f>VENTAS[[#This Row],[Total]]-VENTAS[[#This Row],[Comisión 10%]]-VENTAS[[#This Row],[Costo SIN Comision]]</f>
        <v>5.2</v>
      </c>
      <c r="M926" s="35"/>
    </row>
    <row r="927" ht="20" customHeight="1" spans="1:13">
      <c r="A927" s="29">
        <v>45439</v>
      </c>
      <c r="B927" s="30"/>
      <c r="C927" s="30"/>
      <c r="D927" s="30" t="s">
        <v>3481</v>
      </c>
      <c r="E927" s="30" t="s">
        <v>1612</v>
      </c>
      <c r="F927" s="34" t="str">
        <f>IFERROR(VLOOKUP(VENTAS[[#This Row],[Código del producto Vendido]],STOCK[],5,FALSE),"-")</f>
        <v>Camisa Modely</v>
      </c>
      <c r="G927" s="34">
        <v>1</v>
      </c>
      <c r="H927" s="35">
        <v>22</v>
      </c>
      <c r="I927" s="35">
        <f>VENTAS[[#This Row],[Cantidad]]*VENTAS[[#This Row],[Precio Venta]]</f>
        <v>22</v>
      </c>
      <c r="J927" s="35">
        <f>IF(VENTAS[[#This Row],[Nombre del Gestor]]&gt;1,VENTAS[[#This Row],[Total]]*10%,0)</f>
        <v>2.2</v>
      </c>
      <c r="K927" s="35">
        <f>IFERROR(VLOOKUP(VENTAS[[#This Row],[Código del producto Vendido]],STOCK[],16,FALSE)*VENTAS[[#This Row],[Cantidad]]+VLOOKUP(VENTAS[[#This Row],[Código del producto Vendido]],STOCK[],19,FALSE)*VENTAS[[#This Row],[Cantidad]],VENTAS[[#This Row],[Total]])</f>
        <v>9.74</v>
      </c>
      <c r="L927" s="35">
        <f>VENTAS[[#This Row],[Total]]-VENTAS[[#This Row],[Comisión 10%]]-VENTAS[[#This Row],[Costo SIN Comision]]</f>
        <v>10.06</v>
      </c>
      <c r="M927" s="35"/>
    </row>
    <row r="928" ht="20" customHeight="1" spans="1:13">
      <c r="A928" s="29">
        <v>45439</v>
      </c>
      <c r="B928" s="30"/>
      <c r="C928" s="30"/>
      <c r="D928" s="30"/>
      <c r="E928" s="30" t="s">
        <v>1163</v>
      </c>
      <c r="F928" s="34" t="str">
        <f>IFERROR(VLOOKUP(VENTAS[[#This Row],[Código del producto Vendido]],STOCK[],5,FALSE),"-")</f>
        <v>Short de mezclilla con doblez (no elastiza)</v>
      </c>
      <c r="G928" s="34">
        <v>1</v>
      </c>
      <c r="H928" s="35">
        <v>20</v>
      </c>
      <c r="I928" s="35">
        <f>VENTAS[[#This Row],[Cantidad]]*VENTAS[[#This Row],[Precio Venta]]</f>
        <v>20</v>
      </c>
      <c r="J928" s="35">
        <f>IF(VENTAS[[#This Row],[Nombre del Gestor]]&gt;1,VENTAS[[#This Row],[Total]]*10%,0)</f>
        <v>0</v>
      </c>
      <c r="K928" s="35">
        <f>IFERROR(VLOOKUP(VENTAS[[#This Row],[Código del producto Vendido]],STOCK[],16,FALSE)*VENTAS[[#This Row],[Cantidad]]+VLOOKUP(VENTAS[[#This Row],[Código del producto Vendido]],STOCK[],19,FALSE)*VENTAS[[#This Row],[Cantidad]],VENTAS[[#This Row],[Total]])</f>
        <v>14.29</v>
      </c>
      <c r="L928" s="35">
        <f>VENTAS[[#This Row],[Total]]-VENTAS[[#This Row],[Comisión 10%]]-VENTAS[[#This Row],[Costo SIN Comision]]</f>
        <v>5.71</v>
      </c>
      <c r="M928" s="35"/>
    </row>
    <row r="929" ht="20" customHeight="1" spans="1:13">
      <c r="A929" s="29">
        <v>45440</v>
      </c>
      <c r="B929" s="30"/>
      <c r="C929" s="30"/>
      <c r="D929" s="30" t="s">
        <v>3481</v>
      </c>
      <c r="E929" s="30" t="s">
        <v>1882</v>
      </c>
      <c r="F929" s="34" t="str">
        <f>IFERROR(VLOOKUP(VENTAS[[#This Row],[Código del producto Vendido]],STOCK[],5,FALSE),"-")</f>
        <v>Bolso Vintage Negro</v>
      </c>
      <c r="G929" s="34">
        <v>1</v>
      </c>
      <c r="H929" s="35">
        <v>35</v>
      </c>
      <c r="I929" s="35">
        <f>VENTAS[[#This Row],[Cantidad]]*VENTAS[[#This Row],[Precio Venta]]</f>
        <v>35</v>
      </c>
      <c r="J929" s="35">
        <f>IF(VENTAS[[#This Row],[Nombre del Gestor]]&gt;1,VENTAS[[#This Row],[Total]]*10%,0)</f>
        <v>3.5</v>
      </c>
      <c r="K929" s="35">
        <f>IFERROR(VLOOKUP(VENTAS[[#This Row],[Código del producto Vendido]],STOCK[],16,FALSE)*VENTAS[[#This Row],[Cantidad]]+VLOOKUP(VENTAS[[#This Row],[Código del producto Vendido]],STOCK[],19,FALSE)*VENTAS[[#This Row],[Cantidad]],VENTAS[[#This Row],[Total]])</f>
        <v>22.98</v>
      </c>
      <c r="L929" s="35">
        <f>VENTAS[[#This Row],[Total]]-VENTAS[[#This Row],[Comisión 10%]]-VENTAS[[#This Row],[Costo SIN Comision]]</f>
        <v>8.52</v>
      </c>
      <c r="M929" s="35"/>
    </row>
    <row r="930" ht="20" customHeight="1" spans="1:13">
      <c r="A930" s="30"/>
      <c r="B930" s="30"/>
      <c r="C930" s="30" t="s">
        <v>3503</v>
      </c>
      <c r="D930" s="30"/>
      <c r="E930" s="30" t="s">
        <v>1148</v>
      </c>
      <c r="F930" s="34" t="str">
        <f>IFERROR(VLOOKUP(VENTAS[[#This Row],[Código del producto Vendido]],STOCK[],5,FALSE),"-")</f>
        <v>Sandalias de tacón grueso</v>
      </c>
      <c r="G930" s="34">
        <v>1</v>
      </c>
      <c r="H930" s="35">
        <v>0</v>
      </c>
      <c r="I930" s="35">
        <f>VENTAS[[#This Row],[Cantidad]]*VENTAS[[#This Row],[Precio Venta]]</f>
        <v>0</v>
      </c>
      <c r="J930" s="35">
        <f>IF(VENTAS[[#This Row],[Nombre del Gestor]]&gt;1,VENTAS[[#This Row],[Total]]*10%,0)</f>
        <v>0</v>
      </c>
      <c r="K930" s="35">
        <f>IFERROR(VLOOKUP(VENTAS[[#This Row],[Código del producto Vendido]],STOCK[],16,FALSE)*VENTAS[[#This Row],[Cantidad]]+VLOOKUP(VENTAS[[#This Row],[Código del producto Vendido]],STOCK[],19,FALSE)*VENTAS[[#This Row],[Cantidad]],VENTAS[[#This Row],[Total]])</f>
        <v>32.2794117647059</v>
      </c>
      <c r="L930" s="35">
        <f>VENTAS[[#This Row],[Total]]-VENTAS[[#This Row],[Comisión 10%]]-VENTAS[[#This Row],[Costo SIN Comision]]</f>
        <v>-32.2794117647059</v>
      </c>
      <c r="M930" s="35"/>
    </row>
    <row r="931" ht="20" customHeight="1" spans="1:13">
      <c r="A931" s="30"/>
      <c r="B931" s="30"/>
      <c r="C931" s="30"/>
      <c r="D931" s="30" t="s">
        <v>3468</v>
      </c>
      <c r="E931" s="30" t="s">
        <v>100</v>
      </c>
      <c r="F931" s="34" t="str">
        <f>IFERROR(VLOOKUP(VENTAS[[#This Row],[Código del producto Vendido]],STOCK[],5,FALSE),"-")</f>
        <v>Pareo pantalón de malla</v>
      </c>
      <c r="G931" s="34">
        <v>1</v>
      </c>
      <c r="H931" s="35">
        <v>15</v>
      </c>
      <c r="I931" s="35">
        <f>VENTAS[[#This Row],[Cantidad]]*VENTAS[[#This Row],[Precio Venta]]</f>
        <v>15</v>
      </c>
      <c r="J931" s="35">
        <f>IF(VENTAS[[#This Row],[Nombre del Gestor]]&gt;1,VENTAS[[#This Row],[Total]]*10%,0)</f>
        <v>1.5</v>
      </c>
      <c r="K931" s="35">
        <f>IFERROR(VLOOKUP(VENTAS[[#This Row],[Código del producto Vendido]],STOCK[],16,FALSE)*VENTAS[[#This Row],[Cantidad]]+VLOOKUP(VENTAS[[#This Row],[Código del producto Vendido]],STOCK[],19,FALSE)*VENTAS[[#This Row],[Cantidad]],VENTAS[[#This Row],[Total]])</f>
        <v>9.78555555555556</v>
      </c>
      <c r="L931" s="35">
        <f>VENTAS[[#This Row],[Total]]-VENTAS[[#This Row],[Comisión 10%]]-VENTAS[[#This Row],[Costo SIN Comision]]</f>
        <v>3.71444444444444</v>
      </c>
      <c r="M931" s="35"/>
    </row>
    <row r="932" ht="20" customHeight="1" spans="1:13">
      <c r="A932" s="29">
        <v>45440</v>
      </c>
      <c r="B932" s="30"/>
      <c r="C932" s="30"/>
      <c r="D932" s="30" t="s">
        <v>3481</v>
      </c>
      <c r="E932" s="30" t="s">
        <v>1297</v>
      </c>
      <c r="F932" s="34" t="str">
        <f>IFERROR(VLOOKUP(VENTAS[[#This Row],[Código del producto Vendido]],STOCK[],5,FALSE),"-")</f>
        <v>Sandalias rosadas Forever21</v>
      </c>
      <c r="G932" s="34">
        <v>1</v>
      </c>
      <c r="H932" s="35">
        <v>30</v>
      </c>
      <c r="I932" s="35">
        <f>VENTAS[[#This Row],[Cantidad]]*VENTAS[[#This Row],[Precio Venta]]</f>
        <v>30</v>
      </c>
      <c r="J932" s="35">
        <f>IF(VENTAS[[#This Row],[Nombre del Gestor]]&gt;1,VENTAS[[#This Row],[Total]]*10%,0)</f>
        <v>3</v>
      </c>
      <c r="K932" s="35">
        <f>IFERROR(VLOOKUP(VENTAS[[#This Row],[Código del producto Vendido]],STOCK[],16,FALSE)*VENTAS[[#This Row],[Cantidad]]+VLOOKUP(VENTAS[[#This Row],[Código del producto Vendido]],STOCK[],19,FALSE)*VENTAS[[#This Row],[Cantidad]],VENTAS[[#This Row],[Total]])</f>
        <v>19.49</v>
      </c>
      <c r="L932" s="35">
        <f>VENTAS[[#This Row],[Total]]-VENTAS[[#This Row],[Comisión 10%]]-VENTAS[[#This Row],[Costo SIN Comision]]</f>
        <v>7.51</v>
      </c>
      <c r="M932" s="35"/>
    </row>
    <row r="933" ht="20" customHeight="1" spans="1:13">
      <c r="A933" s="30"/>
      <c r="B933" s="30"/>
      <c r="C933" s="30"/>
      <c r="D933" s="30" t="s">
        <v>3481</v>
      </c>
      <c r="E933" s="30" t="s">
        <v>1101</v>
      </c>
      <c r="F933" s="34" t="str">
        <f>IFERROR(VLOOKUP(VENTAS[[#This Row],[Código del producto Vendido]],STOCK[],5,FALSE),"-")</f>
        <v>Sandalias crema</v>
      </c>
      <c r="G933" s="34">
        <v>1</v>
      </c>
      <c r="H933" s="35">
        <v>35</v>
      </c>
      <c r="I933" s="35">
        <f>VENTAS[[#This Row],[Cantidad]]*VENTAS[[#This Row],[Precio Venta]]</f>
        <v>35</v>
      </c>
      <c r="J933" s="35">
        <f>IF(VENTAS[[#This Row],[Nombre del Gestor]]&gt;1,VENTAS[[#This Row],[Total]]*10%,0)</f>
        <v>3.5</v>
      </c>
      <c r="K933" s="35">
        <f>IFERROR(VLOOKUP(VENTAS[[#This Row],[Código del producto Vendido]],STOCK[],16,FALSE)*VENTAS[[#This Row],[Cantidad]]+VLOOKUP(VENTAS[[#This Row],[Código del producto Vendido]],STOCK[],19,FALSE)*VENTAS[[#This Row],[Cantidad]],VENTAS[[#This Row],[Total]])</f>
        <v>26.8529411764706</v>
      </c>
      <c r="L933" s="35">
        <f>VENTAS[[#This Row],[Total]]-VENTAS[[#This Row],[Comisión 10%]]-VENTAS[[#This Row],[Costo SIN Comision]]</f>
        <v>4.6470588235294</v>
      </c>
      <c r="M933" s="35"/>
    </row>
    <row r="934" ht="20" customHeight="1" spans="1:13">
      <c r="A934" s="29">
        <v>45443</v>
      </c>
      <c r="B934" s="30"/>
      <c r="C934" s="30"/>
      <c r="D934" s="30"/>
      <c r="E934" s="30" t="s">
        <v>533</v>
      </c>
      <c r="F934" s="34" t="str">
        <f>IFERROR(VLOOKUP(VENTAS[[#This Row],[Código del producto Vendido]],STOCK[],5,FALSE),"-")</f>
        <v>Vestido corrugado de vuelos</v>
      </c>
      <c r="G934" s="34">
        <v>1</v>
      </c>
      <c r="H934" s="35">
        <v>18</v>
      </c>
      <c r="I934" s="35">
        <f>VENTAS[[#This Row],[Cantidad]]*VENTAS[[#This Row],[Precio Venta]]</f>
        <v>18</v>
      </c>
      <c r="J934" s="35">
        <f>IF(VENTAS[[#This Row],[Nombre del Gestor]]&gt;1,VENTAS[[#This Row],[Total]]*10%,0)</f>
        <v>0</v>
      </c>
      <c r="K934" s="35">
        <f>IFERROR(VLOOKUP(VENTAS[[#This Row],[Código del producto Vendido]],STOCK[],16,FALSE)*VENTAS[[#This Row],[Cantidad]]+VLOOKUP(VENTAS[[#This Row],[Código del producto Vendido]],STOCK[],19,FALSE)*VENTAS[[#This Row],[Cantidad]],VENTAS[[#This Row],[Total]])</f>
        <v>14.7111111111111</v>
      </c>
      <c r="L934" s="35">
        <f>VENTAS[[#This Row],[Total]]-VENTAS[[#This Row],[Comisión 10%]]-VENTAS[[#This Row],[Costo SIN Comision]]</f>
        <v>3.2888888888889</v>
      </c>
      <c r="M934" s="35"/>
    </row>
    <row r="935" ht="20" customHeight="1" spans="1:13">
      <c r="A935" s="29">
        <v>45443</v>
      </c>
      <c r="B935" s="30"/>
      <c r="C935" s="30"/>
      <c r="D935" s="30" t="s">
        <v>3368</v>
      </c>
      <c r="E935" s="30" t="s">
        <v>583</v>
      </c>
      <c r="F935" s="34" t="str">
        <f>IFERROR(VLOOKUP(VENTAS[[#This Row],[Código del producto Vendido]],STOCK[],5,FALSE),"-")</f>
        <v>Top cruzado blanco</v>
      </c>
      <c r="G935" s="34">
        <v>1</v>
      </c>
      <c r="H935" s="35">
        <v>8</v>
      </c>
      <c r="I935" s="35">
        <f>VENTAS[[#This Row],[Cantidad]]*VENTAS[[#This Row],[Precio Venta]]</f>
        <v>8</v>
      </c>
      <c r="J935" s="35">
        <f>IF(VENTAS[[#This Row],[Nombre del Gestor]]&gt;1,VENTAS[[#This Row],[Total]]*10%,0)</f>
        <v>0.8</v>
      </c>
      <c r="K935" s="35">
        <f>IFERROR(VLOOKUP(VENTAS[[#This Row],[Código del producto Vendido]],STOCK[],16,FALSE)*VENTAS[[#This Row],[Cantidad]]+VLOOKUP(VENTAS[[#This Row],[Código del producto Vendido]],STOCK[],19,FALSE)*VENTAS[[#This Row],[Cantidad]],VENTAS[[#This Row],[Total]])</f>
        <v>5.19333333333333</v>
      </c>
      <c r="L935" s="35">
        <f>VENTAS[[#This Row],[Total]]-VENTAS[[#This Row],[Comisión 10%]]-VENTAS[[#This Row],[Costo SIN Comision]]</f>
        <v>2.00666666666667</v>
      </c>
      <c r="M935" s="35"/>
    </row>
    <row r="936" ht="20" customHeight="1" spans="1:13">
      <c r="A936" s="29">
        <v>45443</v>
      </c>
      <c r="B936" s="30"/>
      <c r="C936" s="30"/>
      <c r="D936" s="30" t="s">
        <v>3368</v>
      </c>
      <c r="E936" s="30" t="s">
        <v>671</v>
      </c>
      <c r="F936" s="34" t="str">
        <f>IFERROR(VLOOKUP(VENTAS[[#This Row],[Código del producto Vendido]],STOCK[],5,FALSE),"-")</f>
        <v>Top Cruzado azul</v>
      </c>
      <c r="G936" s="34">
        <v>1</v>
      </c>
      <c r="H936" s="35">
        <v>8</v>
      </c>
      <c r="I936" s="35">
        <f>VENTAS[[#This Row],[Cantidad]]*VENTAS[[#This Row],[Precio Venta]]</f>
        <v>8</v>
      </c>
      <c r="J936" s="35">
        <f>IF(VENTAS[[#This Row],[Nombre del Gestor]]&gt;1,VENTAS[[#This Row],[Total]]*10%,0)</f>
        <v>0.8</v>
      </c>
      <c r="K936" s="35">
        <f>IFERROR(VLOOKUP(VENTAS[[#This Row],[Código del producto Vendido]],STOCK[],16,FALSE)*VENTAS[[#This Row],[Cantidad]]+VLOOKUP(VENTAS[[#This Row],[Código del producto Vendido]],STOCK[],19,FALSE)*VENTAS[[#This Row],[Cantidad]],VENTAS[[#This Row],[Total]])</f>
        <v>5.26833333333333</v>
      </c>
      <c r="L936" s="35">
        <f>VENTAS[[#This Row],[Total]]-VENTAS[[#This Row],[Comisión 10%]]-VENTAS[[#This Row],[Costo SIN Comision]]</f>
        <v>1.93166666666667</v>
      </c>
      <c r="M936" s="35"/>
    </row>
    <row r="937" ht="20" customHeight="1" spans="1:13">
      <c r="A937" s="29">
        <v>45443</v>
      </c>
      <c r="B937" s="30"/>
      <c r="C937" s="30"/>
      <c r="D937" s="30"/>
      <c r="E937" s="30" t="s">
        <v>1911</v>
      </c>
      <c r="F937" s="34" t="str">
        <f>IFERROR(VLOOKUP(VENTAS[[#This Row],[Código del producto Vendido]],STOCK[],5,FALSE),"-")</f>
        <v>Gafas de Sol Retro Carey</v>
      </c>
      <c r="G937" s="34">
        <v>1</v>
      </c>
      <c r="H937" s="35">
        <v>8</v>
      </c>
      <c r="I937" s="35">
        <f>VENTAS[[#This Row],[Cantidad]]*VENTAS[[#This Row],[Precio Venta]]</f>
        <v>8</v>
      </c>
      <c r="J937" s="35">
        <f>IF(VENTAS[[#This Row],[Nombre del Gestor]]&gt;1,VENTAS[[#This Row],[Total]]*10%,0)</f>
        <v>0</v>
      </c>
      <c r="K937" s="35">
        <f>IFERROR(VLOOKUP(VENTAS[[#This Row],[Código del producto Vendido]],STOCK[],16,FALSE)*VENTAS[[#This Row],[Cantidad]]+VLOOKUP(VENTAS[[#This Row],[Código del producto Vendido]],STOCK[],19,FALSE)*VENTAS[[#This Row],[Cantidad]],VENTAS[[#This Row],[Total]])</f>
        <v>4.45</v>
      </c>
      <c r="L937" s="35">
        <f>VENTAS[[#This Row],[Total]]-VENTAS[[#This Row],[Comisión 10%]]-VENTAS[[#This Row],[Costo SIN Comision]]</f>
        <v>3.55</v>
      </c>
      <c r="M937" s="35"/>
    </row>
    <row r="938" ht="20" customHeight="1" spans="1:13">
      <c r="A938" s="29">
        <v>45443</v>
      </c>
      <c r="B938" s="30"/>
      <c r="C938" s="30"/>
      <c r="D938" s="30" t="s">
        <v>3481</v>
      </c>
      <c r="E938" s="30" t="s">
        <v>3504</v>
      </c>
      <c r="F938" s="34" t="str">
        <f>IFERROR(VLOOKUP(VENTAS[[#This Row],[Código del producto Vendido]],STOCK[],5,FALSE),"-")</f>
        <v>Sandalias crema</v>
      </c>
      <c r="G938" s="34">
        <v>1</v>
      </c>
      <c r="H938" s="35">
        <v>35</v>
      </c>
      <c r="I938" s="35">
        <f>VENTAS[[#This Row],[Cantidad]]*VENTAS[[#This Row],[Precio Venta]]</f>
        <v>35</v>
      </c>
      <c r="J938" s="35">
        <f>IF(VENTAS[[#This Row],[Nombre del Gestor]]&gt;1,VENTAS[[#This Row],[Total]]*10%,0)</f>
        <v>3.5</v>
      </c>
      <c r="K938" s="35">
        <f>IFERROR(VLOOKUP(VENTAS[[#This Row],[Código del producto Vendido]],STOCK[],16,FALSE)*VENTAS[[#This Row],[Cantidad]]+VLOOKUP(VENTAS[[#This Row],[Código del producto Vendido]],STOCK[],19,FALSE)*VENTAS[[#This Row],[Cantidad]],VENTAS[[#This Row],[Total]])</f>
        <v>26.8529411764706</v>
      </c>
      <c r="L938" s="35">
        <f>VENTAS[[#This Row],[Total]]-VENTAS[[#This Row],[Comisión 10%]]-VENTAS[[#This Row],[Costo SIN Comision]]</f>
        <v>4.6470588235294</v>
      </c>
      <c r="M938" s="35"/>
    </row>
    <row r="939" ht="20" customHeight="1" spans="1:13">
      <c r="A939" s="29">
        <v>45439</v>
      </c>
      <c r="B939" s="30"/>
      <c r="C939" s="30"/>
      <c r="D939" s="30" t="s">
        <v>3481</v>
      </c>
      <c r="E939" s="30" t="s">
        <v>1903</v>
      </c>
      <c r="F939" s="34" t="str">
        <f>IFERROR(VLOOKUP(VENTAS[[#This Row],[Código del producto Vendido]],STOCK[],5,FALSE),"-")</f>
        <v>Blusa estampada de Lunares</v>
      </c>
      <c r="G939" s="34">
        <v>1</v>
      </c>
      <c r="H939" s="35">
        <v>14</v>
      </c>
      <c r="I939" s="35">
        <f>VENTAS[[#This Row],[Cantidad]]*VENTAS[[#This Row],[Precio Venta]]</f>
        <v>14</v>
      </c>
      <c r="J939" s="35">
        <f>IF(VENTAS[[#This Row],[Nombre del Gestor]]&gt;1,VENTAS[[#This Row],[Total]]*10%,0)</f>
        <v>1.4</v>
      </c>
      <c r="K939" s="35">
        <f>IFERROR(VLOOKUP(VENTAS[[#This Row],[Código del producto Vendido]],STOCK[],16,FALSE)*VENTAS[[#This Row],[Cantidad]]+VLOOKUP(VENTAS[[#This Row],[Código del producto Vendido]],STOCK[],19,FALSE)*VENTAS[[#This Row],[Cantidad]],VENTAS[[#This Row],[Total]])</f>
        <v>9.2</v>
      </c>
      <c r="L939" s="35">
        <f>VENTAS[[#This Row],[Total]]-VENTAS[[#This Row],[Comisión 10%]]-VENTAS[[#This Row],[Costo SIN Comision]]</f>
        <v>3.4</v>
      </c>
      <c r="M939" s="35"/>
    </row>
    <row r="940" ht="20" customHeight="1" spans="1:13">
      <c r="A940" s="29">
        <v>45439</v>
      </c>
      <c r="B940" s="30"/>
      <c r="C940" s="30"/>
      <c r="D940" s="30"/>
      <c r="E940" s="30" t="s">
        <v>1411</v>
      </c>
      <c r="F940" s="34" t="str">
        <f>IFERROR(VLOOKUP(VENTAS[[#This Row],[Código del producto Vendido]],STOCK[],5,FALSE),"-")</f>
        <v>Jean MOM con rotos</v>
      </c>
      <c r="G940" s="34">
        <v>1</v>
      </c>
      <c r="H940" s="35">
        <v>32</v>
      </c>
      <c r="I940" s="35">
        <f>VENTAS[[#This Row],[Cantidad]]*VENTAS[[#This Row],[Precio Venta]]</f>
        <v>32</v>
      </c>
      <c r="J940" s="35">
        <f>IF(VENTAS[[#This Row],[Nombre del Gestor]]&gt;1,VENTAS[[#This Row],[Total]]*10%,0)</f>
        <v>0</v>
      </c>
      <c r="K940" s="35">
        <f>IFERROR(VLOOKUP(VENTAS[[#This Row],[Código del producto Vendido]],STOCK[],16,FALSE)*VENTAS[[#This Row],[Cantidad]]+VLOOKUP(VENTAS[[#This Row],[Código del producto Vendido]],STOCK[],19,FALSE)*VENTAS[[#This Row],[Cantidad]],VENTAS[[#This Row],[Total]])</f>
        <v>20</v>
      </c>
      <c r="L940" s="35">
        <f>VENTAS[[#This Row],[Total]]-VENTAS[[#This Row],[Comisión 10%]]-VENTAS[[#This Row],[Costo SIN Comision]]</f>
        <v>12</v>
      </c>
      <c r="M940" s="35"/>
    </row>
    <row r="941" ht="20" customHeight="1" spans="1:13">
      <c r="A941" s="29">
        <v>45436</v>
      </c>
      <c r="B941" s="30"/>
      <c r="C941" s="30"/>
      <c r="D941" s="30"/>
      <c r="E941" s="30" t="s">
        <v>1892</v>
      </c>
      <c r="F941" s="34" t="str">
        <f>IFERROR(VLOOKUP(VENTAS[[#This Row],[Código del producto Vendido]],STOCK[],5,FALSE),"-")</f>
        <v>Set de bolso minimalista negro</v>
      </c>
      <c r="G941" s="34">
        <v>1</v>
      </c>
      <c r="H941" s="35">
        <v>25</v>
      </c>
      <c r="I941" s="35">
        <f>VENTAS[[#This Row],[Cantidad]]*VENTAS[[#This Row],[Precio Venta]]</f>
        <v>25</v>
      </c>
      <c r="J941" s="35">
        <f>IF(VENTAS[[#This Row],[Nombre del Gestor]]&gt;1,VENTAS[[#This Row],[Total]]*10%,0)</f>
        <v>0</v>
      </c>
      <c r="K941" s="35">
        <f>IFERROR(VLOOKUP(VENTAS[[#This Row],[Código del producto Vendido]],STOCK[],16,FALSE)*VENTAS[[#This Row],[Cantidad]]+VLOOKUP(VENTAS[[#This Row],[Código del producto Vendido]],STOCK[],19,FALSE)*VENTAS[[#This Row],[Cantidad]],VENTAS[[#This Row],[Total]])</f>
        <v>12.75</v>
      </c>
      <c r="L941" s="35">
        <f>VENTAS[[#This Row],[Total]]-VENTAS[[#This Row],[Comisión 10%]]-VENTAS[[#This Row],[Costo SIN Comision]]</f>
        <v>12.25</v>
      </c>
      <c r="M941" s="35"/>
    </row>
    <row r="942" ht="20" customHeight="1" spans="1:13">
      <c r="A942" s="29">
        <v>45436</v>
      </c>
      <c r="B942" s="30"/>
      <c r="C942" s="30"/>
      <c r="D942" s="30"/>
      <c r="E942" s="30" t="s">
        <v>877</v>
      </c>
      <c r="F942" s="34" t="str">
        <f>IFERROR(VLOOKUP(VENTAS[[#This Row],[Código del producto Vendido]],STOCK[],5,FALSE),"-")</f>
        <v>Brasier de encaje blanco</v>
      </c>
      <c r="G942" s="34">
        <v>1</v>
      </c>
      <c r="H942" s="35">
        <v>7</v>
      </c>
      <c r="I942" s="35">
        <f>VENTAS[[#This Row],[Cantidad]]*VENTAS[[#This Row],[Precio Venta]]</f>
        <v>7</v>
      </c>
      <c r="J942" s="35">
        <f>IF(VENTAS[[#This Row],[Nombre del Gestor]]&gt;1,VENTAS[[#This Row],[Total]]*10%,0)</f>
        <v>0</v>
      </c>
      <c r="K942" s="35">
        <f>IFERROR(VLOOKUP(VENTAS[[#This Row],[Código del producto Vendido]],STOCK[],16,FALSE)*VENTAS[[#This Row],[Cantidad]]+VLOOKUP(VENTAS[[#This Row],[Código del producto Vendido]],STOCK[],19,FALSE)*VENTAS[[#This Row],[Cantidad]],VENTAS[[#This Row],[Total]])</f>
        <v>3.71111111111111</v>
      </c>
      <c r="L942" s="35">
        <f>VENTAS[[#This Row],[Total]]-VENTAS[[#This Row],[Comisión 10%]]-VENTAS[[#This Row],[Costo SIN Comision]]</f>
        <v>3.28888888888889</v>
      </c>
      <c r="M942" s="35"/>
    </row>
    <row r="943" ht="20" customHeight="1" spans="1:13">
      <c r="A943" s="29">
        <v>45436</v>
      </c>
      <c r="B943" s="30"/>
      <c r="C943" s="30"/>
      <c r="D943" s="30" t="s">
        <v>3481</v>
      </c>
      <c r="E943" s="30" t="s">
        <v>1754</v>
      </c>
      <c r="F943" s="34" t="str">
        <f>IFERROR(VLOOKUP(VENTAS[[#This Row],[Código del producto Vendido]],STOCK[],5,FALSE),"-")</f>
        <v>Zapatillas blanco casual</v>
      </c>
      <c r="G943" s="34">
        <v>1</v>
      </c>
      <c r="H943" s="35">
        <v>30</v>
      </c>
      <c r="I943" s="35">
        <f>VENTAS[[#This Row],[Cantidad]]*VENTAS[[#This Row],[Precio Venta]]</f>
        <v>30</v>
      </c>
      <c r="J943" s="35">
        <f>IF(VENTAS[[#This Row],[Nombre del Gestor]]&gt;1,VENTAS[[#This Row],[Total]]*10%,0)</f>
        <v>3</v>
      </c>
      <c r="K943" s="35">
        <f>IFERROR(VLOOKUP(VENTAS[[#This Row],[Código del producto Vendido]],STOCK[],16,FALSE)*VENTAS[[#This Row],[Cantidad]]+VLOOKUP(VENTAS[[#This Row],[Código del producto Vendido]],STOCK[],19,FALSE)*VENTAS[[#This Row],[Cantidad]],VENTAS[[#This Row],[Total]])</f>
        <v>24.4705882352941</v>
      </c>
      <c r="L943" s="35">
        <f>VENTAS[[#This Row],[Total]]-VENTAS[[#This Row],[Comisión 10%]]-VENTAS[[#This Row],[Costo SIN Comision]]</f>
        <v>2.5294117647059</v>
      </c>
      <c r="M943" s="35"/>
    </row>
    <row r="944" ht="20" customHeight="1" spans="1:13">
      <c r="A944" s="29">
        <v>45445</v>
      </c>
      <c r="B944" s="30"/>
      <c r="C944" s="30"/>
      <c r="D944" s="30" t="s">
        <v>3481</v>
      </c>
      <c r="E944" s="30" t="s">
        <v>2237</v>
      </c>
      <c r="F944" s="34" t="str">
        <f>IFERROR(VLOOKUP(VENTAS[[#This Row],[Código del producto Vendido]],STOCK[],5,FALSE),"-")</f>
        <v>Bolso bohemio redondo de gran capacidad</v>
      </c>
      <c r="G944" s="34">
        <v>1</v>
      </c>
      <c r="H944" s="35">
        <v>25</v>
      </c>
      <c r="I944" s="35">
        <f>VENTAS[[#This Row],[Cantidad]]*VENTAS[[#This Row],[Precio Venta]]</f>
        <v>25</v>
      </c>
      <c r="J944" s="35">
        <f>IF(VENTAS[[#This Row],[Nombre del Gestor]]&gt;1,VENTAS[[#This Row],[Total]]*10%,0)</f>
        <v>2.5</v>
      </c>
      <c r="K944" s="35">
        <f>IFERROR(VLOOKUP(VENTAS[[#This Row],[Código del producto Vendido]],STOCK[],16,FALSE)*VENTAS[[#This Row],[Cantidad]]+VLOOKUP(VENTAS[[#This Row],[Código del producto Vendido]],STOCK[],19,FALSE)*VENTAS[[#This Row],[Cantidad]],VENTAS[[#This Row],[Total]])</f>
        <v>11.09</v>
      </c>
      <c r="L944" s="35">
        <f>VENTAS[[#This Row],[Total]]-VENTAS[[#This Row],[Comisión 10%]]-VENTAS[[#This Row],[Costo SIN Comision]]</f>
        <v>11.41</v>
      </c>
      <c r="M944" s="35"/>
    </row>
    <row r="945" ht="20" customHeight="1" spans="1:13">
      <c r="A945" s="29">
        <v>45445</v>
      </c>
      <c r="B945" s="30"/>
      <c r="C945" s="30"/>
      <c r="D945" s="30" t="s">
        <v>3481</v>
      </c>
      <c r="E945" s="30" t="s">
        <v>2225</v>
      </c>
      <c r="F945" s="34" t="str">
        <f>IFERROR(VLOOKUP(VENTAS[[#This Row],[Código del producto Vendido]],STOCK[],5,FALSE),"-")</f>
        <v>Estiloso sombrero de protección solar playero</v>
      </c>
      <c r="G945" s="34">
        <v>1</v>
      </c>
      <c r="H945" s="35">
        <v>10</v>
      </c>
      <c r="I945" s="35">
        <f>VENTAS[[#This Row],[Cantidad]]*VENTAS[[#This Row],[Precio Venta]]</f>
        <v>10</v>
      </c>
      <c r="J945" s="35">
        <f>IF(VENTAS[[#This Row],[Nombre del Gestor]]&gt;1,VENTAS[[#This Row],[Total]]*10%,0)</f>
        <v>1</v>
      </c>
      <c r="K945" s="35">
        <f>IFERROR(VLOOKUP(VENTAS[[#This Row],[Código del producto Vendido]],STOCK[],16,FALSE)*VENTAS[[#This Row],[Cantidad]]+VLOOKUP(VENTAS[[#This Row],[Código del producto Vendido]],STOCK[],19,FALSE)*VENTAS[[#This Row],[Cantidad]],VENTAS[[#This Row],[Total]])</f>
        <v>3.28</v>
      </c>
      <c r="L945" s="35">
        <f>VENTAS[[#This Row],[Total]]-VENTAS[[#This Row],[Comisión 10%]]-VENTAS[[#This Row],[Costo SIN Comision]]</f>
        <v>5.72</v>
      </c>
      <c r="M945" s="35"/>
    </row>
    <row r="946" ht="20" customHeight="1" spans="1:13">
      <c r="A946" s="29">
        <v>45445</v>
      </c>
      <c r="B946" s="30"/>
      <c r="C946" s="30"/>
      <c r="D946" s="30" t="s">
        <v>3481</v>
      </c>
      <c r="E946" s="30" t="s">
        <v>2231</v>
      </c>
      <c r="F946" s="34" t="str">
        <f>IFERROR(VLOOKUP(VENTAS[[#This Row],[Código del producto Vendido]],STOCK[],5,FALSE),"-")</f>
        <v>Vestido blanco espalda cruzada</v>
      </c>
      <c r="G946" s="34">
        <v>1</v>
      </c>
      <c r="H946" s="35">
        <v>25</v>
      </c>
      <c r="I946" s="35">
        <f>VENTAS[[#This Row],[Cantidad]]*VENTAS[[#This Row],[Precio Venta]]</f>
        <v>25</v>
      </c>
      <c r="J946" s="35">
        <f>IF(VENTAS[[#This Row],[Nombre del Gestor]]&gt;1,VENTAS[[#This Row],[Total]]*10%,0)</f>
        <v>2.5</v>
      </c>
      <c r="K946" s="35">
        <f>IFERROR(VLOOKUP(VENTAS[[#This Row],[Código del producto Vendido]],STOCK[],16,FALSE)*VENTAS[[#This Row],[Cantidad]]+VLOOKUP(VENTAS[[#This Row],[Código del producto Vendido]],STOCK[],19,FALSE)*VENTAS[[#This Row],[Cantidad]],VENTAS[[#This Row],[Total]])</f>
        <v>12.19</v>
      </c>
      <c r="L946" s="35">
        <f>VENTAS[[#This Row],[Total]]-VENTAS[[#This Row],[Comisión 10%]]-VENTAS[[#This Row],[Costo SIN Comision]]</f>
        <v>10.31</v>
      </c>
      <c r="M946" s="35"/>
    </row>
    <row r="947" ht="20" customHeight="1" spans="1:13">
      <c r="A947" s="29">
        <v>45445</v>
      </c>
      <c r="B947" s="30"/>
      <c r="C947" s="30"/>
      <c r="D947" s="30" t="s">
        <v>3481</v>
      </c>
      <c r="E947" s="30" t="s">
        <v>2115</v>
      </c>
      <c r="F947" s="34" t="str">
        <f>IFERROR(VLOOKUP(VENTAS[[#This Row],[Código del producto Vendido]],STOCK[],5,FALSE),"-")</f>
        <v>Vestido Estampado floral de moda</v>
      </c>
      <c r="G947" s="34">
        <v>1</v>
      </c>
      <c r="H947" s="35">
        <v>25</v>
      </c>
      <c r="I947" s="35">
        <f>VENTAS[[#This Row],[Cantidad]]*VENTAS[[#This Row],[Precio Venta]]</f>
        <v>25</v>
      </c>
      <c r="J947" s="35">
        <f>IF(VENTAS[[#This Row],[Nombre del Gestor]]&gt;1,VENTAS[[#This Row],[Total]]*10%,0)</f>
        <v>2.5</v>
      </c>
      <c r="K947" s="35">
        <f>IFERROR(VLOOKUP(VENTAS[[#This Row],[Código del producto Vendido]],STOCK[],16,FALSE)*VENTAS[[#This Row],[Cantidad]]+VLOOKUP(VENTAS[[#This Row],[Código del producto Vendido]],STOCK[],19,FALSE)*VENTAS[[#This Row],[Cantidad]],VENTAS[[#This Row],[Total]])</f>
        <v>8.83</v>
      </c>
      <c r="L947" s="35">
        <f>VENTAS[[#This Row],[Total]]-VENTAS[[#This Row],[Comisión 10%]]-VENTAS[[#This Row],[Costo SIN Comision]]</f>
        <v>13.67</v>
      </c>
      <c r="M947" s="35"/>
    </row>
    <row r="948" ht="20" customHeight="1" spans="1:13">
      <c r="A948" s="29">
        <v>45445</v>
      </c>
      <c r="B948" s="30"/>
      <c r="C948" s="30"/>
      <c r="D948" s="30" t="s">
        <v>3505</v>
      </c>
      <c r="E948" s="30" t="s">
        <v>2180</v>
      </c>
      <c r="F948" s="34" t="str">
        <f>IFERROR(VLOOKUP(VENTAS[[#This Row],[Código del producto Vendido]],STOCK[],5,FALSE),"-")</f>
        <v>Bikini sexy de pierna alta en tendencia</v>
      </c>
      <c r="G948" s="34">
        <v>1</v>
      </c>
      <c r="H948" s="35">
        <v>20</v>
      </c>
      <c r="I948" s="35">
        <f>VENTAS[[#This Row],[Cantidad]]*VENTAS[[#This Row],[Precio Venta]]</f>
        <v>20</v>
      </c>
      <c r="J948" s="35">
        <f>IF(VENTAS[[#This Row],[Nombre del Gestor]]&gt;1,VENTAS[[#This Row],[Total]]*10%,0)</f>
        <v>2</v>
      </c>
      <c r="K948" s="35">
        <f>IFERROR(VLOOKUP(VENTAS[[#This Row],[Código del producto Vendido]],STOCK[],16,FALSE)*VENTAS[[#This Row],[Cantidad]]+VLOOKUP(VENTAS[[#This Row],[Código del producto Vendido]],STOCK[],19,FALSE)*VENTAS[[#This Row],[Cantidad]],VENTAS[[#This Row],[Total]])</f>
        <v>6.62</v>
      </c>
      <c r="L948" s="35">
        <f>VENTAS[[#This Row],[Total]]-VENTAS[[#This Row],[Comisión 10%]]-VENTAS[[#This Row],[Costo SIN Comision]]</f>
        <v>11.38</v>
      </c>
      <c r="M948" s="35"/>
    </row>
    <row r="949" ht="20" customHeight="1" spans="1:13">
      <c r="A949" s="29">
        <v>45445</v>
      </c>
      <c r="B949" s="30"/>
      <c r="C949" s="30"/>
      <c r="D949" s="30"/>
      <c r="E949" s="30" t="s">
        <v>2225</v>
      </c>
      <c r="F949" s="34" t="str">
        <f>IFERROR(VLOOKUP(VENTAS[[#This Row],[Código del producto Vendido]],STOCK[],5,FALSE),"-")</f>
        <v>Estiloso sombrero de protección solar playero</v>
      </c>
      <c r="G949" s="34">
        <v>1</v>
      </c>
      <c r="H949" s="35">
        <v>10</v>
      </c>
      <c r="I949" s="35">
        <f>VENTAS[[#This Row],[Cantidad]]*VENTAS[[#This Row],[Precio Venta]]</f>
        <v>10</v>
      </c>
      <c r="J949" s="35">
        <f>IF(VENTAS[[#This Row],[Nombre del Gestor]]&gt;1,VENTAS[[#This Row],[Total]]*10%,0)</f>
        <v>0</v>
      </c>
      <c r="K949" s="35">
        <f>IFERROR(VLOOKUP(VENTAS[[#This Row],[Código del producto Vendido]],STOCK[],16,FALSE)*VENTAS[[#This Row],[Cantidad]]+VLOOKUP(VENTAS[[#This Row],[Código del producto Vendido]],STOCK[],19,FALSE)*VENTAS[[#This Row],[Cantidad]],VENTAS[[#This Row],[Total]])</f>
        <v>3.28</v>
      </c>
      <c r="L949" s="35">
        <f>VENTAS[[#This Row],[Total]]-VENTAS[[#This Row],[Comisión 10%]]-VENTAS[[#This Row],[Costo SIN Comision]]</f>
        <v>6.72</v>
      </c>
      <c r="M949" s="35"/>
    </row>
    <row r="950" ht="20" customHeight="1" spans="1:13">
      <c r="A950" s="29">
        <v>45446</v>
      </c>
      <c r="B950" s="30"/>
      <c r="C950" s="30"/>
      <c r="D950" s="30"/>
      <c r="E950" s="30" t="s">
        <v>2225</v>
      </c>
      <c r="F950" s="34" t="str">
        <f>IFERROR(VLOOKUP(VENTAS[[#This Row],[Código del producto Vendido]],STOCK[],5,FALSE),"-")</f>
        <v>Estiloso sombrero de protección solar playero</v>
      </c>
      <c r="G950" s="34">
        <v>1</v>
      </c>
      <c r="H950" s="35">
        <v>10</v>
      </c>
      <c r="I950" s="35">
        <f>VENTAS[[#This Row],[Cantidad]]*VENTAS[[#This Row],[Precio Venta]]</f>
        <v>10</v>
      </c>
      <c r="J950" s="35">
        <f>IF(VENTAS[[#This Row],[Nombre del Gestor]]&gt;1,VENTAS[[#This Row],[Total]]*10%,0)</f>
        <v>0</v>
      </c>
      <c r="K950" s="35">
        <f>IFERROR(VLOOKUP(VENTAS[[#This Row],[Código del producto Vendido]],STOCK[],16,FALSE)*VENTAS[[#This Row],[Cantidad]]+VLOOKUP(VENTAS[[#This Row],[Código del producto Vendido]],STOCK[],19,FALSE)*VENTAS[[#This Row],[Cantidad]],VENTAS[[#This Row],[Total]])</f>
        <v>3.28</v>
      </c>
      <c r="L950" s="35">
        <f>VENTAS[[#This Row],[Total]]-VENTAS[[#This Row],[Comisión 10%]]-VENTAS[[#This Row],[Costo SIN Comision]]</f>
        <v>6.72</v>
      </c>
      <c r="M950" s="35"/>
    </row>
    <row r="951" ht="20" customHeight="1" spans="1:13">
      <c r="A951" s="29">
        <v>45446</v>
      </c>
      <c r="B951" s="30"/>
      <c r="C951" s="30" t="s">
        <v>3322</v>
      </c>
      <c r="D951" s="30"/>
      <c r="E951" s="30" t="s">
        <v>2142</v>
      </c>
      <c r="F951" s="34" t="str">
        <f>IFERROR(VLOOKUP(VENTAS[[#This Row],[Código del producto Vendido]],STOCK[],5,FALSE),"-")</f>
        <v>Falda Bohemia de mezclilla de cintura alta con detalles de botón</v>
      </c>
      <c r="G951" s="34">
        <v>1</v>
      </c>
      <c r="H951" s="35">
        <v>30</v>
      </c>
      <c r="I951" s="35">
        <f>VENTAS[[#This Row],[Cantidad]]*VENTAS[[#This Row],[Precio Venta]]</f>
        <v>30</v>
      </c>
      <c r="J951" s="35">
        <f>IF(VENTAS[[#This Row],[Nombre del Gestor]]&gt;1,VENTAS[[#This Row],[Total]]*10%,0)</f>
        <v>0</v>
      </c>
      <c r="K951" s="35">
        <f>IFERROR(VLOOKUP(VENTAS[[#This Row],[Código del producto Vendido]],STOCK[],16,FALSE)*VENTAS[[#This Row],[Cantidad]]+VLOOKUP(VENTAS[[#This Row],[Código del producto Vendido]],STOCK[],19,FALSE)*VENTAS[[#This Row],[Cantidad]],VENTAS[[#This Row],[Total]])</f>
        <v>7.05</v>
      </c>
      <c r="L951" s="35">
        <f>VENTAS[[#This Row],[Total]]-VENTAS[[#This Row],[Comisión 10%]]-VENTAS[[#This Row],[Costo SIN Comision]]</f>
        <v>22.95</v>
      </c>
      <c r="M951" s="35"/>
    </row>
    <row r="952" ht="20" customHeight="1" spans="1:13">
      <c r="A952" s="29">
        <v>45446</v>
      </c>
      <c r="B952" s="30"/>
      <c r="C952" s="30" t="s">
        <v>3322</v>
      </c>
      <c r="D952" s="30"/>
      <c r="E952" s="30" t="s">
        <v>2158</v>
      </c>
      <c r="F952" s="34" t="str">
        <f>IFERROR(VLOOKUP(VENTAS[[#This Row],[Código del producto Vendido]],STOCK[],5,FALSE),"-")</f>
        <v>Set de bikini estampado de flor de 3 piezas de cintura alta</v>
      </c>
      <c r="G952" s="34">
        <v>1</v>
      </c>
      <c r="H952" s="35">
        <v>25</v>
      </c>
      <c r="I952" s="35">
        <f>VENTAS[[#This Row],[Cantidad]]*VENTAS[[#This Row],[Precio Venta]]</f>
        <v>25</v>
      </c>
      <c r="J952" s="35">
        <f>IF(VENTAS[[#This Row],[Nombre del Gestor]]&gt;1,VENTAS[[#This Row],[Total]]*10%,0)</f>
        <v>0</v>
      </c>
      <c r="K952" s="35">
        <f>IFERROR(VLOOKUP(VENTAS[[#This Row],[Código del producto Vendido]],STOCK[],16,FALSE)*VENTAS[[#This Row],[Cantidad]]+VLOOKUP(VENTAS[[#This Row],[Código del producto Vendido]],STOCK[],19,FALSE)*VENTAS[[#This Row],[Cantidad]],VENTAS[[#This Row],[Total]])</f>
        <v>10.43</v>
      </c>
      <c r="L952" s="35">
        <f>VENTAS[[#This Row],[Total]]-VENTAS[[#This Row],[Comisión 10%]]-VENTAS[[#This Row],[Costo SIN Comision]]</f>
        <v>14.57</v>
      </c>
      <c r="M952" s="35"/>
    </row>
    <row r="953" ht="20" customHeight="1" spans="1:13">
      <c r="A953" s="29">
        <v>45446</v>
      </c>
      <c r="B953" s="30"/>
      <c r="C953" s="30"/>
      <c r="D953" s="30" t="s">
        <v>3481</v>
      </c>
      <c r="E953" s="30" t="s">
        <v>2231</v>
      </c>
      <c r="F953" s="34" t="str">
        <f>IFERROR(VLOOKUP(VENTAS[[#This Row],[Código del producto Vendido]],STOCK[],5,FALSE),"-")</f>
        <v>Vestido blanco espalda cruzada</v>
      </c>
      <c r="G953" s="34">
        <v>2</v>
      </c>
      <c r="H953" s="35">
        <v>25</v>
      </c>
      <c r="I953" s="35">
        <f>VENTAS[[#This Row],[Cantidad]]*VENTAS[[#This Row],[Precio Venta]]</f>
        <v>50</v>
      </c>
      <c r="J953" s="35">
        <f>IF(VENTAS[[#This Row],[Nombre del Gestor]]&gt;1,VENTAS[[#This Row],[Total]]*10%,0)</f>
        <v>5</v>
      </c>
      <c r="K953" s="35">
        <f>IFERROR(VLOOKUP(VENTAS[[#This Row],[Código del producto Vendido]],STOCK[],16,FALSE)*VENTAS[[#This Row],[Cantidad]]+VLOOKUP(VENTAS[[#This Row],[Código del producto Vendido]],STOCK[],19,FALSE)*VENTAS[[#This Row],[Cantidad]],VENTAS[[#This Row],[Total]])</f>
        <v>24.38</v>
      </c>
      <c r="L953" s="35">
        <f>VENTAS[[#This Row],[Total]]-VENTAS[[#This Row],[Comisión 10%]]-VENTAS[[#This Row],[Costo SIN Comision]]</f>
        <v>20.62</v>
      </c>
      <c r="M953" s="35"/>
    </row>
    <row r="954" ht="20" customHeight="1" spans="1:13">
      <c r="A954" s="29">
        <v>45446</v>
      </c>
      <c r="B954" s="30"/>
      <c r="C954" s="30"/>
      <c r="D954" s="30" t="s">
        <v>3481</v>
      </c>
      <c r="E954" s="30" t="s">
        <v>1257</v>
      </c>
      <c r="F954" s="34" t="str">
        <f>IFERROR(VLOOKUP(VENTAS[[#This Row],[Código del producto Vendido]],STOCK[],5,FALSE),"-")</f>
        <v>Maxi vestido de espalda cruzada</v>
      </c>
      <c r="G954" s="34">
        <v>1</v>
      </c>
      <c r="H954" s="35">
        <v>35</v>
      </c>
      <c r="I954" s="35">
        <f>VENTAS[[#This Row],[Cantidad]]*VENTAS[[#This Row],[Precio Venta]]</f>
        <v>35</v>
      </c>
      <c r="J954" s="35">
        <f>IF(VENTAS[[#This Row],[Nombre del Gestor]]&gt;1,VENTAS[[#This Row],[Total]]*10%,0)</f>
        <v>3.5</v>
      </c>
      <c r="K954" s="35">
        <f>IFERROR(VLOOKUP(VENTAS[[#This Row],[Código del producto Vendido]],STOCK[],16,FALSE)*VENTAS[[#This Row],[Cantidad]]+VLOOKUP(VENTAS[[#This Row],[Código del producto Vendido]],STOCK[],19,FALSE)*VENTAS[[#This Row],[Cantidad]],VENTAS[[#This Row],[Total]])</f>
        <v>23.95</v>
      </c>
      <c r="L954" s="35">
        <f>VENTAS[[#This Row],[Total]]-VENTAS[[#This Row],[Comisión 10%]]-VENTAS[[#This Row],[Costo SIN Comision]]</f>
        <v>7.55</v>
      </c>
      <c r="M954" s="35"/>
    </row>
    <row r="955" ht="20" customHeight="1" spans="1:13">
      <c r="A955" s="29">
        <v>45447</v>
      </c>
      <c r="B955" s="30"/>
      <c r="C955" s="30"/>
      <c r="D955" s="30" t="s">
        <v>3481</v>
      </c>
      <c r="E955" s="30" t="s">
        <v>2119</v>
      </c>
      <c r="F955" s="34" t="str">
        <f>IFERROR(VLOOKUP(VENTAS[[#This Row],[Código del producto Vendido]],STOCK[],5,FALSE),"-")</f>
        <v>Vestido Estampado floral de moda</v>
      </c>
      <c r="G955" s="34">
        <v>1</v>
      </c>
      <c r="H955" s="35">
        <v>25</v>
      </c>
      <c r="I955" s="35">
        <f>VENTAS[[#This Row],[Cantidad]]*VENTAS[[#This Row],[Precio Venta]]</f>
        <v>25</v>
      </c>
      <c r="J955" s="35">
        <f>IF(VENTAS[[#This Row],[Nombre del Gestor]]&gt;1,VENTAS[[#This Row],[Total]]*10%,0)</f>
        <v>2.5</v>
      </c>
      <c r="K955" s="35">
        <f>IFERROR(VLOOKUP(VENTAS[[#This Row],[Código del producto Vendido]],STOCK[],16,FALSE)*VENTAS[[#This Row],[Cantidad]]+VLOOKUP(VENTAS[[#This Row],[Código del producto Vendido]],STOCK[],19,FALSE)*VENTAS[[#This Row],[Cantidad]],VENTAS[[#This Row],[Total]])</f>
        <v>8.83</v>
      </c>
      <c r="L955" s="35">
        <f>VENTAS[[#This Row],[Total]]-VENTAS[[#This Row],[Comisión 10%]]-VENTAS[[#This Row],[Costo SIN Comision]]</f>
        <v>13.67</v>
      </c>
      <c r="M955" s="35"/>
    </row>
    <row r="956" ht="20" customHeight="1" spans="1:13">
      <c r="A956" s="29">
        <v>45448</v>
      </c>
      <c r="B956" s="30"/>
      <c r="C956" s="30"/>
      <c r="D956" s="30"/>
      <c r="E956" s="30" t="s">
        <v>2228</v>
      </c>
      <c r="F956" s="34" t="str">
        <f>IFERROR(VLOOKUP(VENTAS[[#This Row],[Código del producto Vendido]],STOCK[],5,FALSE),"-")</f>
        <v>Vestido negro espalda cruzada</v>
      </c>
      <c r="G956" s="34">
        <v>1</v>
      </c>
      <c r="H956" s="35">
        <v>25</v>
      </c>
      <c r="I956" s="35">
        <f>VENTAS[[#This Row],[Cantidad]]*VENTAS[[#This Row],[Precio Venta]]</f>
        <v>25</v>
      </c>
      <c r="J956" s="35">
        <f>IF(VENTAS[[#This Row],[Nombre del Gestor]]&gt;1,VENTAS[[#This Row],[Total]]*10%,0)</f>
        <v>0</v>
      </c>
      <c r="K956" s="35">
        <f>IFERROR(VLOOKUP(VENTAS[[#This Row],[Código del producto Vendido]],STOCK[],16,FALSE)*VENTAS[[#This Row],[Cantidad]]+VLOOKUP(VENTAS[[#This Row],[Código del producto Vendido]],STOCK[],19,FALSE)*VENTAS[[#This Row],[Cantidad]],VENTAS[[#This Row],[Total]])</f>
        <v>12.19</v>
      </c>
      <c r="L956" s="35">
        <f>VENTAS[[#This Row],[Total]]-VENTAS[[#This Row],[Comisión 10%]]-VENTAS[[#This Row],[Costo SIN Comision]]</f>
        <v>12.81</v>
      </c>
      <c r="M956" s="35"/>
    </row>
    <row r="957" ht="20" customHeight="1" spans="1:13">
      <c r="A957" s="29">
        <v>45448</v>
      </c>
      <c r="B957" s="30"/>
      <c r="C957" s="30"/>
      <c r="D957" s="30" t="s">
        <v>3481</v>
      </c>
      <c r="E957" s="30" t="s">
        <v>1884</v>
      </c>
      <c r="F957" s="34" t="str">
        <f>IFERROR(VLOOKUP(VENTAS[[#This Row],[Código del producto Vendido]],STOCK[],5,FALSE),"-")</f>
        <v>Vestido Camisero de Rayas</v>
      </c>
      <c r="G957" s="34">
        <v>1</v>
      </c>
      <c r="H957" s="35">
        <v>35</v>
      </c>
      <c r="I957" s="35">
        <f>VENTAS[[#This Row],[Cantidad]]*VENTAS[[#This Row],[Precio Venta]]</f>
        <v>35</v>
      </c>
      <c r="J957" s="35">
        <f>IF(VENTAS[[#This Row],[Nombre del Gestor]]&gt;1,VENTAS[[#This Row],[Total]]*10%,0)</f>
        <v>3.5</v>
      </c>
      <c r="K957" s="35">
        <f>IFERROR(VLOOKUP(VENTAS[[#This Row],[Código del producto Vendido]],STOCK[],16,FALSE)*VENTAS[[#This Row],[Cantidad]]+VLOOKUP(VENTAS[[#This Row],[Código del producto Vendido]],STOCK[],19,FALSE)*VENTAS[[#This Row],[Cantidad]],VENTAS[[#This Row],[Total]])</f>
        <v>23.67</v>
      </c>
      <c r="L957" s="35">
        <f>VENTAS[[#This Row],[Total]]-VENTAS[[#This Row],[Comisión 10%]]-VENTAS[[#This Row],[Costo SIN Comision]]</f>
        <v>7.83</v>
      </c>
      <c r="M957" s="35"/>
    </row>
    <row r="958" ht="20" customHeight="1" spans="1:13">
      <c r="A958" s="29">
        <v>45448</v>
      </c>
      <c r="B958" s="30"/>
      <c r="C958" s="30"/>
      <c r="D958" s="30" t="s">
        <v>3481</v>
      </c>
      <c r="E958" s="30" t="s">
        <v>281</v>
      </c>
      <c r="F958" s="34" t="str">
        <f>IFERROR(VLOOKUP(VENTAS[[#This Row],[Código del producto Vendido]],STOCK[],5,FALSE),"-")</f>
        <v>Conjunto cuadros</v>
      </c>
      <c r="G958" s="34">
        <v>1</v>
      </c>
      <c r="H958" s="35">
        <v>20</v>
      </c>
      <c r="I958" s="35">
        <f>VENTAS[[#This Row],[Cantidad]]*VENTAS[[#This Row],[Precio Venta]]</f>
        <v>20</v>
      </c>
      <c r="J958" s="35">
        <f>IF(VENTAS[[#This Row],[Nombre del Gestor]]&gt;1,VENTAS[[#This Row],[Total]]*10%,0)</f>
        <v>2</v>
      </c>
      <c r="K958" s="35">
        <f>IFERROR(VLOOKUP(VENTAS[[#This Row],[Código del producto Vendido]],STOCK[],16,FALSE)*VENTAS[[#This Row],[Cantidad]]+VLOOKUP(VENTAS[[#This Row],[Código del producto Vendido]],STOCK[],19,FALSE)*VENTAS[[#This Row],[Cantidad]],VENTAS[[#This Row],[Total]])</f>
        <v>12.2022222222222</v>
      </c>
      <c r="L958" s="35">
        <f>VENTAS[[#This Row],[Total]]-VENTAS[[#This Row],[Comisión 10%]]-VENTAS[[#This Row],[Costo SIN Comision]]</f>
        <v>5.79777777777778</v>
      </c>
      <c r="M958" s="35"/>
    </row>
    <row r="959" ht="20" customHeight="1" spans="1:13">
      <c r="A959" s="29">
        <v>45449</v>
      </c>
      <c r="B959" s="30"/>
      <c r="C959" s="30"/>
      <c r="D959" s="30" t="s">
        <v>3506</v>
      </c>
      <c r="E959" s="30" t="s">
        <v>1626</v>
      </c>
      <c r="F959" s="34" t="str">
        <f>IFERROR(VLOOKUP(VENTAS[[#This Row],[Código del producto Vendido]],STOCK[],5,FALSE),"-")</f>
        <v>Vestido Burdeos </v>
      </c>
      <c r="G959" s="34">
        <v>1</v>
      </c>
      <c r="H959" s="35">
        <v>30</v>
      </c>
      <c r="I959" s="35">
        <f>VENTAS[[#This Row],[Cantidad]]*VENTAS[[#This Row],[Precio Venta]]</f>
        <v>30</v>
      </c>
      <c r="J959" s="35">
        <f>IF(VENTAS[[#This Row],[Nombre del Gestor]]&gt;1,VENTAS[[#This Row],[Total]]*10%,0)</f>
        <v>3</v>
      </c>
      <c r="K959" s="35">
        <f>IFERROR(VLOOKUP(VENTAS[[#This Row],[Código del producto Vendido]],STOCK[],16,FALSE)*VENTAS[[#This Row],[Cantidad]]+VLOOKUP(VENTAS[[#This Row],[Código del producto Vendido]],STOCK[],19,FALSE)*VENTAS[[#This Row],[Cantidad]],VENTAS[[#This Row],[Total]])</f>
        <v>14.33</v>
      </c>
      <c r="L959" s="35">
        <f>VENTAS[[#This Row],[Total]]-VENTAS[[#This Row],[Comisión 10%]]-VENTAS[[#This Row],[Costo SIN Comision]]</f>
        <v>12.67</v>
      </c>
      <c r="M959" s="35"/>
    </row>
    <row r="960" ht="20" customHeight="1" spans="1:13">
      <c r="A960" s="29">
        <v>45450</v>
      </c>
      <c r="B960" s="30"/>
      <c r="C960" s="30" t="s">
        <v>3507</v>
      </c>
      <c r="D960" s="30"/>
      <c r="E960" s="30" t="s">
        <v>1878</v>
      </c>
      <c r="F960" s="34" t="str">
        <f>IFERROR(VLOOKUP(VENTAS[[#This Row],[Código del producto Vendido]],STOCK[],5,FALSE),"-")</f>
        <v>Bolso Vintage Marrón</v>
      </c>
      <c r="G960" s="34">
        <v>1</v>
      </c>
      <c r="H960" s="35">
        <v>35</v>
      </c>
      <c r="I960" s="35">
        <f>VENTAS[[#This Row],[Cantidad]]*VENTAS[[#This Row],[Precio Venta]]</f>
        <v>35</v>
      </c>
      <c r="J960" s="35">
        <f>IF(VENTAS[[#This Row],[Nombre del Gestor]]&gt;1,VENTAS[[#This Row],[Total]]*10%,0)</f>
        <v>0</v>
      </c>
      <c r="K960" s="35">
        <f>IFERROR(VLOOKUP(VENTAS[[#This Row],[Código del producto Vendido]],STOCK[],16,FALSE)*VENTAS[[#This Row],[Cantidad]]+VLOOKUP(VENTAS[[#This Row],[Código del producto Vendido]],STOCK[],19,FALSE)*VENTAS[[#This Row],[Cantidad]],VENTAS[[#This Row],[Total]])</f>
        <v>22.98</v>
      </c>
      <c r="L960" s="35">
        <f>VENTAS[[#This Row],[Total]]-VENTAS[[#This Row],[Comisión 10%]]-VENTAS[[#This Row],[Costo SIN Comision]]</f>
        <v>12.02</v>
      </c>
      <c r="M960" s="35"/>
    </row>
    <row r="961" ht="20" customHeight="1" spans="1:13">
      <c r="A961" s="29">
        <v>45451</v>
      </c>
      <c r="B961" s="30"/>
      <c r="C961" s="30"/>
      <c r="D961" s="30" t="s">
        <v>3481</v>
      </c>
      <c r="E961" s="30" t="s">
        <v>2170</v>
      </c>
      <c r="F961" s="34" t="str">
        <f>IFERROR(VLOOKUP(VENTAS[[#This Row],[Código del producto Vendido]],STOCK[],5,FALSE),"-")</f>
        <v>Bañador clásico cuello V</v>
      </c>
      <c r="G961" s="34">
        <v>2</v>
      </c>
      <c r="H961" s="35">
        <v>18</v>
      </c>
      <c r="I961" s="35">
        <f>VENTAS[[#This Row],[Cantidad]]*VENTAS[[#This Row],[Precio Venta]]</f>
        <v>36</v>
      </c>
      <c r="J961" s="35">
        <f>IF(VENTAS[[#This Row],[Nombre del Gestor]]&gt;1,VENTAS[[#This Row],[Total]]*10%,0)</f>
        <v>3.6</v>
      </c>
      <c r="K961" s="35">
        <f>IFERROR(VLOOKUP(VENTAS[[#This Row],[Código del producto Vendido]],STOCK[],16,FALSE)*VENTAS[[#This Row],[Cantidad]]+VLOOKUP(VENTAS[[#This Row],[Código del producto Vendido]],STOCK[],19,FALSE)*VENTAS[[#This Row],[Cantidad]],VENTAS[[#This Row],[Total]])</f>
        <v>12.22</v>
      </c>
      <c r="L961" s="35">
        <f>VENTAS[[#This Row],[Total]]-VENTAS[[#This Row],[Comisión 10%]]-VENTAS[[#This Row],[Costo SIN Comision]]</f>
        <v>20.18</v>
      </c>
      <c r="M961" s="35"/>
    </row>
    <row r="962" ht="20" customHeight="1" spans="1:13">
      <c r="A962" s="29">
        <v>45452</v>
      </c>
      <c r="B962" s="30"/>
      <c r="C962" s="30"/>
      <c r="D962" s="30"/>
      <c r="E962" s="30" t="s">
        <v>2167</v>
      </c>
      <c r="F962" s="34" t="str">
        <f>IFERROR(VLOOKUP(VENTAS[[#This Row],[Código del producto Vendido]],STOCK[],5,FALSE),"-")</f>
        <v>Bañador clásico cuello V</v>
      </c>
      <c r="G962" s="34">
        <v>1</v>
      </c>
      <c r="H962" s="35">
        <v>18</v>
      </c>
      <c r="I962" s="35">
        <f>VENTAS[[#This Row],[Cantidad]]*VENTAS[[#This Row],[Precio Venta]]</f>
        <v>18</v>
      </c>
      <c r="J962" s="35">
        <f>IF(VENTAS[[#This Row],[Nombre del Gestor]]&gt;1,VENTAS[[#This Row],[Total]]*10%,0)</f>
        <v>0</v>
      </c>
      <c r="K962" s="35">
        <f>IFERROR(VLOOKUP(VENTAS[[#This Row],[Código del producto Vendido]],STOCK[],16,FALSE)*VENTAS[[#This Row],[Cantidad]]+VLOOKUP(VENTAS[[#This Row],[Código del producto Vendido]],STOCK[],19,FALSE)*VENTAS[[#This Row],[Cantidad]],VENTAS[[#This Row],[Total]])</f>
        <v>6.11</v>
      </c>
      <c r="L962" s="35">
        <f>VENTAS[[#This Row],[Total]]-VENTAS[[#This Row],[Comisión 10%]]-VENTAS[[#This Row],[Costo SIN Comision]]</f>
        <v>11.89</v>
      </c>
      <c r="M962" s="35"/>
    </row>
    <row r="963" ht="20" customHeight="1" spans="1:13">
      <c r="A963" s="29">
        <v>45453</v>
      </c>
      <c r="B963" s="30"/>
      <c r="C963" s="30" t="s">
        <v>3507</v>
      </c>
      <c r="D963" s="30"/>
      <c r="E963" s="30" t="s">
        <v>2163</v>
      </c>
      <c r="F963" s="34" t="str">
        <f>IFERROR(VLOOKUP(VENTAS[[#This Row],[Código del producto Vendido]],STOCK[],5,FALSE),"-")</f>
        <v>Bañador en color sólido sexy-elegante </v>
      </c>
      <c r="G963" s="34">
        <v>1</v>
      </c>
      <c r="H963" s="35">
        <v>20</v>
      </c>
      <c r="I963" s="35">
        <f>VENTAS[[#This Row],[Cantidad]]*VENTAS[[#This Row],[Precio Venta]]</f>
        <v>20</v>
      </c>
      <c r="J963" s="35">
        <f>IF(VENTAS[[#This Row],[Nombre del Gestor]]&gt;1,VENTAS[[#This Row],[Total]]*10%,0)</f>
        <v>0</v>
      </c>
      <c r="K963" s="35">
        <f>IFERROR(VLOOKUP(VENTAS[[#This Row],[Código del producto Vendido]],STOCK[],16,FALSE)*VENTAS[[#This Row],[Cantidad]]+VLOOKUP(VENTAS[[#This Row],[Código del producto Vendido]],STOCK[],19,FALSE)*VENTAS[[#This Row],[Cantidad]],VENTAS[[#This Row],[Total]])</f>
        <v>8.24</v>
      </c>
      <c r="L963" s="35">
        <f>VENTAS[[#This Row],[Total]]-VENTAS[[#This Row],[Comisión 10%]]-VENTAS[[#This Row],[Costo SIN Comision]]</f>
        <v>11.76</v>
      </c>
      <c r="M963" s="35"/>
    </row>
    <row r="964" ht="20" customHeight="1" spans="1:13">
      <c r="A964" s="29">
        <v>45454</v>
      </c>
      <c r="B964" s="30"/>
      <c r="C964" s="30" t="s">
        <v>3508</v>
      </c>
      <c r="D964" s="30"/>
      <c r="E964" s="30" t="s">
        <v>2198</v>
      </c>
      <c r="F964" s="34" t="str">
        <f>IFERROR(VLOOKUP(VENTAS[[#This Row],[Código del producto Vendido]],STOCK[],5,FALSE),"-")</f>
        <v>Set de bikini floral con aro</v>
      </c>
      <c r="G964" s="34">
        <v>1</v>
      </c>
      <c r="H964" s="35">
        <v>0</v>
      </c>
      <c r="I964" s="35">
        <f>VENTAS[[#This Row],[Cantidad]]*VENTAS[[#This Row],[Precio Venta]]</f>
        <v>0</v>
      </c>
      <c r="J964" s="35">
        <f>IF(VENTAS[[#This Row],[Nombre del Gestor]]&gt;1,VENTAS[[#This Row],[Total]]*10%,0)</f>
        <v>0</v>
      </c>
      <c r="K964" s="35">
        <f>IFERROR(VLOOKUP(VENTAS[[#This Row],[Código del producto Vendido]],STOCK[],16,FALSE)*VENTAS[[#This Row],[Cantidad]]+VLOOKUP(VENTAS[[#This Row],[Código del producto Vendido]],STOCK[],19,FALSE)*VENTAS[[#This Row],[Cantidad]],VENTAS[[#This Row],[Total]])</f>
        <v>8.38</v>
      </c>
      <c r="L964" s="35">
        <f>VENTAS[[#This Row],[Total]]-VENTAS[[#This Row],[Comisión 10%]]-VENTAS[[#This Row],[Costo SIN Comision]]</f>
        <v>-8.38</v>
      </c>
      <c r="M964" s="35"/>
    </row>
    <row r="965" ht="20" customHeight="1" spans="1:13">
      <c r="A965" s="29">
        <v>45455</v>
      </c>
      <c r="B965" s="30"/>
      <c r="C965" s="30" t="s">
        <v>3342</v>
      </c>
      <c r="D965" s="30"/>
      <c r="E965" s="30" t="s">
        <v>2212</v>
      </c>
      <c r="F965" s="34" t="str">
        <f>IFERROR(VLOOKUP(VENTAS[[#This Row],[Código del producto Vendido]],STOCK[],5,FALSE),"-")</f>
        <v>Bolso chic estilo verano</v>
      </c>
      <c r="G965" s="34">
        <v>1</v>
      </c>
      <c r="H965" s="35">
        <v>18</v>
      </c>
      <c r="I965" s="35">
        <f>VENTAS[[#This Row],[Cantidad]]*VENTAS[[#This Row],[Precio Venta]]</f>
        <v>18</v>
      </c>
      <c r="J965" s="35">
        <f>IF(VENTAS[[#This Row],[Nombre del Gestor]]&gt;1,VENTAS[[#This Row],[Total]]*10%,0)</f>
        <v>0</v>
      </c>
      <c r="K965" s="35">
        <f>IFERROR(VLOOKUP(VENTAS[[#This Row],[Código del producto Vendido]],STOCK[],16,FALSE)*VENTAS[[#This Row],[Cantidad]]+VLOOKUP(VENTAS[[#This Row],[Código del producto Vendido]],STOCK[],19,FALSE)*VENTAS[[#This Row],[Cantidad]],VENTAS[[#This Row],[Total]])</f>
        <v>7.11</v>
      </c>
      <c r="L965" s="35">
        <f>VENTAS[[#This Row],[Total]]-VENTAS[[#This Row],[Comisión 10%]]-VENTAS[[#This Row],[Costo SIN Comision]]</f>
        <v>10.89</v>
      </c>
      <c r="M965" s="35"/>
    </row>
    <row r="966" ht="20" customHeight="1" spans="1:13">
      <c r="A966" s="29">
        <v>45456</v>
      </c>
      <c r="B966" s="30"/>
      <c r="C966" s="30"/>
      <c r="D966" s="30" t="s">
        <v>3481</v>
      </c>
      <c r="E966" s="30" t="s">
        <v>2225</v>
      </c>
      <c r="F966" s="34" t="str">
        <f>IFERROR(VLOOKUP(VENTAS[[#This Row],[Código del producto Vendido]],STOCK[],5,FALSE),"-")</f>
        <v>Estiloso sombrero de protección solar playero</v>
      </c>
      <c r="G966" s="34">
        <v>2</v>
      </c>
      <c r="H966" s="35">
        <v>15</v>
      </c>
      <c r="I966" s="35">
        <f>VENTAS[[#This Row],[Cantidad]]*VENTAS[[#This Row],[Precio Venta]]</f>
        <v>30</v>
      </c>
      <c r="J966" s="35">
        <f>IF(VENTAS[[#This Row],[Nombre del Gestor]]&gt;1,VENTAS[[#This Row],[Total]]*10%,0)</f>
        <v>3</v>
      </c>
      <c r="K966" s="35">
        <f>IFERROR(VLOOKUP(VENTAS[[#This Row],[Código del producto Vendido]],STOCK[],16,FALSE)*VENTAS[[#This Row],[Cantidad]]+VLOOKUP(VENTAS[[#This Row],[Código del producto Vendido]],STOCK[],19,FALSE)*VENTAS[[#This Row],[Cantidad]],VENTAS[[#This Row],[Total]])</f>
        <v>6.56</v>
      </c>
      <c r="L966" s="35">
        <f>VENTAS[[#This Row],[Total]]-VENTAS[[#This Row],[Comisión 10%]]-VENTAS[[#This Row],[Costo SIN Comision]]</f>
        <v>20.44</v>
      </c>
      <c r="M966" s="35"/>
    </row>
    <row r="967" ht="20" customHeight="1" spans="1:13">
      <c r="A967" s="29">
        <v>45457</v>
      </c>
      <c r="B967" s="30"/>
      <c r="C967" s="30" t="s">
        <v>3507</v>
      </c>
      <c r="D967" s="30"/>
      <c r="E967" s="30" t="s">
        <v>2212</v>
      </c>
      <c r="F967" s="34" t="str">
        <f>IFERROR(VLOOKUP(VENTAS[[#This Row],[Código del producto Vendido]],STOCK[],5,FALSE),"-")</f>
        <v>Bolso chic estilo verano</v>
      </c>
      <c r="G967" s="34">
        <v>1</v>
      </c>
      <c r="H967" s="35">
        <v>18</v>
      </c>
      <c r="I967" s="35">
        <f>VENTAS[[#This Row],[Cantidad]]*VENTAS[[#This Row],[Precio Venta]]</f>
        <v>18</v>
      </c>
      <c r="J967" s="35">
        <f>IF(VENTAS[[#This Row],[Nombre del Gestor]]&gt;1,VENTAS[[#This Row],[Total]]*10%,0)</f>
        <v>0</v>
      </c>
      <c r="K967" s="35">
        <f>IFERROR(VLOOKUP(VENTAS[[#This Row],[Código del producto Vendido]],STOCK[],16,FALSE)*VENTAS[[#This Row],[Cantidad]]+VLOOKUP(VENTAS[[#This Row],[Código del producto Vendido]],STOCK[],19,FALSE)*VENTAS[[#This Row],[Cantidad]],VENTAS[[#This Row],[Total]])</f>
        <v>7.11</v>
      </c>
      <c r="L967" s="35">
        <f>VENTAS[[#This Row],[Total]]-VENTAS[[#This Row],[Comisión 10%]]-VENTAS[[#This Row],[Costo SIN Comision]]</f>
        <v>10.89</v>
      </c>
      <c r="M967" s="35"/>
    </row>
    <row r="968" ht="20" customHeight="1" spans="1:13">
      <c r="A968" s="29">
        <v>45458</v>
      </c>
      <c r="B968" s="30"/>
      <c r="C968" s="30" t="s">
        <v>3509</v>
      </c>
      <c r="D968" s="30"/>
      <c r="E968" s="30" t="s">
        <v>2291</v>
      </c>
      <c r="F968" s="34" t="str">
        <f>IFERROR(VLOOKUP(VENTAS[[#This Row],[Código del producto Vendido]],STOCK[],5,FALSE),"-")</f>
        <v>Set de bikini Vacaciones en bloque de color</v>
      </c>
      <c r="G968" s="34">
        <v>1</v>
      </c>
      <c r="H968" s="35">
        <v>0</v>
      </c>
      <c r="I968" s="35">
        <f>VENTAS[[#This Row],[Cantidad]]*VENTAS[[#This Row],[Precio Venta]]</f>
        <v>0</v>
      </c>
      <c r="J968" s="35">
        <f>IF(VENTAS[[#This Row],[Nombre del Gestor]]&gt;1,VENTAS[[#This Row],[Total]]*10%,0)</f>
        <v>0</v>
      </c>
      <c r="K968" s="35">
        <f>IFERROR(VLOOKUP(VENTAS[[#This Row],[Código del producto Vendido]],STOCK[],16,FALSE)*VENTAS[[#This Row],[Cantidad]]+VLOOKUP(VENTAS[[#This Row],[Código del producto Vendido]],STOCK[],19,FALSE)*VENTAS[[#This Row],[Cantidad]],VENTAS[[#This Row],[Total]])</f>
        <v>11.38</v>
      </c>
      <c r="L968" s="35">
        <f>VENTAS[[#This Row],[Total]]-VENTAS[[#This Row],[Comisión 10%]]-VENTAS[[#This Row],[Costo SIN Comision]]</f>
        <v>-11.38</v>
      </c>
      <c r="M968" s="35"/>
    </row>
    <row r="969" ht="20" customHeight="1" spans="1:13">
      <c r="A969" s="29">
        <v>45459</v>
      </c>
      <c r="B969" s="30"/>
      <c r="C969" s="30"/>
      <c r="D969" s="30" t="s">
        <v>3462</v>
      </c>
      <c r="E969" s="30" t="s">
        <v>1624</v>
      </c>
      <c r="F969" s="34" t="str">
        <f>IFERROR(VLOOKUP(VENTAS[[#This Row],[Código del producto Vendido]],STOCK[],5,FALSE),"-")</f>
        <v>Vestido Tarsha</v>
      </c>
      <c r="G969" s="34">
        <v>1</v>
      </c>
      <c r="H969" s="35">
        <v>27</v>
      </c>
      <c r="I969" s="35">
        <f>VENTAS[[#This Row],[Cantidad]]*VENTAS[[#This Row],[Precio Venta]]</f>
        <v>27</v>
      </c>
      <c r="J969" s="35">
        <f>IF(VENTAS[[#This Row],[Nombre del Gestor]]&gt;1,VENTAS[[#This Row],[Total]]*10%,0)</f>
        <v>2.7</v>
      </c>
      <c r="K969" s="35">
        <f>IFERROR(VLOOKUP(VENTAS[[#This Row],[Código del producto Vendido]],STOCK[],16,FALSE)*VENTAS[[#This Row],[Cantidad]]+VLOOKUP(VENTAS[[#This Row],[Código del producto Vendido]],STOCK[],19,FALSE)*VENTAS[[#This Row],[Cantidad]],VENTAS[[#This Row],[Total]])</f>
        <v>13.97</v>
      </c>
      <c r="L969" s="35">
        <f>VENTAS[[#This Row],[Total]]-VENTAS[[#This Row],[Comisión 10%]]-VENTAS[[#This Row],[Costo SIN Comision]]</f>
        <v>10.33</v>
      </c>
      <c r="M969" s="35"/>
    </row>
    <row r="970" ht="20" customHeight="1" spans="1:13">
      <c r="A970" s="29">
        <v>45460</v>
      </c>
      <c r="B970" s="30"/>
      <c r="C970" s="30"/>
      <c r="D970" s="30" t="s">
        <v>3510</v>
      </c>
      <c r="E970" s="30" t="s">
        <v>525</v>
      </c>
      <c r="F970" s="34" t="str">
        <f>IFERROR(VLOOKUP(VENTAS[[#This Row],[Código del producto Vendido]],STOCK[],5,FALSE),"-")</f>
        <v>Alisador</v>
      </c>
      <c r="G970" s="34">
        <v>1</v>
      </c>
      <c r="H970" s="35">
        <v>30</v>
      </c>
      <c r="I970" s="35">
        <f>VENTAS[[#This Row],[Cantidad]]*VENTAS[[#This Row],[Precio Venta]]</f>
        <v>30</v>
      </c>
      <c r="J970" s="35">
        <f>IF(VENTAS[[#This Row],[Nombre del Gestor]]&gt;1,VENTAS[[#This Row],[Total]]*10%,0)</f>
        <v>3</v>
      </c>
      <c r="K970" s="35">
        <f>IFERROR(VLOOKUP(VENTAS[[#This Row],[Código del producto Vendido]],STOCK[],16,FALSE)*VENTAS[[#This Row],[Cantidad]]+VLOOKUP(VENTAS[[#This Row],[Código del producto Vendido]],STOCK[],19,FALSE)*VENTAS[[#This Row],[Cantidad]],VENTAS[[#This Row],[Total]])</f>
        <v>16.7177777777778</v>
      </c>
      <c r="L970" s="35">
        <f>VENTAS[[#This Row],[Total]]-VENTAS[[#This Row],[Comisión 10%]]-VENTAS[[#This Row],[Costo SIN Comision]]</f>
        <v>10.2822222222222</v>
      </c>
      <c r="M970" s="35"/>
    </row>
    <row r="971" ht="20" customHeight="1" spans="1:13">
      <c r="A971" s="29">
        <v>45461</v>
      </c>
      <c r="B971" s="30"/>
      <c r="C971" s="30"/>
      <c r="D971" s="30" t="s">
        <v>3481</v>
      </c>
      <c r="E971" s="30" t="s">
        <v>2237</v>
      </c>
      <c r="F971" s="34" t="str">
        <f>IFERROR(VLOOKUP(VENTAS[[#This Row],[Código del producto Vendido]],STOCK[],5,FALSE),"-")</f>
        <v>Bolso bohemio redondo de gran capacidad</v>
      </c>
      <c r="G971" s="34">
        <v>4</v>
      </c>
      <c r="H971" s="35">
        <v>25</v>
      </c>
      <c r="I971" s="35">
        <f>VENTAS[[#This Row],[Cantidad]]*VENTAS[[#This Row],[Precio Venta]]</f>
        <v>100</v>
      </c>
      <c r="J971" s="35">
        <f>IF(VENTAS[[#This Row],[Nombre del Gestor]]&gt;1,VENTAS[[#This Row],[Total]]*10%,0)</f>
        <v>10</v>
      </c>
      <c r="K971" s="35">
        <f>IFERROR(VLOOKUP(VENTAS[[#This Row],[Código del producto Vendido]],STOCK[],16,FALSE)*VENTAS[[#This Row],[Cantidad]]+VLOOKUP(VENTAS[[#This Row],[Código del producto Vendido]],STOCK[],19,FALSE)*VENTAS[[#This Row],[Cantidad]],VENTAS[[#This Row],[Total]])</f>
        <v>44.36</v>
      </c>
      <c r="L971" s="35">
        <f>VENTAS[[#This Row],[Total]]-VENTAS[[#This Row],[Comisión 10%]]-VENTAS[[#This Row],[Costo SIN Comision]]</f>
        <v>45.64</v>
      </c>
      <c r="M971" s="35"/>
    </row>
    <row r="972" ht="20" customHeight="1" spans="1:13">
      <c r="A972" s="29">
        <v>45462</v>
      </c>
      <c r="B972" s="30"/>
      <c r="C972" s="30"/>
      <c r="D972" s="30" t="s">
        <v>3481</v>
      </c>
      <c r="E972" s="30" t="s">
        <v>2212</v>
      </c>
      <c r="F972" s="34" t="str">
        <f>IFERROR(VLOOKUP(VENTAS[[#This Row],[Código del producto Vendido]],STOCK[],5,FALSE),"-")</f>
        <v>Bolso chic estilo verano</v>
      </c>
      <c r="G972" s="34">
        <v>3</v>
      </c>
      <c r="H972" s="35">
        <v>18</v>
      </c>
      <c r="I972" s="35">
        <f>VENTAS[[#This Row],[Cantidad]]*VENTAS[[#This Row],[Precio Venta]]</f>
        <v>54</v>
      </c>
      <c r="J972" s="35">
        <f>IF(VENTAS[[#This Row],[Nombre del Gestor]]&gt;1,VENTAS[[#This Row],[Total]]*10%,0)</f>
        <v>5.4</v>
      </c>
      <c r="K972" s="35">
        <f>IFERROR(VLOOKUP(VENTAS[[#This Row],[Código del producto Vendido]],STOCK[],16,FALSE)*VENTAS[[#This Row],[Cantidad]]+VLOOKUP(VENTAS[[#This Row],[Código del producto Vendido]],STOCK[],19,FALSE)*VENTAS[[#This Row],[Cantidad]],VENTAS[[#This Row],[Total]])</f>
        <v>21.33</v>
      </c>
      <c r="L972" s="35">
        <f>VENTAS[[#This Row],[Total]]-VENTAS[[#This Row],[Comisión 10%]]-VENTAS[[#This Row],[Costo SIN Comision]]</f>
        <v>27.27</v>
      </c>
      <c r="M972" s="35"/>
    </row>
    <row r="973" ht="20" customHeight="1" spans="1:13">
      <c r="A973" s="29">
        <v>45463</v>
      </c>
      <c r="B973" s="30"/>
      <c r="C973" s="30"/>
      <c r="D973" s="30" t="s">
        <v>3481</v>
      </c>
      <c r="E973" s="30" t="s">
        <v>2365</v>
      </c>
      <c r="F973" s="34" t="str">
        <f>IFERROR(VLOOKUP(VENTAS[[#This Row],[Código del producto Vendido]],STOCK[],5,FALSE),"-")</f>
        <v>Sombrero de protección Verano fashionista</v>
      </c>
      <c r="G973" s="34">
        <v>1</v>
      </c>
      <c r="H973" s="35">
        <v>15</v>
      </c>
      <c r="I973" s="35">
        <f>VENTAS[[#This Row],[Cantidad]]*VENTAS[[#This Row],[Precio Venta]]</f>
        <v>15</v>
      </c>
      <c r="J973" s="35">
        <f>IF(VENTAS[[#This Row],[Nombre del Gestor]]&gt;1,VENTAS[[#This Row],[Total]]*10%,0)</f>
        <v>1.5</v>
      </c>
      <c r="K973" s="35">
        <f>IFERROR(VLOOKUP(VENTAS[[#This Row],[Código del producto Vendido]],STOCK[],16,FALSE)*VENTAS[[#This Row],[Cantidad]]+VLOOKUP(VENTAS[[#This Row],[Código del producto Vendido]],STOCK[],19,FALSE)*VENTAS[[#This Row],[Cantidad]],VENTAS[[#This Row],[Total]])</f>
        <v>8.551875</v>
      </c>
      <c r="L973" s="35">
        <f>VENTAS[[#This Row],[Total]]-VENTAS[[#This Row],[Comisión 10%]]-VENTAS[[#This Row],[Costo SIN Comision]]</f>
        <v>4.948125</v>
      </c>
      <c r="M973" s="35"/>
    </row>
    <row r="974" ht="20" customHeight="1" spans="1:13">
      <c r="A974" s="29">
        <v>45464</v>
      </c>
      <c r="B974" s="30"/>
      <c r="C974" s="30"/>
      <c r="D974" s="30" t="s">
        <v>3481</v>
      </c>
      <c r="E974" s="30" t="s">
        <v>2160</v>
      </c>
      <c r="F974" s="34" t="str">
        <f>IFERROR(VLOOKUP(VENTAS[[#This Row],[Código del producto Vendido]],STOCK[],5,FALSE),"-")</f>
        <v>Bañador en color sólido sexy-elegante </v>
      </c>
      <c r="G974" s="34">
        <v>1</v>
      </c>
      <c r="H974" s="35">
        <v>20</v>
      </c>
      <c r="I974" s="35">
        <f>VENTAS[[#This Row],[Cantidad]]*VENTAS[[#This Row],[Precio Venta]]</f>
        <v>20</v>
      </c>
      <c r="J974" s="35">
        <f>IF(VENTAS[[#This Row],[Nombre del Gestor]]&gt;1,VENTAS[[#This Row],[Total]]*10%,0)</f>
        <v>2</v>
      </c>
      <c r="K974" s="35">
        <f>IFERROR(VLOOKUP(VENTAS[[#This Row],[Código del producto Vendido]],STOCK[],16,FALSE)*VENTAS[[#This Row],[Cantidad]]+VLOOKUP(VENTAS[[#This Row],[Código del producto Vendido]],STOCK[],19,FALSE)*VENTAS[[#This Row],[Cantidad]],VENTAS[[#This Row],[Total]])</f>
        <v>8.24</v>
      </c>
      <c r="L974" s="35">
        <f>VENTAS[[#This Row],[Total]]-VENTAS[[#This Row],[Comisión 10%]]-VENTAS[[#This Row],[Costo SIN Comision]]</f>
        <v>9.76</v>
      </c>
      <c r="M974" s="35"/>
    </row>
    <row r="975" ht="20" customHeight="1" spans="1:13">
      <c r="A975" s="29">
        <v>45465</v>
      </c>
      <c r="B975" s="30"/>
      <c r="C975" s="30"/>
      <c r="D975" s="30" t="s">
        <v>3481</v>
      </c>
      <c r="E975" s="30" t="s">
        <v>2285</v>
      </c>
      <c r="F975" s="34" t="str">
        <f>IFERROR(VLOOKUP(VENTAS[[#This Row],[Código del producto Vendido]],STOCK[],5,FALSE),"-")</f>
        <v>Bolso de lona en bloque de color</v>
      </c>
      <c r="G975" s="34">
        <v>1</v>
      </c>
      <c r="H975" s="35">
        <v>12</v>
      </c>
      <c r="I975" s="35">
        <f>VENTAS[[#This Row],[Cantidad]]*VENTAS[[#This Row],[Precio Venta]]</f>
        <v>12</v>
      </c>
      <c r="J975" s="35">
        <f>IF(VENTAS[[#This Row],[Nombre del Gestor]]&gt;1,VENTAS[[#This Row],[Total]]*10%,0)</f>
        <v>1.2</v>
      </c>
      <c r="K975" s="35">
        <f>IFERROR(VLOOKUP(VENTAS[[#This Row],[Código del producto Vendido]],STOCK[],16,FALSE)*VENTAS[[#This Row],[Cantidad]]+VLOOKUP(VENTAS[[#This Row],[Código del producto Vendido]],STOCK[],19,FALSE)*VENTAS[[#This Row],[Cantidad]],VENTAS[[#This Row],[Total]])</f>
        <v>5.54</v>
      </c>
      <c r="L975" s="35">
        <f>VENTAS[[#This Row],[Total]]-VENTAS[[#This Row],[Comisión 10%]]-VENTAS[[#This Row],[Costo SIN Comision]]</f>
        <v>5.26</v>
      </c>
      <c r="M975" s="35"/>
    </row>
    <row r="976" ht="20" customHeight="1" spans="1:13">
      <c r="A976" s="29">
        <v>45466</v>
      </c>
      <c r="B976" s="30"/>
      <c r="C976" s="30"/>
      <c r="D976" s="30" t="s">
        <v>3481</v>
      </c>
      <c r="E976" s="30" t="s">
        <v>2172</v>
      </c>
      <c r="F976" s="34" t="str">
        <f>IFERROR(VLOOKUP(VENTAS[[#This Row],[Código del producto Vendido]],STOCK[],5,FALSE),"-")</f>
        <v>Bañador clásico cuello V</v>
      </c>
      <c r="G976" s="34">
        <v>1</v>
      </c>
      <c r="H976" s="35">
        <v>18</v>
      </c>
      <c r="I976" s="35">
        <f>VENTAS[[#This Row],[Cantidad]]*VENTAS[[#This Row],[Precio Venta]]</f>
        <v>18</v>
      </c>
      <c r="J976" s="35">
        <f>IF(VENTAS[[#This Row],[Nombre del Gestor]]&gt;1,VENTAS[[#This Row],[Total]]*10%,0)</f>
        <v>1.8</v>
      </c>
      <c r="K976" s="35">
        <f>IFERROR(VLOOKUP(VENTAS[[#This Row],[Código del producto Vendido]],STOCK[],16,FALSE)*VENTAS[[#This Row],[Cantidad]]+VLOOKUP(VENTAS[[#This Row],[Código del producto Vendido]],STOCK[],19,FALSE)*VENTAS[[#This Row],[Cantidad]],VENTAS[[#This Row],[Total]])</f>
        <v>6.11</v>
      </c>
      <c r="L976" s="35">
        <f>VENTAS[[#This Row],[Total]]-VENTAS[[#This Row],[Comisión 10%]]-VENTAS[[#This Row],[Costo SIN Comision]]</f>
        <v>10.09</v>
      </c>
      <c r="M976" s="35"/>
    </row>
    <row r="977" ht="20" customHeight="1" spans="1:13">
      <c r="A977" s="29">
        <v>45467</v>
      </c>
      <c r="B977" s="30"/>
      <c r="C977" s="30"/>
      <c r="D977" s="30" t="s">
        <v>3481</v>
      </c>
      <c r="E977" s="30" t="s">
        <v>1242</v>
      </c>
      <c r="F977" s="34" t="str">
        <f>IFERROR(VLOOKUP(VENTAS[[#This Row],[Código del producto Vendido]],STOCK[],5,FALSE),"-")</f>
        <v>Pantalón Corte Recto</v>
      </c>
      <c r="G977" s="34">
        <v>1</v>
      </c>
      <c r="H977" s="35">
        <v>25</v>
      </c>
      <c r="I977" s="35">
        <f>VENTAS[[#This Row],[Cantidad]]*VENTAS[[#This Row],[Precio Venta]]</f>
        <v>25</v>
      </c>
      <c r="J977" s="35">
        <f>IF(VENTAS[[#This Row],[Nombre del Gestor]]&gt;1,VENTAS[[#This Row],[Total]]*10%,0)</f>
        <v>2.5</v>
      </c>
      <c r="K977" s="35">
        <f>IFERROR(VLOOKUP(VENTAS[[#This Row],[Código del producto Vendido]],STOCK[],16,FALSE)*VENTAS[[#This Row],[Cantidad]]+VLOOKUP(VENTAS[[#This Row],[Código del producto Vendido]],STOCK[],19,FALSE)*VENTAS[[#This Row],[Cantidad]],VENTAS[[#This Row],[Total]])</f>
        <v>20.78</v>
      </c>
      <c r="L977" s="35">
        <f>VENTAS[[#This Row],[Total]]-VENTAS[[#This Row],[Comisión 10%]]-VENTAS[[#This Row],[Costo SIN Comision]]</f>
        <v>1.72</v>
      </c>
      <c r="M977" s="35"/>
    </row>
    <row r="978" ht="20" customHeight="1" spans="1:13">
      <c r="A978" s="29">
        <v>45468</v>
      </c>
      <c r="B978" s="30"/>
      <c r="C978" s="30"/>
      <c r="D978" s="30" t="s">
        <v>3511</v>
      </c>
      <c r="E978" s="30" t="s">
        <v>1610</v>
      </c>
      <c r="F978" s="34" t="str">
        <f>IFERROR(VLOOKUP(VENTAS[[#This Row],[Código del producto Vendido]],STOCK[],5,FALSE),"-")</f>
        <v>Camisa Modely</v>
      </c>
      <c r="G978" s="34">
        <v>1</v>
      </c>
      <c r="H978" s="35">
        <v>22</v>
      </c>
      <c r="I978" s="35">
        <f>VENTAS[[#This Row],[Cantidad]]*VENTAS[[#This Row],[Precio Venta]]</f>
        <v>22</v>
      </c>
      <c r="J978" s="35">
        <f>IF(VENTAS[[#This Row],[Nombre del Gestor]]&gt;1,VENTAS[[#This Row],[Total]]*10%,0)</f>
        <v>2.2</v>
      </c>
      <c r="K978" s="35">
        <f>IFERROR(VLOOKUP(VENTAS[[#This Row],[Código del producto Vendido]],STOCK[],16,FALSE)*VENTAS[[#This Row],[Cantidad]]+VLOOKUP(VENTAS[[#This Row],[Código del producto Vendido]],STOCK[],19,FALSE)*VENTAS[[#This Row],[Cantidad]],VENTAS[[#This Row],[Total]])</f>
        <v>9.74</v>
      </c>
      <c r="L978" s="35">
        <f>VENTAS[[#This Row],[Total]]-VENTAS[[#This Row],[Comisión 10%]]-VENTAS[[#This Row],[Costo SIN Comision]]</f>
        <v>10.06</v>
      </c>
      <c r="M978" s="35"/>
    </row>
    <row r="979" ht="20" customHeight="1" spans="1:13">
      <c r="A979" s="29">
        <v>45469</v>
      </c>
      <c r="B979" s="30"/>
      <c r="C979" s="30"/>
      <c r="D979" s="30" t="s">
        <v>3512</v>
      </c>
      <c r="E979" s="30" t="s">
        <v>499</v>
      </c>
      <c r="F979" s="34" t="str">
        <f>IFERROR(VLOOKUP(VENTAS[[#This Row],[Código del producto Vendido]],STOCK[],5,FALSE),"-")</f>
        <v>Vestido Bohemio</v>
      </c>
      <c r="G979" s="34">
        <v>1</v>
      </c>
      <c r="H979" s="35">
        <v>20</v>
      </c>
      <c r="I979" s="35">
        <f>VENTAS[[#This Row],[Cantidad]]*VENTAS[[#This Row],[Precio Venta]]</f>
        <v>20</v>
      </c>
      <c r="J979" s="35">
        <f>IF(VENTAS[[#This Row],[Nombre del Gestor]]&gt;1,VENTAS[[#This Row],[Total]]*10%,0)</f>
        <v>2</v>
      </c>
      <c r="K979" s="35">
        <f>IFERROR(VLOOKUP(VENTAS[[#This Row],[Código del producto Vendido]],STOCK[],16,FALSE)*VENTAS[[#This Row],[Cantidad]]+VLOOKUP(VENTAS[[#This Row],[Código del producto Vendido]],STOCK[],19,FALSE)*VENTAS[[#This Row],[Cantidad]],VENTAS[[#This Row],[Total]])</f>
        <v>9.78944444444445</v>
      </c>
      <c r="L979" s="35">
        <f>VENTAS[[#This Row],[Total]]-VENTAS[[#This Row],[Comisión 10%]]-VENTAS[[#This Row],[Costo SIN Comision]]</f>
        <v>8.21055555555555</v>
      </c>
      <c r="M979" s="35"/>
    </row>
    <row r="980" ht="20" customHeight="1" spans="1:13">
      <c r="A980" s="29">
        <v>45470</v>
      </c>
      <c r="B980" s="30"/>
      <c r="C980" s="30"/>
      <c r="D980" s="30" t="s">
        <v>3512</v>
      </c>
      <c r="E980" s="30" t="s">
        <v>1876</v>
      </c>
      <c r="F980" s="34" t="str">
        <f>IFERROR(VLOOKUP(VENTAS[[#This Row],[Código del producto Vendido]],STOCK[],5,FALSE),"-")</f>
        <v>Vestido Chic Primavera</v>
      </c>
      <c r="G980" s="34">
        <v>1</v>
      </c>
      <c r="H980" s="35">
        <v>32</v>
      </c>
      <c r="I980" s="35">
        <f>VENTAS[[#This Row],[Cantidad]]*VENTAS[[#This Row],[Precio Venta]]</f>
        <v>32</v>
      </c>
      <c r="J980" s="35">
        <f>IF(VENTAS[[#This Row],[Nombre del Gestor]]&gt;1,VENTAS[[#This Row],[Total]]*10%,0)</f>
        <v>3.2</v>
      </c>
      <c r="K980" s="35">
        <f>IFERROR(VLOOKUP(VENTAS[[#This Row],[Código del producto Vendido]],STOCK[],16,FALSE)*VENTAS[[#This Row],[Cantidad]]+VLOOKUP(VENTAS[[#This Row],[Código del producto Vendido]],STOCK[],19,FALSE)*VENTAS[[#This Row],[Cantidad]],VENTAS[[#This Row],[Total]])</f>
        <v>19.38</v>
      </c>
      <c r="L980" s="35">
        <f>VENTAS[[#This Row],[Total]]-VENTAS[[#This Row],[Comisión 10%]]-VENTAS[[#This Row],[Costo SIN Comision]]</f>
        <v>9.42</v>
      </c>
      <c r="M980" s="35"/>
    </row>
    <row r="981" ht="20" customHeight="1" spans="1:13">
      <c r="A981" s="29">
        <v>45471</v>
      </c>
      <c r="B981" s="30"/>
      <c r="C981" s="30"/>
      <c r="D981" s="30" t="s">
        <v>3513</v>
      </c>
      <c r="E981" s="30" t="s">
        <v>209</v>
      </c>
      <c r="F981" s="34" t="str">
        <f>IFERROR(VLOOKUP(VENTAS[[#This Row],[Código del producto Vendido]],STOCK[],5,FALSE),"-")</f>
        <v>Maxi vestido de bajo floral</v>
      </c>
      <c r="G981" s="34">
        <v>1</v>
      </c>
      <c r="H981" s="35">
        <v>25</v>
      </c>
      <c r="I981" s="35">
        <f>VENTAS[[#This Row],[Cantidad]]*VENTAS[[#This Row],[Precio Venta]]</f>
        <v>25</v>
      </c>
      <c r="J981" s="35">
        <f>IF(VENTAS[[#This Row],[Nombre del Gestor]]&gt;1,VENTAS[[#This Row],[Total]]*10%,0)</f>
        <v>2.5</v>
      </c>
      <c r="K981" s="35">
        <f>IFERROR(VLOOKUP(VENTAS[[#This Row],[Código del producto Vendido]],STOCK[],16,FALSE)*VENTAS[[#This Row],[Cantidad]]+VLOOKUP(VENTAS[[#This Row],[Código del producto Vendido]],STOCK[],19,FALSE)*VENTAS[[#This Row],[Cantidad]],VENTAS[[#This Row],[Total]])</f>
        <v>14.06</v>
      </c>
      <c r="L981" s="35">
        <f>VENTAS[[#This Row],[Total]]-VENTAS[[#This Row],[Comisión 10%]]-VENTAS[[#This Row],[Costo SIN Comision]]</f>
        <v>8.44</v>
      </c>
      <c r="M981" s="35"/>
    </row>
    <row r="982" ht="20" customHeight="1" spans="1:13">
      <c r="A982" s="29">
        <v>45472</v>
      </c>
      <c r="B982" s="30"/>
      <c r="C982" s="30"/>
      <c r="D982" s="30"/>
      <c r="E982" s="30" t="s">
        <v>694</v>
      </c>
      <c r="F982" s="34" t="str">
        <f>IFERROR(VLOOKUP(VENTAS[[#This Row],[Código del producto Vendido]],STOCK[],5,FALSE),"-")</f>
        <v>Vestido slip cebra</v>
      </c>
      <c r="G982" s="34">
        <v>1</v>
      </c>
      <c r="H982" s="35">
        <v>10</v>
      </c>
      <c r="I982" s="35">
        <f>VENTAS[[#This Row],[Cantidad]]*VENTAS[[#This Row],[Precio Venta]]</f>
        <v>10</v>
      </c>
      <c r="J982" s="35">
        <f>IF(VENTAS[[#This Row],[Nombre del Gestor]]&gt;1,VENTAS[[#This Row],[Total]]*10%,0)</f>
        <v>0</v>
      </c>
      <c r="K982" s="35">
        <f>IFERROR(VLOOKUP(VENTAS[[#This Row],[Código del producto Vendido]],STOCK[],16,FALSE)*VENTAS[[#This Row],[Cantidad]]+VLOOKUP(VENTAS[[#This Row],[Código del producto Vendido]],STOCK[],19,FALSE)*VENTAS[[#This Row],[Cantidad]],VENTAS[[#This Row],[Total]])</f>
        <v>7.10555555555556</v>
      </c>
      <c r="L982" s="35">
        <f>VENTAS[[#This Row],[Total]]-VENTAS[[#This Row],[Comisión 10%]]-VENTAS[[#This Row],[Costo SIN Comision]]</f>
        <v>2.89444444444444</v>
      </c>
      <c r="M982" s="35"/>
    </row>
    <row r="983" ht="20" customHeight="1" spans="1:13">
      <c r="A983" s="29">
        <v>45473</v>
      </c>
      <c r="B983" s="30"/>
      <c r="C983" s="30" t="s">
        <v>3480</v>
      </c>
      <c r="D983" s="30"/>
      <c r="E983" s="30" t="s">
        <v>2380</v>
      </c>
      <c r="F983" s="34" t="str">
        <f>IFERROR(VLOOKUP(VENTAS[[#This Row],[Código del producto Vendido]],STOCK[],5,FALSE),"-")</f>
        <v>Vestido elegante de botones en color sólido</v>
      </c>
      <c r="G983" s="34">
        <v>1</v>
      </c>
      <c r="H983" s="35">
        <v>35</v>
      </c>
      <c r="I983" s="35">
        <f>VENTAS[[#This Row],[Cantidad]]*VENTAS[[#This Row],[Precio Venta]]</f>
        <v>35</v>
      </c>
      <c r="J983" s="35">
        <f>IF(VENTAS[[#This Row],[Nombre del Gestor]]&gt;1,VENTAS[[#This Row],[Total]]*10%,0)</f>
        <v>0</v>
      </c>
      <c r="K983" s="35">
        <f>IFERROR(VLOOKUP(VENTAS[[#This Row],[Código del producto Vendido]],STOCK[],16,FALSE)*VENTAS[[#This Row],[Cantidad]]+VLOOKUP(VENTAS[[#This Row],[Código del producto Vendido]],STOCK[],19,FALSE)*VENTAS[[#This Row],[Cantidad]],VENTAS[[#This Row],[Total]])</f>
        <v>24.609375</v>
      </c>
      <c r="L983" s="35">
        <f>VENTAS[[#This Row],[Total]]-VENTAS[[#This Row],[Comisión 10%]]-VENTAS[[#This Row],[Costo SIN Comision]]</f>
        <v>10.390625</v>
      </c>
      <c r="M983" s="35"/>
    </row>
    <row r="984" ht="20" customHeight="1" spans="1:13">
      <c r="A984" s="29">
        <v>45444</v>
      </c>
      <c r="B984" s="30"/>
      <c r="C984" s="30"/>
      <c r="D984" s="30"/>
      <c r="E984" s="30" t="s">
        <v>207</v>
      </c>
      <c r="F984" s="34" t="str">
        <f>IFERROR(VLOOKUP(VENTAS[[#This Row],[Código del producto Vendido]],STOCK[],5,FALSE),"-")</f>
        <v>Maxi vestido de bajo floral</v>
      </c>
      <c r="G984" s="34">
        <v>1</v>
      </c>
      <c r="H984" s="35">
        <v>25</v>
      </c>
      <c r="I984" s="35">
        <f>VENTAS[[#This Row],[Cantidad]]*VENTAS[[#This Row],[Precio Venta]]</f>
        <v>25</v>
      </c>
      <c r="J984" s="35">
        <f>IF(VENTAS[[#This Row],[Nombre del Gestor]]&gt;1,VENTAS[[#This Row],[Total]]*10%,0)</f>
        <v>0</v>
      </c>
      <c r="K984" s="35">
        <f>IFERROR(VLOOKUP(VENTAS[[#This Row],[Código del producto Vendido]],STOCK[],16,FALSE)*VENTAS[[#This Row],[Cantidad]]+VLOOKUP(VENTAS[[#This Row],[Código del producto Vendido]],STOCK[],19,FALSE)*VENTAS[[#This Row],[Cantidad]],VENTAS[[#This Row],[Total]])</f>
        <v>14.5</v>
      </c>
      <c r="L984" s="35">
        <f>VENTAS[[#This Row],[Total]]-VENTAS[[#This Row],[Comisión 10%]]-VENTAS[[#This Row],[Costo SIN Comision]]</f>
        <v>10.5</v>
      </c>
      <c r="M984" s="35"/>
    </row>
    <row r="985" ht="20" customHeight="1" spans="1:13">
      <c r="A985" s="29">
        <v>45445</v>
      </c>
      <c r="B985" s="30"/>
      <c r="C985" s="30"/>
      <c r="D985" s="30" t="s">
        <v>3506</v>
      </c>
      <c r="E985" s="30" t="s">
        <v>1748</v>
      </c>
      <c r="F985" s="34" t="str">
        <f>IFERROR(VLOOKUP(VENTAS[[#This Row],[Código del producto Vendido]],STOCK[],5,FALSE),"-")</f>
        <v>Traje de baño de mangas estampadas</v>
      </c>
      <c r="G985" s="34">
        <v>1</v>
      </c>
      <c r="H985" s="35">
        <v>25</v>
      </c>
      <c r="I985" s="35">
        <f>VENTAS[[#This Row],[Cantidad]]*VENTAS[[#This Row],[Precio Venta]]</f>
        <v>25</v>
      </c>
      <c r="J985" s="35">
        <f>IF(VENTAS[[#This Row],[Nombre del Gestor]]&gt;1,VENTAS[[#This Row],[Total]]*10%,0)</f>
        <v>2.5</v>
      </c>
      <c r="K985" s="35">
        <f>IFERROR(VLOOKUP(VENTAS[[#This Row],[Código del producto Vendido]],STOCK[],16,FALSE)*VENTAS[[#This Row],[Cantidad]]+VLOOKUP(VENTAS[[#This Row],[Código del producto Vendido]],STOCK[],19,FALSE)*VENTAS[[#This Row],[Cantidad]],VENTAS[[#This Row],[Total]])</f>
        <v>12.4117647058824</v>
      </c>
      <c r="L985" s="35">
        <f>VENTAS[[#This Row],[Total]]-VENTAS[[#This Row],[Comisión 10%]]-VENTAS[[#This Row],[Costo SIN Comision]]</f>
        <v>10.0882352941176</v>
      </c>
      <c r="M985" s="35"/>
    </row>
    <row r="986" ht="20" customHeight="1" spans="1:13">
      <c r="A986" s="29">
        <v>45446</v>
      </c>
      <c r="B986" s="30"/>
      <c r="C986" s="30"/>
      <c r="D986" s="30" t="s">
        <v>3342</v>
      </c>
      <c r="E986" s="30" t="s">
        <v>2155</v>
      </c>
      <c r="F986" s="34" t="str">
        <f>IFERROR(VLOOKUP(VENTAS[[#This Row],[Código del producto Vendido]],STOCK[],5,FALSE),"-")</f>
        <v>Set de bikini estampado de flor de 3 piezas de cintura alta</v>
      </c>
      <c r="G986" s="34">
        <v>1</v>
      </c>
      <c r="H986" s="35">
        <v>25</v>
      </c>
      <c r="I986" s="35">
        <f>VENTAS[[#This Row],[Cantidad]]*VENTAS[[#This Row],[Precio Venta]]</f>
        <v>25</v>
      </c>
      <c r="J986" s="35">
        <f>IF(VENTAS[[#This Row],[Nombre del Gestor]]&gt;1,VENTAS[[#This Row],[Total]]*10%,0)</f>
        <v>2.5</v>
      </c>
      <c r="K986" s="35">
        <f>IFERROR(VLOOKUP(VENTAS[[#This Row],[Código del producto Vendido]],STOCK[],16,FALSE)*VENTAS[[#This Row],[Cantidad]]+VLOOKUP(VENTAS[[#This Row],[Código del producto Vendido]],STOCK[],19,FALSE)*VENTAS[[#This Row],[Cantidad]],VENTAS[[#This Row],[Total]])</f>
        <v>10.43</v>
      </c>
      <c r="L986" s="35">
        <f>VENTAS[[#This Row],[Total]]-VENTAS[[#This Row],[Comisión 10%]]-VENTAS[[#This Row],[Costo SIN Comision]]</f>
        <v>12.07</v>
      </c>
      <c r="M986" s="35"/>
    </row>
    <row r="987" ht="20" customHeight="1" spans="1:13">
      <c r="A987" s="29">
        <v>45447</v>
      </c>
      <c r="B987" s="30"/>
      <c r="C987" s="30"/>
      <c r="D987" s="30" t="s">
        <v>3512</v>
      </c>
      <c r="E987" s="30" t="s">
        <v>2285</v>
      </c>
      <c r="F987" s="34" t="str">
        <f>IFERROR(VLOOKUP(VENTAS[[#This Row],[Código del producto Vendido]],STOCK[],5,FALSE),"-")</f>
        <v>Bolso de lona en bloque de color</v>
      </c>
      <c r="G987" s="34">
        <v>1</v>
      </c>
      <c r="H987" s="35">
        <v>12</v>
      </c>
      <c r="I987" s="35">
        <f>VENTAS[[#This Row],[Cantidad]]*VENTAS[[#This Row],[Precio Venta]]</f>
        <v>12</v>
      </c>
      <c r="J987" s="35">
        <f>IF(VENTAS[[#This Row],[Nombre del Gestor]]&gt;1,VENTAS[[#This Row],[Total]]*10%,0)</f>
        <v>1.2</v>
      </c>
      <c r="K987" s="35">
        <f>IFERROR(VLOOKUP(VENTAS[[#This Row],[Código del producto Vendido]],STOCK[],16,FALSE)*VENTAS[[#This Row],[Cantidad]]+VLOOKUP(VENTAS[[#This Row],[Código del producto Vendido]],STOCK[],19,FALSE)*VENTAS[[#This Row],[Cantidad]],VENTAS[[#This Row],[Total]])</f>
        <v>5.54</v>
      </c>
      <c r="L987" s="35">
        <f>VENTAS[[#This Row],[Total]]-VENTAS[[#This Row],[Comisión 10%]]-VENTAS[[#This Row],[Costo SIN Comision]]</f>
        <v>5.26</v>
      </c>
      <c r="M987" s="35"/>
    </row>
    <row r="988" ht="20" customHeight="1" spans="1:13">
      <c r="A988" s="29">
        <v>45448</v>
      </c>
      <c r="B988" s="30"/>
      <c r="C988" s="30" t="s">
        <v>3480</v>
      </c>
      <c r="D988" s="30"/>
      <c r="E988" s="30" t="s">
        <v>2324</v>
      </c>
      <c r="F988" s="34" t="str">
        <f>IFERROR(VLOOKUP(VENTAS[[#This Row],[Código del producto Vendido]],STOCK[],5,FALSE),"-")</f>
        <v>Pantalón palazzo estiloso</v>
      </c>
      <c r="G988" s="34">
        <v>1</v>
      </c>
      <c r="H988" s="35">
        <v>20</v>
      </c>
      <c r="I988" s="35">
        <f>VENTAS[[#This Row],[Cantidad]]*VENTAS[[#This Row],[Precio Venta]]</f>
        <v>20</v>
      </c>
      <c r="J988" s="35">
        <f>IF(VENTAS[[#This Row],[Nombre del Gestor]]&gt;1,VENTAS[[#This Row],[Total]]*10%,0)</f>
        <v>0</v>
      </c>
      <c r="K988" s="35">
        <f>IFERROR(VLOOKUP(VENTAS[[#This Row],[Código del producto Vendido]],STOCK[],16,FALSE)*VENTAS[[#This Row],[Cantidad]]+VLOOKUP(VENTAS[[#This Row],[Código del producto Vendido]],STOCK[],19,FALSE)*VENTAS[[#This Row],[Cantidad]],VENTAS[[#This Row],[Total]])</f>
        <v>10.914375</v>
      </c>
      <c r="L988" s="35">
        <f>VENTAS[[#This Row],[Total]]-VENTAS[[#This Row],[Comisión 10%]]-VENTAS[[#This Row],[Costo SIN Comision]]</f>
        <v>9.085625</v>
      </c>
      <c r="M988" s="35"/>
    </row>
    <row r="989" ht="20" customHeight="1" spans="1:13">
      <c r="A989" s="29">
        <v>45449</v>
      </c>
      <c r="B989" s="30"/>
      <c r="C989" s="30" t="s">
        <v>3480</v>
      </c>
      <c r="D989" s="30"/>
      <c r="E989" s="30" t="s">
        <v>2372</v>
      </c>
      <c r="F989" s="34" t="str">
        <f>IFERROR(VLOOKUP(VENTAS[[#This Row],[Código del producto Vendido]],STOCK[],5,FALSE),"-")</f>
        <v>Blusa atada al frente de estilo casual</v>
      </c>
      <c r="G989" s="34">
        <v>1</v>
      </c>
      <c r="H989" s="35">
        <v>17</v>
      </c>
      <c r="I989" s="35">
        <f>VENTAS[[#This Row],[Cantidad]]*VENTAS[[#This Row],[Precio Venta]]</f>
        <v>17</v>
      </c>
      <c r="J989" s="35">
        <f>IF(VENTAS[[#This Row],[Nombre del Gestor]]&gt;1,VENTAS[[#This Row],[Total]]*10%,0)</f>
        <v>0</v>
      </c>
      <c r="K989" s="35">
        <f>IFERROR(VLOOKUP(VENTAS[[#This Row],[Código del producto Vendido]],STOCK[],16,FALSE)*VENTAS[[#This Row],[Cantidad]]+VLOOKUP(VENTAS[[#This Row],[Código del producto Vendido]],STOCK[],19,FALSE)*VENTAS[[#This Row],[Cantidad]],VENTAS[[#This Row],[Total]])</f>
        <v>10.821875</v>
      </c>
      <c r="L989" s="35">
        <f>VENTAS[[#This Row],[Total]]-VENTAS[[#This Row],[Comisión 10%]]-VENTAS[[#This Row],[Costo SIN Comision]]</f>
        <v>6.178125</v>
      </c>
      <c r="M989" s="35"/>
    </row>
    <row r="990" ht="20" customHeight="1" spans="1:13">
      <c r="A990" s="29">
        <v>45450</v>
      </c>
      <c r="B990" s="30"/>
      <c r="C990" s="30" t="s">
        <v>3514</v>
      </c>
      <c r="D990" s="30" t="s">
        <v>3512</v>
      </c>
      <c r="E990" s="30" t="s">
        <v>2326</v>
      </c>
      <c r="F990" s="34" t="str">
        <f>IFERROR(VLOOKUP(VENTAS[[#This Row],[Código del producto Vendido]],STOCK[],5,FALSE),"-")</f>
        <v>Pantalón palazzo estiloso</v>
      </c>
      <c r="G990" s="34">
        <v>1</v>
      </c>
      <c r="H990" s="35">
        <v>20</v>
      </c>
      <c r="I990" s="35">
        <f>VENTAS[[#This Row],[Cantidad]]*VENTAS[[#This Row],[Precio Venta]]</f>
        <v>20</v>
      </c>
      <c r="J990" s="35">
        <f>IF(VENTAS[[#This Row],[Nombre del Gestor]]&gt;1,VENTAS[[#This Row],[Total]]*10%,0)</f>
        <v>2</v>
      </c>
      <c r="K990" s="35">
        <f>IFERROR(VLOOKUP(VENTAS[[#This Row],[Código del producto Vendido]],STOCK[],16,FALSE)*VENTAS[[#This Row],[Cantidad]]+VLOOKUP(VENTAS[[#This Row],[Código del producto Vendido]],STOCK[],19,FALSE)*VENTAS[[#This Row],[Cantidad]],VENTAS[[#This Row],[Total]])</f>
        <v>10.914375</v>
      </c>
      <c r="L990" s="35">
        <f>VENTAS[[#This Row],[Total]]-VENTAS[[#This Row],[Comisión 10%]]-VENTAS[[#This Row],[Costo SIN Comision]]</f>
        <v>7.085625</v>
      </c>
      <c r="M990" s="35"/>
    </row>
    <row r="991" ht="20" customHeight="1" spans="1:13">
      <c r="A991" s="29">
        <v>45451</v>
      </c>
      <c r="B991" s="30"/>
      <c r="C991" s="30" t="s">
        <v>3515</v>
      </c>
      <c r="D991" s="30" t="s">
        <v>3462</v>
      </c>
      <c r="E991" s="30" t="s">
        <v>2378</v>
      </c>
      <c r="F991" s="34" t="str">
        <f>IFERROR(VLOOKUP(VENTAS[[#This Row],[Código del producto Vendido]],STOCK[],5,FALSE),"-")</f>
        <v>Vestido elegante de botones en color sólido</v>
      </c>
      <c r="G991" s="34">
        <v>1</v>
      </c>
      <c r="H991" s="35">
        <v>35</v>
      </c>
      <c r="I991" s="35">
        <f>VENTAS[[#This Row],[Cantidad]]*VENTAS[[#This Row],[Precio Venta]]</f>
        <v>35</v>
      </c>
      <c r="J991" s="35">
        <f>IF(VENTAS[[#This Row],[Nombre del Gestor]]&gt;1,VENTAS[[#This Row],[Total]]*10%,0)</f>
        <v>3.5</v>
      </c>
      <c r="K991" s="35">
        <f>IFERROR(VLOOKUP(VENTAS[[#This Row],[Código del producto Vendido]],STOCK[],16,FALSE)*VENTAS[[#This Row],[Cantidad]]+VLOOKUP(VENTAS[[#This Row],[Código del producto Vendido]],STOCK[],19,FALSE)*VENTAS[[#This Row],[Cantidad]],VENTAS[[#This Row],[Total]])</f>
        <v>24.609375</v>
      </c>
      <c r="L991" s="35">
        <f>VENTAS[[#This Row],[Total]]-VENTAS[[#This Row],[Comisión 10%]]-VENTAS[[#This Row],[Costo SIN Comision]]</f>
        <v>6.890625</v>
      </c>
      <c r="M991" s="35"/>
    </row>
    <row r="992" ht="20" customHeight="1" spans="1:13">
      <c r="A992" s="29">
        <v>45452</v>
      </c>
      <c r="B992" s="30"/>
      <c r="C992" s="30" t="s">
        <v>3516</v>
      </c>
      <c r="D992" s="30" t="s">
        <v>3510</v>
      </c>
      <c r="E992" s="30" t="s">
        <v>1671</v>
      </c>
      <c r="F992" s="34" t="str">
        <f>IFERROR(VLOOKUP(VENTAS[[#This Row],[Código del producto Vendido]],STOCK[],5,FALSE),"-")</f>
        <v>Conjunto Beis satinado</v>
      </c>
      <c r="G992" s="34">
        <v>1</v>
      </c>
      <c r="H992" s="35">
        <v>28</v>
      </c>
      <c r="I992" s="35">
        <f>VENTAS[[#This Row],[Cantidad]]*VENTAS[[#This Row],[Precio Venta]]</f>
        <v>28</v>
      </c>
      <c r="J992" s="35">
        <f>IF(VENTAS[[#This Row],[Nombre del Gestor]]&gt;1,VENTAS[[#This Row],[Total]]*10%,0)</f>
        <v>2.8</v>
      </c>
      <c r="K992" s="35">
        <f>IFERROR(VLOOKUP(VENTAS[[#This Row],[Código del producto Vendido]],STOCK[],16,FALSE)*VENTAS[[#This Row],[Cantidad]]+VLOOKUP(VENTAS[[#This Row],[Código del producto Vendido]],STOCK[],19,FALSE)*VENTAS[[#This Row],[Cantidad]],VENTAS[[#This Row],[Total]])</f>
        <v>16.7</v>
      </c>
      <c r="L992" s="35">
        <f>VENTAS[[#This Row],[Total]]-VENTAS[[#This Row],[Comisión 10%]]-VENTAS[[#This Row],[Costo SIN Comision]]</f>
        <v>8.5</v>
      </c>
      <c r="M992" s="35"/>
    </row>
    <row r="993" ht="20" customHeight="1" spans="1:13">
      <c r="A993" s="29">
        <v>45453</v>
      </c>
      <c r="B993" s="30"/>
      <c r="C993" s="30" t="s">
        <v>3516</v>
      </c>
      <c r="D993" s="30" t="s">
        <v>3510</v>
      </c>
      <c r="E993" s="30" t="s">
        <v>1378</v>
      </c>
      <c r="F993" s="34" t="str">
        <f>IFERROR(VLOOKUP(VENTAS[[#This Row],[Código del producto Vendido]],STOCK[],5,FALSE),"-")</f>
        <v>Conjunto Skort &amp; top Floreado</v>
      </c>
      <c r="G993" s="34">
        <v>1</v>
      </c>
      <c r="H993" s="35">
        <v>25</v>
      </c>
      <c r="I993" s="35">
        <f>VENTAS[[#This Row],[Cantidad]]*VENTAS[[#This Row],[Precio Venta]]</f>
        <v>25</v>
      </c>
      <c r="J993" s="35">
        <f>IF(VENTAS[[#This Row],[Nombre del Gestor]]&gt;1,VENTAS[[#This Row],[Total]]*10%,0)</f>
        <v>2.5</v>
      </c>
      <c r="K993" s="35">
        <f>IFERROR(VLOOKUP(VENTAS[[#This Row],[Código del producto Vendido]],STOCK[],16,FALSE)*VENTAS[[#This Row],[Cantidad]]+VLOOKUP(VENTAS[[#This Row],[Código del producto Vendido]],STOCK[],19,FALSE)*VENTAS[[#This Row],[Cantidad]],VENTAS[[#This Row],[Total]])</f>
        <v>15</v>
      </c>
      <c r="L993" s="35">
        <f>VENTAS[[#This Row],[Total]]-VENTAS[[#This Row],[Comisión 10%]]-VENTAS[[#This Row],[Costo SIN Comision]]</f>
        <v>7.5</v>
      </c>
      <c r="M993" s="35"/>
    </row>
    <row r="994" ht="20" customHeight="1" spans="1:13">
      <c r="A994" s="29">
        <v>45454</v>
      </c>
      <c r="B994" s="30"/>
      <c r="C994" s="30" t="s">
        <v>3517</v>
      </c>
      <c r="D994" s="30" t="s">
        <v>3481</v>
      </c>
      <c r="E994" s="30" t="s">
        <v>2108</v>
      </c>
      <c r="F994" s="34" t="str">
        <f>IFERROR(VLOOKUP(VENTAS[[#This Row],[Código del producto Vendido]],STOCK[],5,FALSE),"-")</f>
        <v>The Cat TOTE bag tamaño de Gran Capacidad </v>
      </c>
      <c r="G994" s="34">
        <v>1</v>
      </c>
      <c r="H994" s="35">
        <v>12</v>
      </c>
      <c r="I994" s="35">
        <f>VENTAS[[#This Row],[Cantidad]]*VENTAS[[#This Row],[Precio Venta]]</f>
        <v>12</v>
      </c>
      <c r="J994" s="35">
        <f>IF(VENTAS[[#This Row],[Nombre del Gestor]]&gt;1,VENTAS[[#This Row],[Total]]*10%,0)</f>
        <v>1.2</v>
      </c>
      <c r="K994" s="35">
        <f>IFERROR(VLOOKUP(VENTAS[[#This Row],[Código del producto Vendido]],STOCK[],16,FALSE)*VENTAS[[#This Row],[Cantidad]]+VLOOKUP(VENTAS[[#This Row],[Código del producto Vendido]],STOCK[],19,FALSE)*VENTAS[[#This Row],[Cantidad]],VENTAS[[#This Row],[Total]])</f>
        <v>5.58</v>
      </c>
      <c r="L994" s="35">
        <f>VENTAS[[#This Row],[Total]]-VENTAS[[#This Row],[Comisión 10%]]-VENTAS[[#This Row],[Costo SIN Comision]]</f>
        <v>5.22</v>
      </c>
      <c r="M994" s="35"/>
    </row>
    <row r="995" ht="20" customHeight="1" spans="1:13">
      <c r="A995" s="29">
        <v>45455</v>
      </c>
      <c r="B995" s="30"/>
      <c r="C995" s="30" t="s">
        <v>3518</v>
      </c>
      <c r="D995" s="30" t="s">
        <v>3512</v>
      </c>
      <c r="E995" s="30" t="s">
        <v>1633</v>
      </c>
      <c r="F995" s="34" t="str">
        <f>IFERROR(VLOOKUP(VENTAS[[#This Row],[Código del producto Vendido]],STOCK[],5,FALSE),"-")</f>
        <v>Vestido Privé  </v>
      </c>
      <c r="G995" s="34">
        <v>1</v>
      </c>
      <c r="H995" s="35">
        <v>25</v>
      </c>
      <c r="I995" s="35">
        <f>VENTAS[[#This Row],[Cantidad]]*VENTAS[[#This Row],[Precio Venta]]</f>
        <v>25</v>
      </c>
      <c r="J995" s="35">
        <f>IF(VENTAS[[#This Row],[Nombre del Gestor]]&gt;1,VENTAS[[#This Row],[Total]]*10%,0)</f>
        <v>2.5</v>
      </c>
      <c r="K995" s="35">
        <f>IFERROR(VLOOKUP(VENTAS[[#This Row],[Código del producto Vendido]],STOCK[],16,FALSE)*VENTAS[[#This Row],[Cantidad]]+VLOOKUP(VENTAS[[#This Row],[Código del producto Vendido]],STOCK[],19,FALSE)*VENTAS[[#This Row],[Cantidad]],VENTAS[[#This Row],[Total]])</f>
        <v>11.1</v>
      </c>
      <c r="L995" s="35">
        <f>VENTAS[[#This Row],[Total]]-VENTAS[[#This Row],[Comisión 10%]]-VENTAS[[#This Row],[Costo SIN Comision]]</f>
        <v>11.4</v>
      </c>
      <c r="M995" s="35"/>
    </row>
    <row r="996" ht="20" customHeight="1" spans="1:13">
      <c r="A996" s="29">
        <v>45456</v>
      </c>
      <c r="B996" s="30"/>
      <c r="C996" s="30" t="s">
        <v>3519</v>
      </c>
      <c r="D996" s="30" t="s">
        <v>3481</v>
      </c>
      <c r="E996" s="30" t="s">
        <v>2374</v>
      </c>
      <c r="F996" s="34" t="str">
        <f>IFERROR(VLOOKUP(VENTAS[[#This Row],[Código del producto Vendido]],STOCK[],5,FALSE),"-")</f>
        <v>Vestido elegante de botones en color sólido</v>
      </c>
      <c r="G996" s="34">
        <v>1</v>
      </c>
      <c r="H996" s="35">
        <v>35</v>
      </c>
      <c r="I996" s="35">
        <f>VENTAS[[#This Row],[Cantidad]]*VENTAS[[#This Row],[Precio Venta]]</f>
        <v>35</v>
      </c>
      <c r="J996" s="35">
        <f>IF(VENTAS[[#This Row],[Nombre del Gestor]]&gt;1,VENTAS[[#This Row],[Total]]*10%,0)</f>
        <v>3.5</v>
      </c>
      <c r="K996" s="35">
        <f>IFERROR(VLOOKUP(VENTAS[[#This Row],[Código del producto Vendido]],STOCK[],16,FALSE)*VENTAS[[#This Row],[Cantidad]]+VLOOKUP(VENTAS[[#This Row],[Código del producto Vendido]],STOCK[],19,FALSE)*VENTAS[[#This Row],[Cantidad]],VENTAS[[#This Row],[Total]])</f>
        <v>24.609375</v>
      </c>
      <c r="L996" s="35">
        <f>VENTAS[[#This Row],[Total]]-VENTAS[[#This Row],[Comisión 10%]]-VENTAS[[#This Row],[Costo SIN Comision]]</f>
        <v>6.890625</v>
      </c>
      <c r="M996" s="35"/>
    </row>
    <row r="997" ht="20" customHeight="1" spans="1:13">
      <c r="A997" s="29">
        <v>45457</v>
      </c>
      <c r="B997" s="30"/>
      <c r="C997" s="30" t="s">
        <v>3519</v>
      </c>
      <c r="D997" s="30" t="s">
        <v>3481</v>
      </c>
      <c r="E997" s="30" t="s">
        <v>1607</v>
      </c>
      <c r="F997" s="34" t="str">
        <f>IFERROR(VLOOKUP(VENTAS[[#This Row],[Código del producto Vendido]],STOCK[],5,FALSE),"-")</f>
        <v>Vestido camisero con estampado floral </v>
      </c>
      <c r="G997" s="34">
        <v>1</v>
      </c>
      <c r="H997" s="35">
        <v>35</v>
      </c>
      <c r="I997" s="35">
        <f>VENTAS[[#This Row],[Cantidad]]*VENTAS[[#This Row],[Precio Venta]]</f>
        <v>35</v>
      </c>
      <c r="J997" s="35">
        <f>IF(VENTAS[[#This Row],[Nombre del Gestor]]&gt;1,VENTAS[[#This Row],[Total]]*10%,0)</f>
        <v>3.5</v>
      </c>
      <c r="K997" s="35">
        <f>IFERROR(VLOOKUP(VENTAS[[#This Row],[Código del producto Vendido]],STOCK[],16,FALSE)*VENTAS[[#This Row],[Cantidad]]+VLOOKUP(VENTAS[[#This Row],[Código del producto Vendido]],STOCK[],19,FALSE)*VENTAS[[#This Row],[Cantidad]],VENTAS[[#This Row],[Total]])</f>
        <v>14.84</v>
      </c>
      <c r="L997" s="35">
        <f>VENTAS[[#This Row],[Total]]-VENTAS[[#This Row],[Comisión 10%]]-VENTAS[[#This Row],[Costo SIN Comision]]</f>
        <v>16.66</v>
      </c>
      <c r="M997" s="35"/>
    </row>
    <row r="998" ht="20" customHeight="1" spans="1:13">
      <c r="A998" s="29">
        <v>45458</v>
      </c>
      <c r="B998" s="30"/>
      <c r="C998" s="30" t="s">
        <v>3520</v>
      </c>
      <c r="D998" s="30" t="s">
        <v>3481</v>
      </c>
      <c r="E998" s="30" t="s">
        <v>1165</v>
      </c>
      <c r="F998" s="34" t="str">
        <f>IFERROR(VLOOKUP(VENTAS[[#This Row],[Código del producto Vendido]],STOCK[],5,FALSE),"-")</f>
        <v>Short de mezclilla clara (no elastiza)</v>
      </c>
      <c r="G998" s="34">
        <v>1</v>
      </c>
      <c r="H998" s="35">
        <v>20</v>
      </c>
      <c r="I998" s="35">
        <f>VENTAS[[#This Row],[Cantidad]]*VENTAS[[#This Row],[Precio Venta]]</f>
        <v>20</v>
      </c>
      <c r="J998" s="35">
        <f>IF(VENTAS[[#This Row],[Nombre del Gestor]]&gt;1,VENTAS[[#This Row],[Total]]*10%,0)</f>
        <v>2</v>
      </c>
      <c r="K998" s="35">
        <f>IFERROR(VLOOKUP(VENTAS[[#This Row],[Código del producto Vendido]],STOCK[],16,FALSE)*VENTAS[[#This Row],[Cantidad]]+VLOOKUP(VENTAS[[#This Row],[Código del producto Vendido]],STOCK[],19,FALSE)*VENTAS[[#This Row],[Cantidad]],VENTAS[[#This Row],[Total]])</f>
        <v>14.29</v>
      </c>
      <c r="L998" s="35">
        <f>VENTAS[[#This Row],[Total]]-VENTAS[[#This Row],[Comisión 10%]]-VENTAS[[#This Row],[Costo SIN Comision]]</f>
        <v>3.71</v>
      </c>
      <c r="M998" s="35"/>
    </row>
    <row r="999" ht="20" customHeight="1" spans="1:13">
      <c r="A999" s="29">
        <v>45459</v>
      </c>
      <c r="B999" s="30"/>
      <c r="C999" s="30" t="s">
        <v>3521</v>
      </c>
      <c r="D999" s="30" t="s">
        <v>3481</v>
      </c>
      <c r="E999" s="30" t="s">
        <v>2165</v>
      </c>
      <c r="F999" s="34" t="str">
        <f>IFERROR(VLOOKUP(VENTAS[[#This Row],[Código del producto Vendido]],STOCK[],5,FALSE),"-")</f>
        <v>Bañador en color sólido sexy-elegante </v>
      </c>
      <c r="G999" s="34">
        <v>1</v>
      </c>
      <c r="H999" s="35">
        <v>20</v>
      </c>
      <c r="I999" s="35">
        <f>VENTAS[[#This Row],[Cantidad]]*VENTAS[[#This Row],[Precio Venta]]</f>
        <v>20</v>
      </c>
      <c r="J999" s="35">
        <f>IF(VENTAS[[#This Row],[Nombre del Gestor]]&gt;1,VENTAS[[#This Row],[Total]]*10%,0)</f>
        <v>2</v>
      </c>
      <c r="K999" s="35">
        <f>IFERROR(VLOOKUP(VENTAS[[#This Row],[Código del producto Vendido]],STOCK[],16,FALSE)*VENTAS[[#This Row],[Cantidad]]+VLOOKUP(VENTAS[[#This Row],[Código del producto Vendido]],STOCK[],19,FALSE)*VENTAS[[#This Row],[Cantidad]],VENTAS[[#This Row],[Total]])</f>
        <v>8.24</v>
      </c>
      <c r="L999" s="35">
        <f>VENTAS[[#This Row],[Total]]-VENTAS[[#This Row],[Comisión 10%]]-VENTAS[[#This Row],[Costo SIN Comision]]</f>
        <v>9.76</v>
      </c>
      <c r="M999" s="35"/>
    </row>
    <row r="1000" ht="20" customHeight="1" spans="1:13">
      <c r="A1000" s="29">
        <v>45460</v>
      </c>
      <c r="B1000" s="30"/>
      <c r="C1000" s="30" t="s">
        <v>3522</v>
      </c>
      <c r="D1000" s="30" t="s">
        <v>3512</v>
      </c>
      <c r="E1000" s="30" t="s">
        <v>2134</v>
      </c>
      <c r="F1000" s="34" t="str">
        <f>IFERROR(VLOOKUP(VENTAS[[#This Row],[Código del producto Vendido]],STOCK[],5,FALSE),"-")</f>
        <v>Falda Bohemia de mezclilla de cintura alta con detalles de botón</v>
      </c>
      <c r="G1000" s="34">
        <v>1</v>
      </c>
      <c r="H1000" s="35">
        <v>30</v>
      </c>
      <c r="I1000" s="35">
        <f>VENTAS[[#This Row],[Cantidad]]*VENTAS[[#This Row],[Precio Venta]]</f>
        <v>30</v>
      </c>
      <c r="J1000" s="35">
        <f>IF(VENTAS[[#This Row],[Nombre del Gestor]]&gt;1,VENTAS[[#This Row],[Total]]*10%,0)</f>
        <v>3</v>
      </c>
      <c r="K1000" s="35">
        <f>IFERROR(VLOOKUP(VENTAS[[#This Row],[Código del producto Vendido]],STOCK[],16,FALSE)*VENTAS[[#This Row],[Cantidad]]+VLOOKUP(VENTAS[[#This Row],[Código del producto Vendido]],STOCK[],19,FALSE)*VENTAS[[#This Row],[Cantidad]],VENTAS[[#This Row],[Total]])</f>
        <v>7.05</v>
      </c>
      <c r="L1000" s="35">
        <f>VENTAS[[#This Row],[Total]]-VENTAS[[#This Row],[Comisión 10%]]-VENTAS[[#This Row],[Costo SIN Comision]]</f>
        <v>19.95</v>
      </c>
      <c r="M1000" s="35"/>
    </row>
    <row r="1001" ht="20" customHeight="1" spans="1:13">
      <c r="A1001" s="29">
        <v>45461</v>
      </c>
      <c r="B1001" s="30"/>
      <c r="C1001" s="30" t="s">
        <v>3523</v>
      </c>
      <c r="D1001" s="30" t="s">
        <v>3368</v>
      </c>
      <c r="E1001" s="30" t="s">
        <v>2203</v>
      </c>
      <c r="F1001" s="34" t="str">
        <f>IFERROR(VLOOKUP(VENTAS[[#This Row],[Código del producto Vendido]],STOCK[],5,FALSE),"-")</f>
        <v>Vestido floral verano con abertura</v>
      </c>
      <c r="G1001" s="34">
        <v>1</v>
      </c>
      <c r="H1001" s="35">
        <v>25</v>
      </c>
      <c r="I1001" s="35">
        <f>VENTAS[[#This Row],[Cantidad]]*VENTAS[[#This Row],[Precio Venta]]</f>
        <v>25</v>
      </c>
      <c r="J1001" s="35">
        <f>IF(VENTAS[[#This Row],[Nombre del Gestor]]&gt;1,VENTAS[[#This Row],[Total]]*10%,0)</f>
        <v>2.5</v>
      </c>
      <c r="K1001" s="35">
        <f>IFERROR(VLOOKUP(VENTAS[[#This Row],[Código del producto Vendido]],STOCK[],16,FALSE)*VENTAS[[#This Row],[Cantidad]]+VLOOKUP(VENTAS[[#This Row],[Código del producto Vendido]],STOCK[],19,FALSE)*VENTAS[[#This Row],[Cantidad]],VENTAS[[#This Row],[Total]])</f>
        <v>14.59</v>
      </c>
      <c r="L1001" s="35">
        <f>VENTAS[[#This Row],[Total]]-VENTAS[[#This Row],[Comisión 10%]]-VENTAS[[#This Row],[Costo SIN Comision]]</f>
        <v>7.91</v>
      </c>
      <c r="M1001" s="35"/>
    </row>
    <row r="1002" ht="20" customHeight="1" spans="1:13">
      <c r="A1002" s="29">
        <v>45462</v>
      </c>
      <c r="B1002" s="30"/>
      <c r="C1002" s="30" t="s">
        <v>3354</v>
      </c>
      <c r="D1002" s="30" t="s">
        <v>3524</v>
      </c>
      <c r="E1002" s="30" t="s">
        <v>969</v>
      </c>
      <c r="F1002" s="34" t="str">
        <f>IFERROR(VLOOKUP(VENTAS[[#This Row],[Código del producto Vendido]],STOCK[],5,FALSE),"-")</f>
        <v> Top Básico Business</v>
      </c>
      <c r="G1002" s="34">
        <v>1</v>
      </c>
      <c r="H1002" s="35">
        <v>10</v>
      </c>
      <c r="I1002" s="35">
        <f>VENTAS[[#This Row],[Cantidad]]*VENTAS[[#This Row],[Precio Venta]]</f>
        <v>10</v>
      </c>
      <c r="J1002" s="35">
        <f>IF(VENTAS[[#This Row],[Nombre del Gestor]]&gt;1,VENTAS[[#This Row],[Total]]*10%,0)</f>
        <v>1</v>
      </c>
      <c r="K1002" s="35">
        <f>IFERROR(VLOOKUP(VENTAS[[#This Row],[Código del producto Vendido]],STOCK[],16,FALSE)*VENTAS[[#This Row],[Cantidad]]+VLOOKUP(VENTAS[[#This Row],[Código del producto Vendido]],STOCK[],19,FALSE)*VENTAS[[#This Row],[Cantidad]],VENTAS[[#This Row],[Total]])</f>
        <v>6.78409090909091</v>
      </c>
      <c r="L1002" s="35">
        <f>VENTAS[[#This Row],[Total]]-VENTAS[[#This Row],[Comisión 10%]]-VENTAS[[#This Row],[Costo SIN Comision]]</f>
        <v>2.21590909090909</v>
      </c>
      <c r="M1002" s="35"/>
    </row>
    <row r="1003" ht="20" customHeight="1" spans="1:13">
      <c r="A1003" s="29">
        <v>45463</v>
      </c>
      <c r="B1003" s="30"/>
      <c r="C1003" s="30" t="s">
        <v>3354</v>
      </c>
      <c r="D1003" s="30" t="s">
        <v>3524</v>
      </c>
      <c r="E1003" s="30" t="s">
        <v>991</v>
      </c>
      <c r="F1003" s="34" t="str">
        <f>IFERROR(VLOOKUP(VENTAS[[#This Row],[Código del producto Vendido]],STOCK[],5,FALSE),"-")</f>
        <v> Top Básico Business </v>
      </c>
      <c r="G1003" s="34">
        <v>1</v>
      </c>
      <c r="H1003" s="35">
        <v>10</v>
      </c>
      <c r="I1003" s="35">
        <f>VENTAS[[#This Row],[Cantidad]]*VENTAS[[#This Row],[Precio Venta]]</f>
        <v>10</v>
      </c>
      <c r="J1003" s="35">
        <f>IF(VENTAS[[#This Row],[Nombre del Gestor]]&gt;1,VENTAS[[#This Row],[Total]]*10%,0)</f>
        <v>1</v>
      </c>
      <c r="K1003" s="35">
        <f>IFERROR(VLOOKUP(VENTAS[[#This Row],[Código del producto Vendido]],STOCK[],16,FALSE)*VENTAS[[#This Row],[Cantidad]]+VLOOKUP(VENTAS[[#This Row],[Código del producto Vendido]],STOCK[],19,FALSE)*VENTAS[[#This Row],[Cantidad]],VENTAS[[#This Row],[Total]])</f>
        <v>7.37954545454545</v>
      </c>
      <c r="L1003" s="35">
        <f>VENTAS[[#This Row],[Total]]-VENTAS[[#This Row],[Comisión 10%]]-VENTAS[[#This Row],[Costo SIN Comision]]</f>
        <v>1.62045454545455</v>
      </c>
      <c r="M1003" s="35"/>
    </row>
    <row r="1004" ht="20" customHeight="1" spans="1:13">
      <c r="A1004" s="29">
        <v>45464</v>
      </c>
      <c r="B1004" s="30"/>
      <c r="C1004" s="30" t="s">
        <v>3354</v>
      </c>
      <c r="D1004" s="30" t="s">
        <v>3524</v>
      </c>
      <c r="E1004" s="30" t="s">
        <v>2163</v>
      </c>
      <c r="F1004" s="34" t="str">
        <f>IFERROR(VLOOKUP(VENTAS[[#This Row],[Código del producto Vendido]],STOCK[],5,FALSE),"-")</f>
        <v>Bañador en color sólido sexy-elegante </v>
      </c>
      <c r="G1004" s="34">
        <v>1</v>
      </c>
      <c r="H1004" s="35">
        <v>20</v>
      </c>
      <c r="I1004" s="35">
        <f>VENTAS[[#This Row],[Cantidad]]*VENTAS[[#This Row],[Precio Venta]]</f>
        <v>20</v>
      </c>
      <c r="J1004" s="35">
        <f>IF(VENTAS[[#This Row],[Nombre del Gestor]]&gt;1,VENTAS[[#This Row],[Total]]*10%,0)</f>
        <v>2</v>
      </c>
      <c r="K1004" s="35">
        <f>IFERROR(VLOOKUP(VENTAS[[#This Row],[Código del producto Vendido]],STOCK[],16,FALSE)*VENTAS[[#This Row],[Cantidad]]+VLOOKUP(VENTAS[[#This Row],[Código del producto Vendido]],STOCK[],19,FALSE)*VENTAS[[#This Row],[Cantidad]],VENTAS[[#This Row],[Total]])</f>
        <v>8.24</v>
      </c>
      <c r="L1004" s="35">
        <f>VENTAS[[#This Row],[Total]]-VENTAS[[#This Row],[Comisión 10%]]-VENTAS[[#This Row],[Costo SIN Comision]]</f>
        <v>9.76</v>
      </c>
      <c r="M1004" s="35"/>
    </row>
    <row r="1005" ht="20" customHeight="1" spans="1:13">
      <c r="A1005" s="29">
        <v>45465</v>
      </c>
      <c r="B1005" s="30"/>
      <c r="C1005" s="30" t="s">
        <v>3321</v>
      </c>
      <c r="D1005" s="30" t="s">
        <v>3524</v>
      </c>
      <c r="E1005" s="30" t="s">
        <v>2251</v>
      </c>
      <c r="F1005" s="34" t="str">
        <f>IFERROR(VLOOKUP(VENTAS[[#This Row],[Código del producto Vendido]],STOCK[],5,FALSE),"-")</f>
        <v>Bikini de cintura alta estampado clásico</v>
      </c>
      <c r="G1005" s="34">
        <v>1</v>
      </c>
      <c r="H1005" s="35">
        <v>20</v>
      </c>
      <c r="I1005" s="35">
        <f>VENTAS[[#This Row],[Cantidad]]*VENTAS[[#This Row],[Precio Venta]]</f>
        <v>20</v>
      </c>
      <c r="J1005" s="35">
        <f>IF(VENTAS[[#This Row],[Nombre del Gestor]]&gt;1,VENTAS[[#This Row],[Total]]*10%,0)</f>
        <v>2</v>
      </c>
      <c r="K1005" s="35">
        <f>IFERROR(VLOOKUP(VENTAS[[#This Row],[Código del producto Vendido]],STOCK[],16,FALSE)*VENTAS[[#This Row],[Cantidad]]+VLOOKUP(VENTAS[[#This Row],[Código del producto Vendido]],STOCK[],19,FALSE)*VENTAS[[#This Row],[Cantidad]],VENTAS[[#This Row],[Total]])</f>
        <v>8.66</v>
      </c>
      <c r="L1005" s="35">
        <f>VENTAS[[#This Row],[Total]]-VENTAS[[#This Row],[Comisión 10%]]-VENTAS[[#This Row],[Costo SIN Comision]]</f>
        <v>9.34</v>
      </c>
      <c r="M1005" s="35"/>
    </row>
    <row r="1006" ht="20" customHeight="1" spans="1:13">
      <c r="A1006" s="29">
        <v>45473</v>
      </c>
      <c r="B1006" s="30"/>
      <c r="C1006" s="30" t="s">
        <v>3525</v>
      </c>
      <c r="D1006" s="30" t="s">
        <v>3526</v>
      </c>
      <c r="E1006" s="30" t="s">
        <v>1913</v>
      </c>
      <c r="F1006" s="34" t="str">
        <f>IFERROR(VLOOKUP(VENTAS[[#This Row],[Código del producto Vendido]],STOCK[],5,FALSE),"-")</f>
        <v>Gafas de Sol Retro Negro</v>
      </c>
      <c r="G1006" s="34">
        <v>1</v>
      </c>
      <c r="H1006" s="35">
        <v>8</v>
      </c>
      <c r="I1006" s="35">
        <f>VENTAS[[#This Row],[Cantidad]]*VENTAS[[#This Row],[Precio Venta]]</f>
        <v>8</v>
      </c>
      <c r="J1006" s="35">
        <f>IF(VENTAS[[#This Row],[Nombre del Gestor]]&gt;1,VENTAS[[#This Row],[Total]]*10%,0)</f>
        <v>0.8</v>
      </c>
      <c r="K1006" s="35">
        <f>IFERROR(VLOOKUP(VENTAS[[#This Row],[Código del producto Vendido]],STOCK[],16,FALSE)*VENTAS[[#This Row],[Cantidad]]+VLOOKUP(VENTAS[[#This Row],[Código del producto Vendido]],STOCK[],19,FALSE)*VENTAS[[#This Row],[Cantidad]],VENTAS[[#This Row],[Total]])</f>
        <v>4.86</v>
      </c>
      <c r="L1006" s="35">
        <f>VENTAS[[#This Row],[Total]]-VENTAS[[#This Row],[Comisión 10%]]-VENTAS[[#This Row],[Costo SIN Comision]]</f>
        <v>2.34</v>
      </c>
      <c r="M1006" s="35"/>
    </row>
    <row r="1007" ht="20" customHeight="1" spans="1:13">
      <c r="A1007" s="29">
        <v>45473</v>
      </c>
      <c r="B1007" s="30"/>
      <c r="C1007" s="30" t="s">
        <v>3527</v>
      </c>
      <c r="D1007" s="30" t="s">
        <v>3451</v>
      </c>
      <c r="E1007" s="30" t="s">
        <v>1816</v>
      </c>
      <c r="F1007" s="34" t="str">
        <f>IFERROR(VLOOKUP(VENTAS[[#This Row],[Código del producto Vendido]],STOCK[],5,FALSE),"-")</f>
        <v>Vestido Midi Elegante</v>
      </c>
      <c r="G1007" s="34">
        <v>1</v>
      </c>
      <c r="H1007" s="35">
        <v>22</v>
      </c>
      <c r="I1007" s="35">
        <f>VENTAS[[#This Row],[Cantidad]]*VENTAS[[#This Row],[Precio Venta]]</f>
        <v>22</v>
      </c>
      <c r="J1007" s="35">
        <f>IF(VENTAS[[#This Row],[Nombre del Gestor]]&gt;1,VENTAS[[#This Row],[Total]]*10%,0)</f>
        <v>2.2</v>
      </c>
      <c r="K1007" s="35">
        <f>IFERROR(VLOOKUP(VENTAS[[#This Row],[Código del producto Vendido]],STOCK[],16,FALSE)*VENTAS[[#This Row],[Cantidad]]+VLOOKUP(VENTAS[[#This Row],[Código del producto Vendido]],STOCK[],19,FALSE)*VENTAS[[#This Row],[Cantidad]],VENTAS[[#This Row],[Total]])</f>
        <v>10.79</v>
      </c>
      <c r="L1007" s="35">
        <f>VENTAS[[#This Row],[Total]]-VENTAS[[#This Row],[Comisión 10%]]-VENTAS[[#This Row],[Costo SIN Comision]]</f>
        <v>9.01</v>
      </c>
      <c r="M1007" s="35"/>
    </row>
    <row r="1008" ht="20" customHeight="1" spans="1:13">
      <c r="A1008" s="29">
        <v>45473</v>
      </c>
      <c r="B1008" s="30"/>
      <c r="C1008" s="30" t="s">
        <v>3527</v>
      </c>
      <c r="D1008" s="30" t="s">
        <v>3451</v>
      </c>
      <c r="E1008" s="30" t="s">
        <v>1845</v>
      </c>
      <c r="F1008" s="34" t="str">
        <f>IFERROR(VLOOKUP(VENTAS[[#This Row],[Código del producto Vendido]],STOCK[],5,FALSE),"-")</f>
        <v>Crossbody Bag con hebilla</v>
      </c>
      <c r="G1008" s="34">
        <v>1</v>
      </c>
      <c r="H1008" s="35">
        <v>25</v>
      </c>
      <c r="I1008" s="35">
        <f>VENTAS[[#This Row],[Cantidad]]*VENTAS[[#This Row],[Precio Venta]]</f>
        <v>25</v>
      </c>
      <c r="J1008" s="35">
        <f>IF(VENTAS[[#This Row],[Nombre del Gestor]]&gt;1,VENTAS[[#This Row],[Total]]*10%,0)</f>
        <v>2.5</v>
      </c>
      <c r="K1008" s="35">
        <f>IFERROR(VLOOKUP(VENTAS[[#This Row],[Código del producto Vendido]],STOCK[],16,FALSE)*VENTAS[[#This Row],[Cantidad]]+VLOOKUP(VENTAS[[#This Row],[Código del producto Vendido]],STOCK[],19,FALSE)*VENTAS[[#This Row],[Cantidad]],VENTAS[[#This Row],[Total]])</f>
        <v>13.29</v>
      </c>
      <c r="L1008" s="35">
        <f>VENTAS[[#This Row],[Total]]-VENTAS[[#This Row],[Comisión 10%]]-VENTAS[[#This Row],[Costo SIN Comision]]</f>
        <v>9.21</v>
      </c>
      <c r="M1008" s="35"/>
    </row>
    <row r="1009" ht="20" customHeight="1" spans="1:13">
      <c r="A1009" s="29">
        <v>45444</v>
      </c>
      <c r="B1009" s="30"/>
      <c r="C1009" s="30" t="s">
        <v>3528</v>
      </c>
      <c r="D1009" s="30" t="s">
        <v>3380</v>
      </c>
      <c r="E1009" s="30" t="s">
        <v>1619</v>
      </c>
      <c r="F1009" s="34" t="str">
        <f>IFERROR(VLOOKUP(VENTAS[[#This Row],[Código del producto Vendido]],STOCK[],5,FALSE),"-")</f>
        <v>Vestido Becka</v>
      </c>
      <c r="G1009" s="34">
        <v>1</v>
      </c>
      <c r="H1009" s="35">
        <v>25</v>
      </c>
      <c r="I1009" s="35">
        <f>VENTAS[[#This Row],[Cantidad]]*VENTAS[[#This Row],[Precio Venta]]</f>
        <v>25</v>
      </c>
      <c r="J1009" s="35">
        <f>IF(VENTAS[[#This Row],[Nombre del Gestor]]&gt;1,VENTAS[[#This Row],[Total]]*10%,0)</f>
        <v>2.5</v>
      </c>
      <c r="K1009" s="35">
        <f>IFERROR(VLOOKUP(VENTAS[[#This Row],[Código del producto Vendido]],STOCK[],16,FALSE)*VENTAS[[#This Row],[Cantidad]]+VLOOKUP(VENTAS[[#This Row],[Código del producto Vendido]],STOCK[],19,FALSE)*VENTAS[[#This Row],[Cantidad]],VENTAS[[#This Row],[Total]])</f>
        <v>12.4</v>
      </c>
      <c r="L1009" s="35">
        <f>VENTAS[[#This Row],[Total]]-VENTAS[[#This Row],[Comisión 10%]]-VENTAS[[#This Row],[Costo SIN Comision]]</f>
        <v>10.1</v>
      </c>
      <c r="M1009" s="35"/>
    </row>
    <row r="1010" ht="20" customHeight="1" spans="1:13">
      <c r="A1010" s="29">
        <v>45474</v>
      </c>
      <c r="B1010" s="30"/>
      <c r="C1010" s="30" t="s">
        <v>3529</v>
      </c>
      <c r="D1010" s="30" t="s">
        <v>3512</v>
      </c>
      <c r="E1010" s="30" t="s">
        <v>2328</v>
      </c>
      <c r="F1010" s="34" t="str">
        <f>IFERROR(VLOOKUP(VENTAS[[#This Row],[Código del producto Vendido]],STOCK[],5,FALSE),"-")</f>
        <v>Pantalón palazzo estiloso</v>
      </c>
      <c r="G1010" s="34">
        <v>1</v>
      </c>
      <c r="H1010" s="35">
        <v>20</v>
      </c>
      <c r="I1010" s="35">
        <f>VENTAS[[#This Row],[Cantidad]]*VENTAS[[#This Row],[Precio Venta]]</f>
        <v>20</v>
      </c>
      <c r="J1010" s="35">
        <f>IF(VENTAS[[#This Row],[Nombre del Gestor]]&gt;1,VENTAS[[#This Row],[Total]]*10%,0)</f>
        <v>2</v>
      </c>
      <c r="K1010" s="35">
        <f>IFERROR(VLOOKUP(VENTAS[[#This Row],[Código del producto Vendido]],STOCK[],16,FALSE)*VENTAS[[#This Row],[Cantidad]]+VLOOKUP(VENTAS[[#This Row],[Código del producto Vendido]],STOCK[],19,FALSE)*VENTAS[[#This Row],[Cantidad]],VENTAS[[#This Row],[Total]])</f>
        <v>10.914375</v>
      </c>
      <c r="L1010" s="35">
        <f>VENTAS[[#This Row],[Total]]-VENTAS[[#This Row],[Comisión 10%]]-VENTAS[[#This Row],[Costo SIN Comision]]</f>
        <v>7.085625</v>
      </c>
      <c r="M1010" s="35"/>
    </row>
    <row r="1011" ht="20" customHeight="1" spans="1:13">
      <c r="A1011" s="29">
        <v>45474</v>
      </c>
      <c r="B1011" s="30"/>
      <c r="C1011" s="30" t="s">
        <v>3530</v>
      </c>
      <c r="D1011" s="30" t="s">
        <v>3512</v>
      </c>
      <c r="E1011" s="30" t="s">
        <v>986</v>
      </c>
      <c r="F1011" s="34" t="str">
        <f>IFERROR(VLOOKUP(VENTAS[[#This Row],[Código del producto Vendido]],STOCK[],5,FALSE),"-")</f>
        <v>Vestido con doble abertura</v>
      </c>
      <c r="G1011" s="34">
        <v>1</v>
      </c>
      <c r="H1011" s="35">
        <v>20</v>
      </c>
      <c r="I1011" s="35">
        <f>VENTAS[[#This Row],[Cantidad]]*VENTAS[[#This Row],[Precio Venta]]</f>
        <v>20</v>
      </c>
      <c r="J1011" s="35">
        <f>IF(VENTAS[[#This Row],[Nombre del Gestor]]&gt;1,VENTAS[[#This Row],[Total]]*10%,0)</f>
        <v>2</v>
      </c>
      <c r="K1011" s="35">
        <f>IFERROR(VLOOKUP(VENTAS[[#This Row],[Código del producto Vendido]],STOCK[],16,FALSE)*VENTAS[[#This Row],[Cantidad]]+VLOOKUP(VENTAS[[#This Row],[Código del producto Vendido]],STOCK[],19,FALSE)*VENTAS[[#This Row],[Cantidad]],VENTAS[[#This Row],[Total]])</f>
        <v>15.5277272727273</v>
      </c>
      <c r="L1011" s="35">
        <f>VENTAS[[#This Row],[Total]]-VENTAS[[#This Row],[Comisión 10%]]-VENTAS[[#This Row],[Costo SIN Comision]]</f>
        <v>2.4722727272727</v>
      </c>
      <c r="M1011" s="35"/>
    </row>
    <row r="1012" ht="20" customHeight="1" spans="1:13">
      <c r="A1012" s="29">
        <v>45475</v>
      </c>
      <c r="B1012" s="30"/>
      <c r="C1012" s="30"/>
      <c r="D1012" s="30" t="s">
        <v>3505</v>
      </c>
      <c r="E1012" s="30" t="s">
        <v>1171</v>
      </c>
      <c r="F1012" s="34" t="str">
        <f>IFERROR(VLOOKUP(VENTAS[[#This Row],[Código del producto Vendido]],STOCK[],5,FALSE),"-")</f>
        <v>Vestido camisero con estampado y cinturón </v>
      </c>
      <c r="G1012" s="34">
        <v>1</v>
      </c>
      <c r="H1012" s="35">
        <v>28</v>
      </c>
      <c r="I1012" s="35">
        <f>VENTAS[[#This Row],[Cantidad]]*VENTAS[[#This Row],[Precio Venta]]</f>
        <v>28</v>
      </c>
      <c r="J1012" s="35">
        <f>IF(VENTAS[[#This Row],[Nombre del Gestor]]&gt;1,VENTAS[[#This Row],[Total]]*10%,0)</f>
        <v>2.8</v>
      </c>
      <c r="K1012" s="35">
        <f>IFERROR(VLOOKUP(VENTAS[[#This Row],[Código del producto Vendido]],STOCK[],16,FALSE)*VENTAS[[#This Row],[Cantidad]]+VLOOKUP(VENTAS[[#This Row],[Código del producto Vendido]],STOCK[],19,FALSE)*VENTAS[[#This Row],[Cantidad]],VENTAS[[#This Row],[Total]])</f>
        <v>17.65</v>
      </c>
      <c r="L1012" s="35">
        <f>VENTAS[[#This Row],[Total]]-VENTAS[[#This Row],[Comisión 10%]]-VENTAS[[#This Row],[Costo SIN Comision]]</f>
        <v>7.55</v>
      </c>
      <c r="M1012" s="35"/>
    </row>
    <row r="1013" ht="20" customHeight="1" spans="1:13">
      <c r="A1013" s="29">
        <v>45475</v>
      </c>
      <c r="B1013" s="30"/>
      <c r="C1013" s="30" t="s">
        <v>3531</v>
      </c>
      <c r="D1013" s="30" t="s">
        <v>3342</v>
      </c>
      <c r="E1013" s="30" t="s">
        <v>1231</v>
      </c>
      <c r="F1013" s="34" t="str">
        <f>IFERROR(VLOOKUP(VENTAS[[#This Row],[Código del producto Vendido]],STOCK[],5,FALSE),"-")</f>
        <v>Short elegante de pierna ancha con doblez </v>
      </c>
      <c r="G1013" s="34">
        <v>1</v>
      </c>
      <c r="H1013" s="35">
        <v>22</v>
      </c>
      <c r="I1013" s="35">
        <f>VENTAS[[#This Row],[Cantidad]]*VENTAS[[#This Row],[Precio Venta]]</f>
        <v>22</v>
      </c>
      <c r="J1013" s="35">
        <f>IF(VENTAS[[#This Row],[Nombre del Gestor]]&gt;1,VENTAS[[#This Row],[Total]]*10%,0)</f>
        <v>2.2</v>
      </c>
      <c r="K1013" s="35">
        <f>IFERROR(VLOOKUP(VENTAS[[#This Row],[Código del producto Vendido]],STOCK[],16,FALSE)*VENTAS[[#This Row],[Cantidad]]+VLOOKUP(VENTAS[[#This Row],[Código del producto Vendido]],STOCK[],19,FALSE)*VENTAS[[#This Row],[Cantidad]],VENTAS[[#This Row],[Total]])</f>
        <v>14.37</v>
      </c>
      <c r="L1013" s="35">
        <f>VENTAS[[#This Row],[Total]]-VENTAS[[#This Row],[Comisión 10%]]-VENTAS[[#This Row],[Costo SIN Comision]]</f>
        <v>5.43</v>
      </c>
      <c r="M1013" s="35"/>
    </row>
    <row r="1014" ht="20" customHeight="1" spans="1:13">
      <c r="A1014" s="29">
        <v>45475</v>
      </c>
      <c r="B1014" s="30"/>
      <c r="C1014" s="30" t="s">
        <v>3531</v>
      </c>
      <c r="D1014" s="30" t="s">
        <v>3342</v>
      </c>
      <c r="E1014" s="30" t="s">
        <v>1740</v>
      </c>
      <c r="F1014" s="34" t="str">
        <f>IFERROR(VLOOKUP(VENTAS[[#This Row],[Código del producto Vendido]],STOCK[],5,FALSE),"-")</f>
        <v>Kimono Dazy Elegante</v>
      </c>
      <c r="G1014" s="34">
        <v>1</v>
      </c>
      <c r="H1014" s="35">
        <v>22</v>
      </c>
      <c r="I1014" s="35">
        <f>VENTAS[[#This Row],[Cantidad]]*VENTAS[[#This Row],[Precio Venta]]</f>
        <v>22</v>
      </c>
      <c r="J1014" s="35">
        <f>IF(VENTAS[[#This Row],[Nombre del Gestor]]&gt;1,VENTAS[[#This Row],[Total]]*10%,0)</f>
        <v>2.2</v>
      </c>
      <c r="K1014" s="35">
        <f>IFERROR(VLOOKUP(VENTAS[[#This Row],[Código del producto Vendido]],STOCK[],16,FALSE)*VENTAS[[#This Row],[Cantidad]]+VLOOKUP(VENTAS[[#This Row],[Código del producto Vendido]],STOCK[],19,FALSE)*VENTAS[[#This Row],[Cantidad]],VENTAS[[#This Row],[Total]])</f>
        <v>13.3529411764706</v>
      </c>
      <c r="L1014" s="35">
        <f>VENTAS[[#This Row],[Total]]-VENTAS[[#This Row],[Comisión 10%]]-VENTAS[[#This Row],[Costo SIN Comision]]</f>
        <v>6.44705882352941</v>
      </c>
      <c r="M1014" s="35"/>
    </row>
    <row r="1015" ht="20" customHeight="1" spans="1:13">
      <c r="A1015" s="29">
        <v>45475</v>
      </c>
      <c r="B1015" s="30"/>
      <c r="C1015" s="30"/>
      <c r="D1015" s="30" t="s">
        <v>3481</v>
      </c>
      <c r="E1015" s="30" t="s">
        <v>1003</v>
      </c>
      <c r="F1015" s="34" t="str">
        <f>IFERROR(VLOOKUP(VENTAS[[#This Row],[Código del producto Vendido]],STOCK[],5,FALSE),"-")</f>
        <v>Vestido frenchy de puntos</v>
      </c>
      <c r="G1015" s="34">
        <v>1</v>
      </c>
      <c r="H1015" s="35">
        <v>25</v>
      </c>
      <c r="I1015" s="35">
        <f>VENTAS[[#This Row],[Cantidad]]*VENTAS[[#This Row],[Precio Venta]]</f>
        <v>25</v>
      </c>
      <c r="J1015" s="35">
        <f>IF(VENTAS[[#This Row],[Nombre del Gestor]]&gt;1,VENTAS[[#This Row],[Total]]*10%,0)</f>
        <v>2.5</v>
      </c>
      <c r="K1015" s="35">
        <f>IFERROR(VLOOKUP(VENTAS[[#This Row],[Código del producto Vendido]],STOCK[],16,FALSE)*VENTAS[[#This Row],[Cantidad]]+VLOOKUP(VENTAS[[#This Row],[Código del producto Vendido]],STOCK[],19,FALSE)*VENTAS[[#This Row],[Cantidad]],VENTAS[[#This Row],[Total]])</f>
        <v>15.3272727272727</v>
      </c>
      <c r="L1015" s="35">
        <f>VENTAS[[#This Row],[Total]]-VENTAS[[#This Row],[Comisión 10%]]-VENTAS[[#This Row],[Costo SIN Comision]]</f>
        <v>7.1727272727273</v>
      </c>
      <c r="M1015" s="35"/>
    </row>
    <row r="1016" ht="20" customHeight="1" spans="1:13">
      <c r="A1016" s="29">
        <v>45475</v>
      </c>
      <c r="B1016" s="30"/>
      <c r="C1016" s="30"/>
      <c r="D1016" s="30" t="s">
        <v>3481</v>
      </c>
      <c r="E1016" s="30" t="s">
        <v>1212</v>
      </c>
      <c r="F1016" s="34" t="str">
        <f>IFERROR(VLOOKUP(VENTAS[[#This Row],[Código del producto Vendido]],STOCK[],5,FALSE),"-")</f>
        <v>Falda negra con flores y abertura</v>
      </c>
      <c r="G1016" s="34">
        <v>1</v>
      </c>
      <c r="H1016" s="35">
        <v>18</v>
      </c>
      <c r="I1016" s="35">
        <f>VENTAS[[#This Row],[Cantidad]]*VENTAS[[#This Row],[Precio Venta]]</f>
        <v>18</v>
      </c>
      <c r="J1016" s="35">
        <f>IF(VENTAS[[#This Row],[Nombre del Gestor]]&gt;1,VENTAS[[#This Row],[Total]]*10%,0)</f>
        <v>1.8</v>
      </c>
      <c r="K1016" s="35">
        <f>IFERROR(VLOOKUP(VENTAS[[#This Row],[Código del producto Vendido]],STOCK[],16,FALSE)*VENTAS[[#This Row],[Cantidad]]+VLOOKUP(VENTAS[[#This Row],[Código del producto Vendido]],STOCK[],19,FALSE)*VENTAS[[#This Row],[Cantidad]],VENTAS[[#This Row],[Total]])</f>
        <v>10.77</v>
      </c>
      <c r="L1016" s="35">
        <f>VENTAS[[#This Row],[Total]]-VENTAS[[#This Row],[Comisión 10%]]-VENTAS[[#This Row],[Costo SIN Comision]]</f>
        <v>5.43</v>
      </c>
      <c r="M1016" s="35"/>
    </row>
    <row r="1017" ht="20" customHeight="1" spans="1:13">
      <c r="A1017" s="29">
        <v>45475</v>
      </c>
      <c r="B1017" s="30"/>
      <c r="C1017" s="30"/>
      <c r="D1017" s="30" t="s">
        <v>3481</v>
      </c>
      <c r="E1017" s="30" t="s">
        <v>1168</v>
      </c>
      <c r="F1017" s="34" t="str">
        <f>IFERROR(VLOOKUP(VENTAS[[#This Row],[Código del producto Vendido]],STOCK[],5,FALSE),"-")</f>
        <v>Pullover Dazy cuello redondo Blanco</v>
      </c>
      <c r="G1017" s="34">
        <v>1</v>
      </c>
      <c r="H1017" s="35">
        <v>13</v>
      </c>
      <c r="I1017" s="35">
        <f>VENTAS[[#This Row],[Cantidad]]*VENTAS[[#This Row],[Precio Venta]]</f>
        <v>13</v>
      </c>
      <c r="J1017" s="35">
        <f>IF(VENTAS[[#This Row],[Nombre del Gestor]]&gt;1,VENTAS[[#This Row],[Total]]*10%,0)</f>
        <v>1.3</v>
      </c>
      <c r="K1017" s="35">
        <f>IFERROR(VLOOKUP(VENTAS[[#This Row],[Código del producto Vendido]],STOCK[],16,FALSE)*VENTAS[[#This Row],[Cantidad]]+VLOOKUP(VENTAS[[#This Row],[Código del producto Vendido]],STOCK[],19,FALSE)*VENTAS[[#This Row],[Cantidad]],VENTAS[[#This Row],[Total]])</f>
        <v>8.61</v>
      </c>
      <c r="L1017" s="35">
        <f>VENTAS[[#This Row],[Total]]-VENTAS[[#This Row],[Comisión 10%]]-VENTAS[[#This Row],[Costo SIN Comision]]</f>
        <v>3.09</v>
      </c>
      <c r="M1017" s="35"/>
    </row>
    <row r="1018" ht="20" customHeight="1" spans="1:13">
      <c r="A1018" s="29">
        <v>45474</v>
      </c>
      <c r="B1018" s="30"/>
      <c r="C1018" s="30"/>
      <c r="D1018" s="30" t="s">
        <v>3510</v>
      </c>
      <c r="E1018" s="30" t="s">
        <v>1165</v>
      </c>
      <c r="F1018" s="34" t="str">
        <f>IFERROR(VLOOKUP(VENTAS[[#This Row],[Código del producto Vendido]],STOCK[],5,FALSE),"-")</f>
        <v>Short de mezclilla clara (no elastiza)</v>
      </c>
      <c r="G1018" s="34">
        <v>1</v>
      </c>
      <c r="H1018" s="35">
        <v>20</v>
      </c>
      <c r="I1018" s="35">
        <f>VENTAS[[#This Row],[Cantidad]]*VENTAS[[#This Row],[Precio Venta]]</f>
        <v>20</v>
      </c>
      <c r="J1018" s="35">
        <f>IF(VENTAS[[#This Row],[Nombre del Gestor]]&gt;1,VENTAS[[#This Row],[Total]]*10%,0)</f>
        <v>2</v>
      </c>
      <c r="K1018" s="35">
        <f>IFERROR(VLOOKUP(VENTAS[[#This Row],[Código del producto Vendido]],STOCK[],16,FALSE)*VENTAS[[#This Row],[Cantidad]]+VLOOKUP(VENTAS[[#This Row],[Código del producto Vendido]],STOCK[],19,FALSE)*VENTAS[[#This Row],[Cantidad]],VENTAS[[#This Row],[Total]])</f>
        <v>14.29</v>
      </c>
      <c r="L1018" s="35">
        <f>VENTAS[[#This Row],[Total]]-VENTAS[[#This Row],[Comisión 10%]]-VENTAS[[#This Row],[Costo SIN Comision]]</f>
        <v>3.71</v>
      </c>
      <c r="M1018" s="35"/>
    </row>
    <row r="1019" ht="20" customHeight="1" spans="1:13">
      <c r="A1019" s="29">
        <v>45459</v>
      </c>
      <c r="B1019" s="30"/>
      <c r="C1019" s="30"/>
      <c r="D1019" s="30" t="s">
        <v>3481</v>
      </c>
      <c r="E1019" s="30" t="s">
        <v>1823</v>
      </c>
      <c r="F1019" s="34" t="str">
        <f>IFERROR(VLOOKUP(VENTAS[[#This Row],[Código del producto Vendido]],STOCK[],5,FALSE),"-")</f>
        <v>Vestido Midi Elegante</v>
      </c>
      <c r="G1019" s="34">
        <v>1</v>
      </c>
      <c r="H1019" s="35">
        <v>22</v>
      </c>
      <c r="I1019" s="35">
        <f>VENTAS[[#This Row],[Cantidad]]*VENTAS[[#This Row],[Precio Venta]]</f>
        <v>22</v>
      </c>
      <c r="J1019" s="35">
        <f>IF(VENTAS[[#This Row],[Nombre del Gestor]]&gt;1,VENTAS[[#This Row],[Total]]*10%,0)</f>
        <v>2.2</v>
      </c>
      <c r="K1019" s="35">
        <f>IFERROR(VLOOKUP(VENTAS[[#This Row],[Código del producto Vendido]],STOCK[],16,FALSE)*VENTAS[[#This Row],[Cantidad]]+VLOOKUP(VENTAS[[#This Row],[Código del producto Vendido]],STOCK[],19,FALSE)*VENTAS[[#This Row],[Cantidad]],VENTAS[[#This Row],[Total]])</f>
        <v>10.79</v>
      </c>
      <c r="L1019" s="35">
        <f>VENTAS[[#This Row],[Total]]-VENTAS[[#This Row],[Comisión 10%]]-VENTAS[[#This Row],[Costo SIN Comision]]</f>
        <v>9.01</v>
      </c>
      <c r="M1019" s="35"/>
    </row>
    <row r="1020" ht="20" customHeight="1" spans="1:13">
      <c r="A1020" s="29">
        <v>45450</v>
      </c>
      <c r="B1020" s="30"/>
      <c r="C1020" s="30"/>
      <c r="D1020" s="30" t="s">
        <v>3481</v>
      </c>
      <c r="E1020" s="30" t="s">
        <v>1593</v>
      </c>
      <c r="F1020" s="34" t="str">
        <f>IFERROR(VLOOKUP(VENTAS[[#This Row],[Código del producto Vendido]],STOCK[],5,FALSE),"-")</f>
        <v>Sandalias flip de plataforma Negro</v>
      </c>
      <c r="G1020" s="34">
        <v>1</v>
      </c>
      <c r="H1020" s="35">
        <v>15</v>
      </c>
      <c r="I1020" s="35">
        <f>VENTAS[[#This Row],[Cantidad]]*VENTAS[[#This Row],[Precio Venta]]</f>
        <v>15</v>
      </c>
      <c r="J1020" s="35">
        <f>IF(VENTAS[[#This Row],[Nombre del Gestor]]&gt;1,VENTAS[[#This Row],[Total]]*10%,0)</f>
        <v>1.5</v>
      </c>
      <c r="K1020" s="35">
        <f>IFERROR(VLOOKUP(VENTAS[[#This Row],[Código del producto Vendido]],STOCK[],16,FALSE)*VENTAS[[#This Row],[Cantidad]]+VLOOKUP(VENTAS[[#This Row],[Código del producto Vendido]],STOCK[],19,FALSE)*VENTAS[[#This Row],[Cantidad]],VENTAS[[#This Row],[Total]])</f>
        <v>9.49</v>
      </c>
      <c r="L1020" s="35">
        <f>VENTAS[[#This Row],[Total]]-VENTAS[[#This Row],[Comisión 10%]]-VENTAS[[#This Row],[Costo SIN Comision]]</f>
        <v>4.01</v>
      </c>
      <c r="M1020" s="35"/>
    </row>
    <row r="1021" ht="20" customHeight="1" spans="1:13">
      <c r="A1021" s="29">
        <v>45479</v>
      </c>
      <c r="B1021" s="30"/>
      <c r="C1021" s="30"/>
      <c r="D1021" s="30" t="s">
        <v>3481</v>
      </c>
      <c r="E1021" s="30" t="s">
        <v>2209</v>
      </c>
      <c r="F1021" s="34" t="str">
        <f>IFERROR(VLOOKUP(VENTAS[[#This Row],[Código del producto Vendido]],STOCK[],5,FALSE),"-")</f>
        <v>Vestido Resorte estampado bohemio</v>
      </c>
      <c r="G1021" s="34">
        <v>1</v>
      </c>
      <c r="H1021" s="35">
        <v>35</v>
      </c>
      <c r="I1021" s="35">
        <f>VENTAS[[#This Row],[Cantidad]]*VENTAS[[#This Row],[Precio Venta]]</f>
        <v>35</v>
      </c>
      <c r="J1021" s="35">
        <f>IF(VENTAS[[#This Row],[Nombre del Gestor]]&gt;1,VENTAS[[#This Row],[Total]]*10%,0)</f>
        <v>3.5</v>
      </c>
      <c r="K1021" s="35">
        <f>IFERROR(VLOOKUP(VENTAS[[#This Row],[Código del producto Vendido]],STOCK[],16,FALSE)*VENTAS[[#This Row],[Cantidad]]+VLOOKUP(VENTAS[[#This Row],[Código del producto Vendido]],STOCK[],19,FALSE)*VENTAS[[#This Row],[Cantidad]],VENTAS[[#This Row],[Total]])</f>
        <v>15.39</v>
      </c>
      <c r="L1021" s="35">
        <f>VENTAS[[#This Row],[Total]]-VENTAS[[#This Row],[Comisión 10%]]-VENTAS[[#This Row],[Costo SIN Comision]]</f>
        <v>16.11</v>
      </c>
      <c r="M1021" s="35"/>
    </row>
    <row r="1022" ht="20" customHeight="1" spans="1:13">
      <c r="A1022" s="29">
        <v>45479</v>
      </c>
      <c r="B1022" s="30"/>
      <c r="C1022" s="30"/>
      <c r="D1022" s="30" t="s">
        <v>3481</v>
      </c>
      <c r="E1022" s="30" t="s">
        <v>2253</v>
      </c>
      <c r="F1022" s="34" t="str">
        <f>IFERROR(VLOOKUP(VENTAS[[#This Row],[Código del producto Vendido]],STOCK[],5,FALSE),"-")</f>
        <v>Vestido Resorte estampado bohemio</v>
      </c>
      <c r="G1022" s="34">
        <v>1</v>
      </c>
      <c r="H1022" s="35">
        <v>35</v>
      </c>
      <c r="I1022" s="35">
        <f>VENTAS[[#This Row],[Cantidad]]*VENTAS[[#This Row],[Precio Venta]]</f>
        <v>35</v>
      </c>
      <c r="J1022" s="35">
        <f>IF(VENTAS[[#This Row],[Nombre del Gestor]]&gt;1,VENTAS[[#This Row],[Total]]*10%,0)</f>
        <v>3.5</v>
      </c>
      <c r="K1022" s="35">
        <f>IFERROR(VLOOKUP(VENTAS[[#This Row],[Código del producto Vendido]],STOCK[],16,FALSE)*VENTAS[[#This Row],[Cantidad]]+VLOOKUP(VENTAS[[#This Row],[Código del producto Vendido]],STOCK[],19,FALSE)*VENTAS[[#This Row],[Cantidad]],VENTAS[[#This Row],[Total]])</f>
        <v>15.39</v>
      </c>
      <c r="L1022" s="35">
        <f>VENTAS[[#This Row],[Total]]-VENTAS[[#This Row],[Comisión 10%]]-VENTAS[[#This Row],[Costo SIN Comision]]</f>
        <v>16.11</v>
      </c>
      <c r="M1022" s="35"/>
    </row>
    <row r="1023" ht="20" customHeight="1" spans="1:13">
      <c r="A1023" s="29">
        <v>45479</v>
      </c>
      <c r="B1023" s="30"/>
      <c r="C1023" s="30"/>
      <c r="D1023" s="30" t="s">
        <v>3481</v>
      </c>
      <c r="E1023" s="30" t="s">
        <v>2288</v>
      </c>
      <c r="F1023" s="34" t="str">
        <f>IFERROR(VLOOKUP(VENTAS[[#This Row],[Código del producto Vendido]],STOCK[],5,FALSE),"-")</f>
        <v>Maxi vestido de cuello healter de Lunares</v>
      </c>
      <c r="G1023" s="34">
        <v>1</v>
      </c>
      <c r="H1023" s="35">
        <v>35</v>
      </c>
      <c r="I1023" s="35">
        <f>VENTAS[[#This Row],[Cantidad]]*VENTAS[[#This Row],[Precio Venta]]</f>
        <v>35</v>
      </c>
      <c r="J1023" s="35">
        <f>IF(VENTAS[[#This Row],[Nombre del Gestor]]&gt;1,VENTAS[[#This Row],[Total]]*10%,0)</f>
        <v>3.5</v>
      </c>
      <c r="K1023" s="35">
        <f>IFERROR(VLOOKUP(VENTAS[[#This Row],[Código del producto Vendido]],STOCK[],16,FALSE)*VENTAS[[#This Row],[Cantidad]]+VLOOKUP(VENTAS[[#This Row],[Código del producto Vendido]],STOCK[],19,FALSE)*VENTAS[[#This Row],[Cantidad]],VENTAS[[#This Row],[Total]])</f>
        <v>12.69</v>
      </c>
      <c r="L1023" s="35">
        <f>VENTAS[[#This Row],[Total]]-VENTAS[[#This Row],[Comisión 10%]]-VENTAS[[#This Row],[Costo SIN Comision]]</f>
        <v>18.81</v>
      </c>
      <c r="M1023" s="35"/>
    </row>
    <row r="1024" ht="20" customHeight="1" spans="1:13">
      <c r="A1024" s="29">
        <v>45479</v>
      </c>
      <c r="B1024" s="30"/>
      <c r="C1024" s="30"/>
      <c r="D1024" s="30" t="s">
        <v>3481</v>
      </c>
      <c r="E1024" s="30" t="s">
        <v>2318</v>
      </c>
      <c r="F1024" s="34" t="str">
        <f>IFERROR(VLOOKUP(VENTAS[[#This Row],[Código del producto Vendido]],STOCK[],5,FALSE),"-")</f>
        <v>Vestido color block de bajo asimétrico</v>
      </c>
      <c r="G1024" s="34">
        <v>1</v>
      </c>
      <c r="H1024" s="35">
        <v>30</v>
      </c>
      <c r="I1024" s="35">
        <f>VENTAS[[#This Row],[Cantidad]]*VENTAS[[#This Row],[Precio Venta]]</f>
        <v>30</v>
      </c>
      <c r="J1024" s="35">
        <f>IF(VENTAS[[#This Row],[Nombre del Gestor]]&gt;1,VENTAS[[#This Row],[Total]]*10%,0)</f>
        <v>3</v>
      </c>
      <c r="K1024" s="35">
        <f>IFERROR(VLOOKUP(VENTAS[[#This Row],[Código del producto Vendido]],STOCK[],16,FALSE)*VENTAS[[#This Row],[Cantidad]]+VLOOKUP(VENTAS[[#This Row],[Código del producto Vendido]],STOCK[],19,FALSE)*VENTAS[[#This Row],[Cantidad]],VENTAS[[#This Row],[Total]])</f>
        <v>17.214375</v>
      </c>
      <c r="L1024" s="35">
        <f>VENTAS[[#This Row],[Total]]-VENTAS[[#This Row],[Comisión 10%]]-VENTAS[[#This Row],[Costo SIN Comision]]</f>
        <v>9.785625</v>
      </c>
      <c r="M1024" s="35"/>
    </row>
    <row r="1025" ht="20" customHeight="1" spans="1:13">
      <c r="A1025" s="29">
        <v>45479</v>
      </c>
      <c r="B1025" s="30"/>
      <c r="C1025" s="30"/>
      <c r="D1025" s="30" t="s">
        <v>3481</v>
      </c>
      <c r="E1025" s="30" t="s">
        <v>1616</v>
      </c>
      <c r="F1025" s="34" t="str">
        <f>IFERROR(VLOOKUP(VENTAS[[#This Row],[Código del producto Vendido]],STOCK[],5,FALSE),"-")</f>
        <v>Vestido largo estampado</v>
      </c>
      <c r="G1025" s="34">
        <v>1</v>
      </c>
      <c r="H1025" s="35">
        <v>30</v>
      </c>
      <c r="I1025" s="35">
        <f>VENTAS[[#This Row],[Cantidad]]*VENTAS[[#This Row],[Precio Venta]]</f>
        <v>30</v>
      </c>
      <c r="J1025" s="35">
        <f>IF(VENTAS[[#This Row],[Nombre del Gestor]]&gt;1,VENTAS[[#This Row],[Total]]*10%,0)</f>
        <v>3</v>
      </c>
      <c r="K1025" s="35">
        <f>IFERROR(VLOOKUP(VENTAS[[#This Row],[Código del producto Vendido]],STOCK[],16,FALSE)*VENTAS[[#This Row],[Cantidad]]+VLOOKUP(VENTAS[[#This Row],[Código del producto Vendido]],STOCK[],19,FALSE)*VENTAS[[#This Row],[Cantidad]],VENTAS[[#This Row],[Total]])</f>
        <v>15.09</v>
      </c>
      <c r="L1025" s="35">
        <f>VENTAS[[#This Row],[Total]]-VENTAS[[#This Row],[Comisión 10%]]-VENTAS[[#This Row],[Costo SIN Comision]]</f>
        <v>11.91</v>
      </c>
      <c r="M1025" s="35"/>
    </row>
    <row r="1026" ht="20" customHeight="1" spans="1:13">
      <c r="A1026" s="29">
        <v>45479</v>
      </c>
      <c r="B1026" s="30"/>
      <c r="C1026" s="30"/>
      <c r="D1026" s="30" t="s">
        <v>3481</v>
      </c>
      <c r="E1026" s="30" t="s">
        <v>1128</v>
      </c>
      <c r="F1026" s="34" t="str">
        <f>IFERROR(VLOOKUP(VENTAS[[#This Row],[Código del producto Vendido]],STOCK[],5,FALSE),"-")</f>
        <v>Maxi vestido floreado con abertura</v>
      </c>
      <c r="G1026" s="34">
        <v>1</v>
      </c>
      <c r="H1026" s="35">
        <v>35</v>
      </c>
      <c r="I1026" s="35">
        <f>VENTAS[[#This Row],[Cantidad]]*VENTAS[[#This Row],[Precio Venta]]</f>
        <v>35</v>
      </c>
      <c r="J1026" s="35">
        <f>IF(VENTAS[[#This Row],[Nombre del Gestor]]&gt;1,VENTAS[[#This Row],[Total]]*10%,0)</f>
        <v>3.5</v>
      </c>
      <c r="K1026" s="35">
        <f>IFERROR(VLOOKUP(VENTAS[[#This Row],[Código del producto Vendido]],STOCK[],16,FALSE)*VENTAS[[#This Row],[Cantidad]]+VLOOKUP(VENTAS[[#This Row],[Código del producto Vendido]],STOCK[],19,FALSE)*VENTAS[[#This Row],[Cantidad]],VENTAS[[#This Row],[Total]])</f>
        <v>23.6544117647059</v>
      </c>
      <c r="L1026" s="35">
        <f>VENTAS[[#This Row],[Total]]-VENTAS[[#This Row],[Comisión 10%]]-VENTAS[[#This Row],[Costo SIN Comision]]</f>
        <v>7.8455882352941</v>
      </c>
      <c r="M1026" s="35"/>
    </row>
    <row r="1027" ht="20" customHeight="1" spans="1:13">
      <c r="A1027" s="29">
        <v>45476</v>
      </c>
      <c r="B1027" s="30"/>
      <c r="C1027" s="30"/>
      <c r="D1027" s="30" t="s">
        <v>3506</v>
      </c>
      <c r="E1027" s="30" t="s">
        <v>1105</v>
      </c>
      <c r="F1027" s="34" t="str">
        <f>IFERROR(VLOOKUP(VENTAS[[#This Row],[Código del producto Vendido]],STOCK[],5,FALSE),"-")</f>
        <v>Jumpsuit Palazzo Oliva</v>
      </c>
      <c r="G1027" s="34">
        <v>1</v>
      </c>
      <c r="H1027" s="35">
        <v>28</v>
      </c>
      <c r="I1027" s="35">
        <f>VENTAS[[#This Row],[Cantidad]]*VENTAS[[#This Row],[Precio Venta]]</f>
        <v>28</v>
      </c>
      <c r="J1027" s="35">
        <f>IF(VENTAS[[#This Row],[Nombre del Gestor]]&gt;1,VENTAS[[#This Row],[Total]]*10%,0)</f>
        <v>2.8</v>
      </c>
      <c r="K1027" s="35">
        <f>IFERROR(VLOOKUP(VENTAS[[#This Row],[Código del producto Vendido]],STOCK[],16,FALSE)*VENTAS[[#This Row],[Cantidad]]+VLOOKUP(VENTAS[[#This Row],[Código del producto Vendido]],STOCK[],19,FALSE)*VENTAS[[#This Row],[Cantidad]],VENTAS[[#This Row],[Total]])</f>
        <v>18.4279411764706</v>
      </c>
      <c r="L1027" s="35">
        <f>VENTAS[[#This Row],[Total]]-VENTAS[[#This Row],[Comisión 10%]]-VENTAS[[#This Row],[Costo SIN Comision]]</f>
        <v>6.7720588235294</v>
      </c>
      <c r="M1027" s="35"/>
    </row>
    <row r="1028" ht="20" customHeight="1" spans="1:13">
      <c r="A1028" s="29">
        <v>45479</v>
      </c>
      <c r="B1028" s="30"/>
      <c r="C1028" s="30"/>
      <c r="D1028" s="30" t="s">
        <v>3481</v>
      </c>
      <c r="E1028" s="30" t="s">
        <v>715</v>
      </c>
      <c r="F1028" s="34" t="str">
        <f>IFERROR(VLOOKUP(VENTAS[[#This Row],[Código del producto Vendido]],STOCK[],5,FALSE),"-")</f>
        <v>Vestido con cordón de ajuste H&amp;M</v>
      </c>
      <c r="G1028" s="34">
        <v>1</v>
      </c>
      <c r="H1028" s="35">
        <v>19</v>
      </c>
      <c r="I1028" s="35">
        <f>VENTAS[[#This Row],[Cantidad]]*VENTAS[[#This Row],[Precio Venta]]</f>
        <v>19</v>
      </c>
      <c r="J1028" s="35">
        <f>IF(VENTAS[[#This Row],[Nombre del Gestor]]&gt;1,VENTAS[[#This Row],[Total]]*10%,0)</f>
        <v>1.9</v>
      </c>
      <c r="K1028" s="35">
        <f>IFERROR(VLOOKUP(VENTAS[[#This Row],[Código del producto Vendido]],STOCK[],16,FALSE)*VENTAS[[#This Row],[Cantidad]]+VLOOKUP(VENTAS[[#This Row],[Código del producto Vendido]],STOCK[],19,FALSE)*VENTAS[[#This Row],[Cantidad]],VENTAS[[#This Row],[Total]])</f>
        <v>12.9444444444444</v>
      </c>
      <c r="L1028" s="35">
        <f>VENTAS[[#This Row],[Total]]-VENTAS[[#This Row],[Comisión 10%]]-VENTAS[[#This Row],[Costo SIN Comision]]</f>
        <v>4.15555555555556</v>
      </c>
      <c r="M1028" s="35"/>
    </row>
    <row r="1029" ht="20" customHeight="1" spans="1:13">
      <c r="A1029" s="29">
        <v>45482</v>
      </c>
      <c r="B1029" s="30"/>
      <c r="C1029" s="30"/>
      <c r="D1029" s="30" t="s">
        <v>3510</v>
      </c>
      <c r="E1029" s="30" t="s">
        <v>341</v>
      </c>
      <c r="F1029" s="34" t="str">
        <f>IFERROR(VLOOKUP(VENTAS[[#This Row],[Código del producto Vendido]],STOCK[],5,FALSE),"-")</f>
        <v> Body de encaje</v>
      </c>
      <c r="G1029" s="34">
        <v>1</v>
      </c>
      <c r="H1029" s="35">
        <v>8</v>
      </c>
      <c r="I1029" s="35">
        <f>VENTAS[[#This Row],[Cantidad]]*VENTAS[[#This Row],[Precio Venta]]</f>
        <v>8</v>
      </c>
      <c r="J1029" s="35">
        <f>IF(VENTAS[[#This Row],[Nombre del Gestor]]&gt;1,VENTAS[[#This Row],[Total]]*10%,0)</f>
        <v>0.8</v>
      </c>
      <c r="K1029" s="35">
        <f>IFERROR(VLOOKUP(VENTAS[[#This Row],[Código del producto Vendido]],STOCK[],16,FALSE)*VENTAS[[#This Row],[Cantidad]]+VLOOKUP(VENTAS[[#This Row],[Código del producto Vendido]],STOCK[],19,FALSE)*VENTAS[[#This Row],[Cantidad]],VENTAS[[#This Row],[Total]])</f>
        <v>4.76666666666667</v>
      </c>
      <c r="L1029" s="35">
        <f>VENTAS[[#This Row],[Total]]-VENTAS[[#This Row],[Comisión 10%]]-VENTAS[[#This Row],[Costo SIN Comision]]</f>
        <v>2.43333333333333</v>
      </c>
      <c r="M1029" s="35"/>
    </row>
    <row r="1030" ht="20" customHeight="1" spans="1:13">
      <c r="A1030" s="29">
        <v>45479</v>
      </c>
      <c r="B1030" s="30"/>
      <c r="C1030" s="30"/>
      <c r="D1030" s="30" t="s">
        <v>3481</v>
      </c>
      <c r="E1030" s="30" t="s">
        <v>311</v>
      </c>
      <c r="F1030" s="34" t="str">
        <f>IFERROR(VLOOKUP(VENTAS[[#This Row],[Código del producto Vendido]],STOCK[],5,FALSE),"-")</f>
        <v>Vestido ajustado de titrantes finos</v>
      </c>
      <c r="G1030" s="34">
        <v>1</v>
      </c>
      <c r="H1030" s="35">
        <v>22</v>
      </c>
      <c r="I1030" s="35">
        <f>VENTAS[[#This Row],[Cantidad]]*VENTAS[[#This Row],[Precio Venta]]</f>
        <v>22</v>
      </c>
      <c r="J1030" s="35">
        <f>IF(VENTAS[[#This Row],[Nombre del Gestor]]&gt;1,VENTAS[[#This Row],[Total]]*10%,0)</f>
        <v>2.2</v>
      </c>
      <c r="K1030" s="35">
        <f>IFERROR(VLOOKUP(VENTAS[[#This Row],[Código del producto Vendido]],STOCK[],16,FALSE)*VENTAS[[#This Row],[Cantidad]]+VLOOKUP(VENTAS[[#This Row],[Código del producto Vendido]],STOCK[],19,FALSE)*VENTAS[[#This Row],[Cantidad]],VENTAS[[#This Row],[Total]])</f>
        <v>13.1111111111111</v>
      </c>
      <c r="L1030" s="35">
        <f>VENTAS[[#This Row],[Total]]-VENTAS[[#This Row],[Comisión 10%]]-VENTAS[[#This Row],[Costo SIN Comision]]</f>
        <v>6.6888888888889</v>
      </c>
      <c r="M1030" s="35"/>
    </row>
    <row r="1031" ht="20" customHeight="1" spans="1:13">
      <c r="A1031" s="29">
        <v>45479</v>
      </c>
      <c r="B1031" s="30"/>
      <c r="C1031" s="30"/>
      <c r="D1031" s="30" t="s">
        <v>3481</v>
      </c>
      <c r="E1031" s="30" t="s">
        <v>1851</v>
      </c>
      <c r="F1031" s="34" t="str">
        <f>IFERROR(VLOOKUP(VENTAS[[#This Row],[Código del producto Vendido]],STOCK[],5,FALSE),"-")</f>
        <v>Crossbody Bag Negro Lacado</v>
      </c>
      <c r="G1031" s="34">
        <v>1</v>
      </c>
      <c r="H1031" s="35">
        <v>20</v>
      </c>
      <c r="I1031" s="35">
        <f>VENTAS[[#This Row],[Cantidad]]*VENTAS[[#This Row],[Precio Venta]]</f>
        <v>20</v>
      </c>
      <c r="J1031" s="35">
        <f>IF(VENTAS[[#This Row],[Nombre del Gestor]]&gt;1,VENTAS[[#This Row],[Total]]*10%,0)</f>
        <v>2</v>
      </c>
      <c r="K1031" s="35">
        <f>IFERROR(VLOOKUP(VENTAS[[#This Row],[Código del producto Vendido]],STOCK[],16,FALSE)*VENTAS[[#This Row],[Cantidad]]+VLOOKUP(VENTAS[[#This Row],[Código del producto Vendido]],STOCK[],19,FALSE)*VENTAS[[#This Row],[Cantidad]],VENTAS[[#This Row],[Total]])</f>
        <v>10.79</v>
      </c>
      <c r="L1031" s="35">
        <f>VENTAS[[#This Row],[Total]]-VENTAS[[#This Row],[Comisión 10%]]-VENTAS[[#This Row],[Costo SIN Comision]]</f>
        <v>7.21</v>
      </c>
      <c r="M1031" s="35"/>
    </row>
    <row r="1032" ht="20" customHeight="1" spans="1:13">
      <c r="A1032" s="29">
        <v>45478</v>
      </c>
      <c r="B1032" s="30"/>
      <c r="C1032" s="30"/>
      <c r="D1032" s="30" t="s">
        <v>3481</v>
      </c>
      <c r="E1032" s="30" t="s">
        <v>105</v>
      </c>
      <c r="F1032" s="34" t="str">
        <f>IFERROR(VLOOKUP(VENTAS[[#This Row],[Código del producto Vendido]],STOCK[],5,FALSE),"-")</f>
        <v>Bikini elegante con herrajes color negro</v>
      </c>
      <c r="G1032" s="34">
        <v>1</v>
      </c>
      <c r="H1032" s="35">
        <v>18</v>
      </c>
      <c r="I1032" s="35">
        <f>VENTAS[[#This Row],[Cantidad]]*VENTAS[[#This Row],[Precio Venta]]</f>
        <v>18</v>
      </c>
      <c r="J1032" s="35">
        <f>IF(VENTAS[[#This Row],[Nombre del Gestor]]&gt;1,VENTAS[[#This Row],[Total]]*10%,0)</f>
        <v>1.8</v>
      </c>
      <c r="K1032" s="35">
        <f>IFERROR(VLOOKUP(VENTAS[[#This Row],[Código del producto Vendido]],STOCK[],16,FALSE)*VENTAS[[#This Row],[Cantidad]]+VLOOKUP(VENTAS[[#This Row],[Código del producto Vendido]],STOCK[],19,FALSE)*VENTAS[[#This Row],[Cantidad]],VENTAS[[#This Row],[Total]])</f>
        <v>12.4194444444444</v>
      </c>
      <c r="L1032" s="35">
        <f>VENTAS[[#This Row],[Total]]-VENTAS[[#This Row],[Comisión 10%]]-VENTAS[[#This Row],[Costo SIN Comision]]</f>
        <v>3.78055555555556</v>
      </c>
      <c r="M1032" s="35"/>
    </row>
    <row r="1033" ht="20" customHeight="1" spans="1:13">
      <c r="A1033" s="29">
        <v>45477</v>
      </c>
      <c r="B1033" s="30"/>
      <c r="C1033" s="30"/>
      <c r="D1033" s="30" t="s">
        <v>3481</v>
      </c>
      <c r="E1033" s="30" t="s">
        <v>782</v>
      </c>
      <c r="F1033" s="34" t="str">
        <f>IFERROR(VLOOKUP(VENTAS[[#This Row],[Código del producto Vendido]],STOCK[],5,FALSE),"-")</f>
        <v>Top Negro en tela de algodón</v>
      </c>
      <c r="G1033" s="34">
        <v>1</v>
      </c>
      <c r="H1033" s="35">
        <v>10</v>
      </c>
      <c r="I1033" s="35">
        <f>VENTAS[[#This Row],[Cantidad]]*VENTAS[[#This Row],[Precio Venta]]</f>
        <v>10</v>
      </c>
      <c r="J1033" s="35">
        <f>IF(VENTAS[[#This Row],[Nombre del Gestor]]&gt;1,VENTAS[[#This Row],[Total]]*10%,0)</f>
        <v>1</v>
      </c>
      <c r="K1033" s="35">
        <f>IFERROR(VLOOKUP(VENTAS[[#This Row],[Código del producto Vendido]],STOCK[],16,FALSE)*VENTAS[[#This Row],[Cantidad]]+VLOOKUP(VENTAS[[#This Row],[Código del producto Vendido]],STOCK[],19,FALSE)*VENTAS[[#This Row],[Cantidad]],VENTAS[[#This Row],[Total]])</f>
        <v>6.05555555555556</v>
      </c>
      <c r="L1033" s="35">
        <f>VENTAS[[#This Row],[Total]]-VENTAS[[#This Row],[Comisión 10%]]-VENTAS[[#This Row],[Costo SIN Comision]]</f>
        <v>2.94444444444444</v>
      </c>
      <c r="M1033" s="35"/>
    </row>
    <row r="1034" ht="20" customHeight="1" spans="1:13">
      <c r="A1034" s="29">
        <v>45477</v>
      </c>
      <c r="B1034" s="30"/>
      <c r="C1034" s="30"/>
      <c r="D1034" s="30" t="s">
        <v>3481</v>
      </c>
      <c r="E1034" s="30" t="s">
        <v>1407</v>
      </c>
      <c r="F1034" s="34" t="str">
        <f>IFERROR(VLOOKUP(VENTAS[[#This Row],[Código del producto Vendido]],STOCK[],5,FALSE),"-")</f>
        <v>Pantaloneta con abertura y bolsillos</v>
      </c>
      <c r="G1034" s="34">
        <v>1</v>
      </c>
      <c r="H1034" s="35">
        <v>23</v>
      </c>
      <c r="I1034" s="35">
        <f>VENTAS[[#This Row],[Cantidad]]*VENTAS[[#This Row],[Precio Venta]]</f>
        <v>23</v>
      </c>
      <c r="J1034" s="35">
        <f>IF(VENTAS[[#This Row],[Nombre del Gestor]]&gt;1,VENTAS[[#This Row],[Total]]*10%,0)</f>
        <v>2.3</v>
      </c>
      <c r="K1034" s="35">
        <f>IFERROR(VLOOKUP(VENTAS[[#This Row],[Código del producto Vendido]],STOCK[],16,FALSE)*VENTAS[[#This Row],[Cantidad]]+VLOOKUP(VENTAS[[#This Row],[Código del producto Vendido]],STOCK[],19,FALSE)*VENTAS[[#This Row],[Cantidad]],VENTAS[[#This Row],[Total]])</f>
        <v>14.22</v>
      </c>
      <c r="L1034" s="35">
        <f>VENTAS[[#This Row],[Total]]-VENTAS[[#This Row],[Comisión 10%]]-VENTAS[[#This Row],[Costo SIN Comision]]</f>
        <v>6.48</v>
      </c>
      <c r="M1034" s="35"/>
    </row>
    <row r="1035" ht="20" customHeight="1" spans="1:13">
      <c r="A1035" s="29">
        <v>45477</v>
      </c>
      <c r="B1035" s="30"/>
      <c r="C1035" s="30"/>
      <c r="D1035" s="30" t="s">
        <v>3481</v>
      </c>
      <c r="E1035" s="30" t="s">
        <v>2387</v>
      </c>
      <c r="F1035" s="34" t="str">
        <f>IFERROR(VLOOKUP(VENTAS[[#This Row],[Código del producto Vendido]],STOCK[],5,FALSE),"-")</f>
        <v>Pullover Dazy cuello redondo Blanco</v>
      </c>
      <c r="G1035" s="34">
        <v>1</v>
      </c>
      <c r="H1035" s="35">
        <v>13</v>
      </c>
      <c r="I1035" s="35">
        <f>VENTAS[[#This Row],[Cantidad]]*VENTAS[[#This Row],[Precio Venta]]</f>
        <v>13</v>
      </c>
      <c r="J1035" s="35">
        <f>IF(VENTAS[[#This Row],[Nombre del Gestor]]&gt;1,VENTAS[[#This Row],[Total]]*10%,0)</f>
        <v>1.3</v>
      </c>
      <c r="K1035" s="35">
        <f>IFERROR(VLOOKUP(VENTAS[[#This Row],[Código del producto Vendido]],STOCK[],16,FALSE)*VENTAS[[#This Row],[Cantidad]]+VLOOKUP(VENTAS[[#This Row],[Código del producto Vendido]],STOCK[],19,FALSE)*VENTAS[[#This Row],[Cantidad]],VENTAS[[#This Row],[Total]])</f>
        <v>8.61</v>
      </c>
      <c r="L1035" s="35">
        <f>VENTAS[[#This Row],[Total]]-VENTAS[[#This Row],[Comisión 10%]]-VENTAS[[#This Row],[Costo SIN Comision]]</f>
        <v>3.09</v>
      </c>
      <c r="M1035" s="35"/>
    </row>
    <row r="1036" ht="20" customHeight="1" spans="1:13">
      <c r="A1036" s="29">
        <v>45477</v>
      </c>
      <c r="B1036" s="30"/>
      <c r="C1036" s="30"/>
      <c r="D1036" s="30" t="s">
        <v>3481</v>
      </c>
      <c r="E1036" s="30" t="s">
        <v>1174</v>
      </c>
      <c r="F1036" s="34" t="str">
        <f>IFERROR(VLOOKUP(VENTAS[[#This Row],[Código del producto Vendido]],STOCK[],5,FALSE),"-")</f>
        <v>Vestido camisero con estampado y cinturón </v>
      </c>
      <c r="G1036" s="34">
        <v>1</v>
      </c>
      <c r="H1036" s="35">
        <v>28</v>
      </c>
      <c r="I1036" s="35">
        <f>VENTAS[[#This Row],[Cantidad]]*VENTAS[[#This Row],[Precio Venta]]</f>
        <v>28</v>
      </c>
      <c r="J1036" s="35">
        <f>IF(VENTAS[[#This Row],[Nombre del Gestor]]&gt;1,VENTAS[[#This Row],[Total]]*10%,0)</f>
        <v>2.8</v>
      </c>
      <c r="K1036" s="35">
        <f>IFERROR(VLOOKUP(VENTAS[[#This Row],[Código del producto Vendido]],STOCK[],16,FALSE)*VENTAS[[#This Row],[Cantidad]]+VLOOKUP(VENTAS[[#This Row],[Código del producto Vendido]],STOCK[],19,FALSE)*VENTAS[[#This Row],[Cantidad]],VENTAS[[#This Row],[Total]])</f>
        <v>17.65</v>
      </c>
      <c r="L1036" s="35">
        <f>VENTAS[[#This Row],[Total]]-VENTAS[[#This Row],[Comisión 10%]]-VENTAS[[#This Row],[Costo SIN Comision]]</f>
        <v>7.55</v>
      </c>
      <c r="M1036" s="35"/>
    </row>
    <row r="1037" ht="20" customHeight="1" spans="1:13">
      <c r="A1037" s="29">
        <v>45476</v>
      </c>
      <c r="B1037" s="30"/>
      <c r="C1037" s="30"/>
      <c r="D1037" s="30" t="s">
        <v>3481</v>
      </c>
      <c r="E1037" s="30" t="s">
        <v>2387</v>
      </c>
      <c r="F1037" s="34" t="str">
        <f>IFERROR(VLOOKUP(VENTAS[[#This Row],[Código del producto Vendido]],STOCK[],5,FALSE),"-")</f>
        <v>Pullover Dazy cuello redondo Blanco</v>
      </c>
      <c r="G1037" s="34">
        <v>1</v>
      </c>
      <c r="H1037" s="35">
        <v>13</v>
      </c>
      <c r="I1037" s="35">
        <f>VENTAS[[#This Row],[Cantidad]]*VENTAS[[#This Row],[Precio Venta]]</f>
        <v>13</v>
      </c>
      <c r="J1037" s="35">
        <f>IF(VENTAS[[#This Row],[Nombre del Gestor]]&gt;1,VENTAS[[#This Row],[Total]]*10%,0)</f>
        <v>1.3</v>
      </c>
      <c r="K1037" s="35">
        <f>IFERROR(VLOOKUP(VENTAS[[#This Row],[Código del producto Vendido]],STOCK[],16,FALSE)*VENTAS[[#This Row],[Cantidad]]+VLOOKUP(VENTAS[[#This Row],[Código del producto Vendido]],STOCK[],19,FALSE)*VENTAS[[#This Row],[Cantidad]],VENTAS[[#This Row],[Total]])</f>
        <v>8.61</v>
      </c>
      <c r="L1037" s="35">
        <f>VENTAS[[#This Row],[Total]]-VENTAS[[#This Row],[Comisión 10%]]-VENTAS[[#This Row],[Costo SIN Comision]]</f>
        <v>3.09</v>
      </c>
      <c r="M1037" s="35"/>
    </row>
    <row r="1038" ht="20" customHeight="1" spans="1:13">
      <c r="A1038" s="29">
        <v>45476</v>
      </c>
      <c r="B1038" s="30"/>
      <c r="C1038" s="30"/>
      <c r="D1038" s="30" t="s">
        <v>3481</v>
      </c>
      <c r="E1038" s="30" t="s">
        <v>1216</v>
      </c>
      <c r="F1038" s="34" t="str">
        <f>IFERROR(VLOOKUP(VENTAS[[#This Row],[Código del producto Vendido]],STOCK[],5,FALSE),"-")</f>
        <v>Pullover negro cuello redondo</v>
      </c>
      <c r="G1038" s="34">
        <v>1</v>
      </c>
      <c r="H1038" s="35">
        <v>13</v>
      </c>
      <c r="I1038" s="35">
        <f>VENTAS[[#This Row],[Cantidad]]*VENTAS[[#This Row],[Precio Venta]]</f>
        <v>13</v>
      </c>
      <c r="J1038" s="35">
        <f>IF(VENTAS[[#This Row],[Nombre del Gestor]]&gt;1,VENTAS[[#This Row],[Total]]*10%,0)</f>
        <v>1.3</v>
      </c>
      <c r="K1038" s="35">
        <f>IFERROR(VLOOKUP(VENTAS[[#This Row],[Código del producto Vendido]],STOCK[],16,FALSE)*VENTAS[[#This Row],[Cantidad]]+VLOOKUP(VENTAS[[#This Row],[Código del producto Vendido]],STOCK[],19,FALSE)*VENTAS[[#This Row],[Cantidad]],VENTAS[[#This Row],[Total]])</f>
        <v>8.53</v>
      </c>
      <c r="L1038" s="35">
        <f>VENTAS[[#This Row],[Total]]-VENTAS[[#This Row],[Comisión 10%]]-VENTAS[[#This Row],[Costo SIN Comision]]</f>
        <v>3.17</v>
      </c>
      <c r="M1038" s="35"/>
    </row>
    <row r="1039" ht="20" customHeight="1" spans="1:13">
      <c r="A1039" s="29">
        <v>45476</v>
      </c>
      <c r="B1039" s="30"/>
      <c r="C1039" s="30"/>
      <c r="D1039" s="30" t="s">
        <v>3481</v>
      </c>
      <c r="E1039" s="30" t="s">
        <v>2139</v>
      </c>
      <c r="F1039" s="34" t="str">
        <f>IFERROR(VLOOKUP(VENTAS[[#This Row],[Código del producto Vendido]],STOCK[],5,FALSE),"-")</f>
        <v>Falda Bohemia de mezclilla de cintura alta con detalles de botón</v>
      </c>
      <c r="G1039" s="34">
        <v>1</v>
      </c>
      <c r="H1039" s="35">
        <v>30</v>
      </c>
      <c r="I1039" s="35">
        <f>VENTAS[[#This Row],[Cantidad]]*VENTAS[[#This Row],[Precio Venta]]</f>
        <v>30</v>
      </c>
      <c r="J1039" s="35">
        <f>IF(VENTAS[[#This Row],[Nombre del Gestor]]&gt;1,VENTAS[[#This Row],[Total]]*10%,0)</f>
        <v>3</v>
      </c>
      <c r="K1039" s="35">
        <f>IFERROR(VLOOKUP(VENTAS[[#This Row],[Código del producto Vendido]],STOCK[],16,FALSE)*VENTAS[[#This Row],[Cantidad]]+VLOOKUP(VENTAS[[#This Row],[Código del producto Vendido]],STOCK[],19,FALSE)*VENTAS[[#This Row],[Cantidad]],VENTAS[[#This Row],[Total]])</f>
        <v>7.05</v>
      </c>
      <c r="L1039" s="35">
        <f>VENTAS[[#This Row],[Total]]-VENTAS[[#This Row],[Comisión 10%]]-VENTAS[[#This Row],[Costo SIN Comision]]</f>
        <v>19.95</v>
      </c>
      <c r="M1039" s="35"/>
    </row>
    <row r="1040" ht="20" customHeight="1" spans="1:13">
      <c r="A1040" s="29">
        <v>45476</v>
      </c>
      <c r="B1040" s="30"/>
      <c r="C1040" s="30" t="s">
        <v>3321</v>
      </c>
      <c r="D1040" s="30" t="s">
        <v>3506</v>
      </c>
      <c r="E1040" s="30" t="s">
        <v>1686</v>
      </c>
      <c r="F1040" s="34" t="str">
        <f>IFERROR(VLOOKUP(VENTAS[[#This Row],[Código del producto Vendido]],STOCK[],5,FALSE),"-")</f>
        <v>Mono elegante con mangas de vuelo</v>
      </c>
      <c r="G1040" s="34">
        <v>1</v>
      </c>
      <c r="H1040" s="35">
        <v>30</v>
      </c>
      <c r="I1040" s="35">
        <f>VENTAS[[#This Row],[Cantidad]]*VENTAS[[#This Row],[Precio Venta]]</f>
        <v>30</v>
      </c>
      <c r="J1040" s="35">
        <f>IF(VENTAS[[#This Row],[Nombre del Gestor]]&gt;1,VENTAS[[#This Row],[Total]]*10%,0)</f>
        <v>3</v>
      </c>
      <c r="K1040" s="35">
        <f>IFERROR(VLOOKUP(VENTAS[[#This Row],[Código del producto Vendido]],STOCK[],16,FALSE)*VENTAS[[#This Row],[Cantidad]]+VLOOKUP(VENTAS[[#This Row],[Código del producto Vendido]],STOCK[],19,FALSE)*VENTAS[[#This Row],[Cantidad]],VENTAS[[#This Row],[Total]])</f>
        <v>17.8</v>
      </c>
      <c r="L1040" s="35">
        <f>VENTAS[[#This Row],[Total]]-VENTAS[[#This Row],[Comisión 10%]]-VENTAS[[#This Row],[Costo SIN Comision]]</f>
        <v>9.2</v>
      </c>
      <c r="M1040" s="35"/>
    </row>
    <row r="1041" ht="20" customHeight="1" spans="1:13">
      <c r="A1041" s="29">
        <v>45476</v>
      </c>
      <c r="B1041" s="30"/>
      <c r="C1041" s="30" t="s">
        <v>3532</v>
      </c>
      <c r="D1041" s="30" t="s">
        <v>3506</v>
      </c>
      <c r="E1041" s="30" t="s">
        <v>1790</v>
      </c>
      <c r="F1041" s="34" t="str">
        <f>IFERROR(VLOOKUP(VENTAS[[#This Row],[Código del producto Vendido]],STOCK[],5,FALSE),"-")</f>
        <v>Cinturón básico grueso Camel</v>
      </c>
      <c r="G1041" s="34">
        <v>1</v>
      </c>
      <c r="H1041" s="35">
        <v>10</v>
      </c>
      <c r="I1041" s="35">
        <f>VENTAS[[#This Row],[Cantidad]]*VENTAS[[#This Row],[Precio Venta]]</f>
        <v>10</v>
      </c>
      <c r="J1041" s="35">
        <f>IF(VENTAS[[#This Row],[Nombre del Gestor]]&gt;1,VENTAS[[#This Row],[Total]]*10%,0)</f>
        <v>1</v>
      </c>
      <c r="K1041" s="35">
        <f>IFERROR(VLOOKUP(VENTAS[[#This Row],[Código del producto Vendido]],STOCK[],16,FALSE)*VENTAS[[#This Row],[Cantidad]]+VLOOKUP(VENTAS[[#This Row],[Código del producto Vendido]],STOCK[],19,FALSE)*VENTAS[[#This Row],[Cantidad]],VENTAS[[#This Row],[Total]])</f>
        <v>3.76470588235294</v>
      </c>
      <c r="L1041" s="35">
        <f>VENTAS[[#This Row],[Total]]-VENTAS[[#This Row],[Comisión 10%]]-VENTAS[[#This Row],[Costo SIN Comision]]</f>
        <v>5.23529411764706</v>
      </c>
      <c r="M1041" s="35"/>
    </row>
    <row r="1042" ht="20" customHeight="1" spans="1:13">
      <c r="A1042" s="29">
        <v>45480</v>
      </c>
      <c r="B1042" s="30"/>
      <c r="C1042" s="30"/>
      <c r="D1042" s="30" t="s">
        <v>3481</v>
      </c>
      <c r="E1042" s="30" t="s">
        <v>1318</v>
      </c>
      <c r="F1042" s="34" t="str">
        <f>IFERROR(VLOOKUP(VENTAS[[#This Row],[Código del producto Vendido]],STOCK[],5,FALSE),"-")</f>
        <v>Blazer Carmelita oscuro (hacer foto)</v>
      </c>
      <c r="G1042" s="34">
        <v>1</v>
      </c>
      <c r="H1042" s="35">
        <v>40</v>
      </c>
      <c r="I1042" s="35">
        <f>VENTAS[[#This Row],[Cantidad]]*VENTAS[[#This Row],[Precio Venta]]</f>
        <v>40</v>
      </c>
      <c r="J1042" s="35">
        <f>IF(VENTAS[[#This Row],[Nombre del Gestor]]&gt;1,VENTAS[[#This Row],[Total]]*10%,0)</f>
        <v>4</v>
      </c>
      <c r="K1042" s="35">
        <f>IFERROR(VLOOKUP(VENTAS[[#This Row],[Código del producto Vendido]],STOCK[],16,FALSE)*VENTAS[[#This Row],[Cantidad]]+VLOOKUP(VENTAS[[#This Row],[Código del producto Vendido]],STOCK[],19,FALSE)*VENTAS[[#This Row],[Cantidad]],VENTAS[[#This Row],[Total]])</f>
        <v>24.75</v>
      </c>
      <c r="L1042" s="35">
        <f>VENTAS[[#This Row],[Total]]-VENTAS[[#This Row],[Comisión 10%]]-VENTAS[[#This Row],[Costo SIN Comision]]</f>
        <v>11.25</v>
      </c>
      <c r="M1042" s="35"/>
    </row>
    <row r="1043" ht="20" customHeight="1" spans="1:13">
      <c r="A1043" s="29">
        <v>45480</v>
      </c>
      <c r="B1043" s="30"/>
      <c r="C1043" s="30"/>
      <c r="D1043" s="30" t="s">
        <v>3481</v>
      </c>
      <c r="E1043" s="30" t="s">
        <v>1867</v>
      </c>
      <c r="F1043" s="34" t="str">
        <f>IFERROR(VLOOKUP(VENTAS[[#This Row],[Código del producto Vendido]],STOCK[],5,FALSE),"-")</f>
        <v>Blazer entallado</v>
      </c>
      <c r="G1043" s="34">
        <v>1</v>
      </c>
      <c r="H1043" s="35">
        <v>40</v>
      </c>
      <c r="I1043" s="35">
        <f>VENTAS[[#This Row],[Cantidad]]*VENTAS[[#This Row],[Precio Venta]]</f>
        <v>40</v>
      </c>
      <c r="J1043" s="35">
        <f>IF(VENTAS[[#This Row],[Nombre del Gestor]]&gt;1,VENTAS[[#This Row],[Total]]*10%,0)</f>
        <v>4</v>
      </c>
      <c r="K1043" s="35">
        <f>IFERROR(VLOOKUP(VENTAS[[#This Row],[Código del producto Vendido]],STOCK[],16,FALSE)*VENTAS[[#This Row],[Cantidad]]+VLOOKUP(VENTAS[[#This Row],[Código del producto Vendido]],STOCK[],19,FALSE)*VENTAS[[#This Row],[Cantidad]],VENTAS[[#This Row],[Total]])</f>
        <v>24.29</v>
      </c>
      <c r="L1043" s="35">
        <f>VENTAS[[#This Row],[Total]]-VENTAS[[#This Row],[Comisión 10%]]-VENTAS[[#This Row],[Costo SIN Comision]]</f>
        <v>11.71</v>
      </c>
      <c r="M1043" s="35"/>
    </row>
    <row r="1044" ht="20" customHeight="1" spans="1:13">
      <c r="A1044" s="29">
        <v>45480</v>
      </c>
      <c r="B1044" s="30"/>
      <c r="C1044" s="30"/>
      <c r="D1044" s="30" t="s">
        <v>3481</v>
      </c>
      <c r="E1044" s="30" t="s">
        <v>626</v>
      </c>
      <c r="F1044" s="34" t="str">
        <f>IFERROR(VLOOKUP(VENTAS[[#This Row],[Código del producto Vendido]],STOCK[],5,FALSE),"-")</f>
        <v>Vestido vaporoso</v>
      </c>
      <c r="G1044" s="34">
        <v>1</v>
      </c>
      <c r="H1044" s="35">
        <v>17</v>
      </c>
      <c r="I1044" s="35">
        <f>VENTAS[[#This Row],[Cantidad]]*VENTAS[[#This Row],[Precio Venta]]</f>
        <v>17</v>
      </c>
      <c r="J1044" s="35">
        <f>IF(VENTAS[[#This Row],[Nombre del Gestor]]&gt;1,VENTAS[[#This Row],[Total]]*10%,0)</f>
        <v>1.7</v>
      </c>
      <c r="K1044" s="35">
        <f>IFERROR(VLOOKUP(VENTAS[[#This Row],[Código del producto Vendido]],STOCK[],16,FALSE)*VENTAS[[#This Row],[Cantidad]]+VLOOKUP(VENTAS[[#This Row],[Código del producto Vendido]],STOCK[],19,FALSE)*VENTAS[[#This Row],[Cantidad]],VENTAS[[#This Row],[Total]])</f>
        <v>10.7222222222222</v>
      </c>
      <c r="L1044" s="35">
        <f>VENTAS[[#This Row],[Total]]-VENTAS[[#This Row],[Comisión 10%]]-VENTAS[[#This Row],[Costo SIN Comision]]</f>
        <v>4.57777777777778</v>
      </c>
      <c r="M1044" s="35"/>
    </row>
    <row r="1045" ht="20" customHeight="1" spans="1:13">
      <c r="A1045" s="29">
        <v>45476</v>
      </c>
      <c r="B1045" s="30"/>
      <c r="C1045" s="30"/>
      <c r="D1045" s="30" t="s">
        <v>3506</v>
      </c>
      <c r="E1045" s="30" t="s">
        <v>2356</v>
      </c>
      <c r="F1045" s="34" t="str">
        <f>IFERROR(VLOOKUP(VENTAS[[#This Row],[Código del producto Vendido]],STOCK[],5,FALSE),"-")</f>
        <v>Espejuelos rectangulares unisex</v>
      </c>
      <c r="G1045" s="34">
        <v>1</v>
      </c>
      <c r="H1045" s="35">
        <v>10</v>
      </c>
      <c r="I1045" s="35">
        <f>VENTAS[[#This Row],[Cantidad]]*VENTAS[[#This Row],[Precio Venta]]</f>
        <v>10</v>
      </c>
      <c r="J1045" s="35">
        <f>IF(VENTAS[[#This Row],[Nombre del Gestor]]&gt;1,VENTAS[[#This Row],[Total]]*10%,0)</f>
        <v>1</v>
      </c>
      <c r="K1045" s="35">
        <f>IFERROR(VLOOKUP(VENTAS[[#This Row],[Código del producto Vendido]],STOCK[],16,FALSE)*VENTAS[[#This Row],[Cantidad]]+VLOOKUP(VENTAS[[#This Row],[Código del producto Vendido]],STOCK[],19,FALSE)*VENTAS[[#This Row],[Cantidad]],VENTAS[[#This Row],[Total]])</f>
        <v>6.33125</v>
      </c>
      <c r="L1045" s="35">
        <f>VENTAS[[#This Row],[Total]]-VENTAS[[#This Row],[Comisión 10%]]-VENTAS[[#This Row],[Costo SIN Comision]]</f>
        <v>2.66875</v>
      </c>
      <c r="M1045" s="35"/>
    </row>
    <row r="1046" ht="20" customHeight="1" spans="1:13">
      <c r="A1046" s="29">
        <v>45476</v>
      </c>
      <c r="B1046" s="30"/>
      <c r="C1046" s="30"/>
      <c r="D1046" s="30" t="s">
        <v>3506</v>
      </c>
      <c r="E1046" s="30" t="s">
        <v>201</v>
      </c>
      <c r="F1046" s="34" t="str">
        <f>IFERROR(VLOOKUP(VENTAS[[#This Row],[Código del producto Vendido]],STOCK[],5,FALSE),"-")</f>
        <v>Vestido moca ajustado</v>
      </c>
      <c r="G1046" s="34">
        <v>1</v>
      </c>
      <c r="H1046" s="35">
        <v>18</v>
      </c>
      <c r="I1046" s="35">
        <f>VENTAS[[#This Row],[Cantidad]]*VENTAS[[#This Row],[Precio Venta]]</f>
        <v>18</v>
      </c>
      <c r="J1046" s="35">
        <f>IF(VENTAS[[#This Row],[Nombre del Gestor]]&gt;1,VENTAS[[#This Row],[Total]]*10%,0)</f>
        <v>1.8</v>
      </c>
      <c r="K1046" s="35">
        <f>IFERROR(VLOOKUP(VENTAS[[#This Row],[Código del producto Vendido]],STOCK[],16,FALSE)*VENTAS[[#This Row],[Cantidad]]+VLOOKUP(VENTAS[[#This Row],[Código del producto Vendido]],STOCK[],19,FALSE)*VENTAS[[#This Row],[Cantidad]],VENTAS[[#This Row],[Total]])</f>
        <v>12.5155555555556</v>
      </c>
      <c r="L1046" s="35">
        <f>VENTAS[[#This Row],[Total]]-VENTAS[[#This Row],[Comisión 10%]]-VENTAS[[#This Row],[Costo SIN Comision]]</f>
        <v>3.6844444444444</v>
      </c>
      <c r="M1046" s="35"/>
    </row>
    <row r="1047" ht="20" customHeight="1" spans="1:13">
      <c r="A1047" s="29">
        <v>45479</v>
      </c>
      <c r="B1047" s="30"/>
      <c r="C1047" s="30"/>
      <c r="D1047" s="30" t="s">
        <v>3506</v>
      </c>
      <c r="E1047" s="30" t="s">
        <v>2365</v>
      </c>
      <c r="F1047" s="34" t="str">
        <f>IFERROR(VLOOKUP(VENTAS[[#This Row],[Código del producto Vendido]],STOCK[],5,FALSE),"-")</f>
        <v>Sombrero de protección Verano fashionista</v>
      </c>
      <c r="G1047" s="34">
        <v>1</v>
      </c>
      <c r="H1047" s="35">
        <v>15</v>
      </c>
      <c r="I1047" s="35">
        <f>VENTAS[[#This Row],[Cantidad]]*VENTAS[[#This Row],[Precio Venta]]</f>
        <v>15</v>
      </c>
      <c r="J1047" s="35">
        <f>IF(VENTAS[[#This Row],[Nombre del Gestor]]&gt;1,VENTAS[[#This Row],[Total]]*10%,0)</f>
        <v>1.5</v>
      </c>
      <c r="K1047" s="35">
        <f>IFERROR(VLOOKUP(VENTAS[[#This Row],[Código del producto Vendido]],STOCK[],16,FALSE)*VENTAS[[#This Row],[Cantidad]]+VLOOKUP(VENTAS[[#This Row],[Código del producto Vendido]],STOCK[],19,FALSE)*VENTAS[[#This Row],[Cantidad]],VENTAS[[#This Row],[Total]])</f>
        <v>8.551875</v>
      </c>
      <c r="L1047" s="35">
        <f>VENTAS[[#This Row],[Total]]-VENTAS[[#This Row],[Comisión 10%]]-VENTAS[[#This Row],[Costo SIN Comision]]</f>
        <v>4.948125</v>
      </c>
      <c r="M1047" s="35"/>
    </row>
    <row r="1048" ht="20" customHeight="1" spans="1:13">
      <c r="A1048" s="29">
        <v>45478</v>
      </c>
      <c r="B1048" s="30"/>
      <c r="C1048" s="30"/>
      <c r="D1048" s="30" t="s">
        <v>3510</v>
      </c>
      <c r="E1048" s="30" t="s">
        <v>1407</v>
      </c>
      <c r="F1048" s="34" t="str">
        <f>IFERROR(VLOOKUP(VENTAS[[#This Row],[Código del producto Vendido]],STOCK[],5,FALSE),"-")</f>
        <v>Pantaloneta con abertura y bolsillos</v>
      </c>
      <c r="G1048" s="34">
        <v>1</v>
      </c>
      <c r="H1048" s="35">
        <v>23</v>
      </c>
      <c r="I1048" s="35">
        <f>VENTAS[[#This Row],[Cantidad]]*VENTAS[[#This Row],[Precio Venta]]</f>
        <v>23</v>
      </c>
      <c r="J1048" s="35">
        <f>IF(VENTAS[[#This Row],[Nombre del Gestor]]&gt;1,VENTAS[[#This Row],[Total]]*10%,0)</f>
        <v>2.3</v>
      </c>
      <c r="K1048" s="35">
        <f>IFERROR(VLOOKUP(VENTAS[[#This Row],[Código del producto Vendido]],STOCK[],16,FALSE)*VENTAS[[#This Row],[Cantidad]]+VLOOKUP(VENTAS[[#This Row],[Código del producto Vendido]],STOCK[],19,FALSE)*VENTAS[[#This Row],[Cantidad]],VENTAS[[#This Row],[Total]])</f>
        <v>14.22</v>
      </c>
      <c r="L1048" s="35">
        <f>VENTAS[[#This Row],[Total]]-VENTAS[[#This Row],[Comisión 10%]]-VENTAS[[#This Row],[Costo SIN Comision]]</f>
        <v>6.48</v>
      </c>
      <c r="M1048" s="35"/>
    </row>
    <row r="1049" ht="20" customHeight="1" spans="1:13">
      <c r="A1049" s="29">
        <v>45478</v>
      </c>
      <c r="B1049" s="30"/>
      <c r="C1049" s="30"/>
      <c r="D1049" s="30" t="s">
        <v>3510</v>
      </c>
      <c r="E1049" s="30" t="s">
        <v>2216</v>
      </c>
      <c r="F1049" s="34" t="str">
        <f>IFERROR(VLOOKUP(VENTAS[[#This Row],[Código del producto Vendido]],STOCK[],5,FALSE),"-")</f>
        <v>vestido Boho con tirantes de spaguetti y abertura</v>
      </c>
      <c r="G1049" s="34">
        <v>1</v>
      </c>
      <c r="H1049" s="35">
        <v>30</v>
      </c>
      <c r="I1049" s="35">
        <f>VENTAS[[#This Row],[Cantidad]]*VENTAS[[#This Row],[Precio Venta]]</f>
        <v>30</v>
      </c>
      <c r="J1049" s="35">
        <f>IF(VENTAS[[#This Row],[Nombre del Gestor]]&gt;1,VENTAS[[#This Row],[Total]]*10%,0)</f>
        <v>3</v>
      </c>
      <c r="K1049" s="35">
        <f>IFERROR(VLOOKUP(VENTAS[[#This Row],[Código del producto Vendido]],STOCK[],16,FALSE)*VENTAS[[#This Row],[Cantidad]]+VLOOKUP(VENTAS[[#This Row],[Código del producto Vendido]],STOCK[],19,FALSE)*VENTAS[[#This Row],[Cantidad]],VENTAS[[#This Row],[Total]])</f>
        <v>16.09</v>
      </c>
      <c r="L1049" s="35">
        <f>VENTAS[[#This Row],[Total]]-VENTAS[[#This Row],[Comisión 10%]]-VENTAS[[#This Row],[Costo SIN Comision]]</f>
        <v>10.91</v>
      </c>
      <c r="M1049" s="35"/>
    </row>
    <row r="1050" ht="20" customHeight="1" spans="1:13">
      <c r="A1050" s="29">
        <v>45478</v>
      </c>
      <c r="B1050" s="30"/>
      <c r="C1050" s="30"/>
      <c r="D1050" s="30" t="s">
        <v>3510</v>
      </c>
      <c r="E1050" s="30" t="s">
        <v>2388</v>
      </c>
      <c r="F1050" s="34" t="str">
        <f>IFERROR(VLOOKUP(VENTAS[[#This Row],[Código del producto Vendido]],STOCK[],5,FALSE),"-")</f>
        <v>Pullover Dazy cuello redondo Negro</v>
      </c>
      <c r="G1050" s="34">
        <v>1</v>
      </c>
      <c r="H1050" s="35">
        <v>13</v>
      </c>
      <c r="I1050" s="35">
        <f>VENTAS[[#This Row],[Cantidad]]*VENTAS[[#This Row],[Precio Venta]]</f>
        <v>13</v>
      </c>
      <c r="J1050" s="35">
        <f>IF(VENTAS[[#This Row],[Nombre del Gestor]]&gt;1,VENTAS[[#This Row],[Total]]*10%,0)</f>
        <v>1.3</v>
      </c>
      <c r="K1050" s="35">
        <f>IFERROR(VLOOKUP(VENTAS[[#This Row],[Código del producto Vendido]],STOCK[],16,FALSE)*VENTAS[[#This Row],[Cantidad]]+VLOOKUP(VENTAS[[#This Row],[Código del producto Vendido]],STOCK[],19,FALSE)*VENTAS[[#This Row],[Cantidad]],VENTAS[[#This Row],[Total]])</f>
        <v>7.61</v>
      </c>
      <c r="L1050" s="35">
        <f>VENTAS[[#This Row],[Total]]-VENTAS[[#This Row],[Comisión 10%]]-VENTAS[[#This Row],[Costo SIN Comision]]</f>
        <v>4.09</v>
      </c>
      <c r="M1050" s="35"/>
    </row>
    <row r="1051" ht="20" customHeight="1" spans="1:13">
      <c r="A1051" s="29">
        <v>45478</v>
      </c>
      <c r="B1051" s="30"/>
      <c r="C1051" s="30"/>
      <c r="D1051" s="30" t="s">
        <v>3510</v>
      </c>
      <c r="E1051" s="30" t="s">
        <v>1827</v>
      </c>
      <c r="F1051" s="34" t="str">
        <f>IFERROR(VLOOKUP(VENTAS[[#This Row],[Código del producto Vendido]],STOCK[],5,FALSE),"-")</f>
        <v>Pantalón Palazzo </v>
      </c>
      <c r="G1051" s="34">
        <v>1</v>
      </c>
      <c r="H1051" s="35">
        <v>30</v>
      </c>
      <c r="I1051" s="35">
        <f>VENTAS[[#This Row],[Cantidad]]*VENTAS[[#This Row],[Precio Venta]]</f>
        <v>30</v>
      </c>
      <c r="J1051" s="35">
        <f>IF(VENTAS[[#This Row],[Nombre del Gestor]]&gt;1,VENTAS[[#This Row],[Total]]*10%,0)</f>
        <v>3</v>
      </c>
      <c r="K1051" s="35">
        <f>IFERROR(VLOOKUP(VENTAS[[#This Row],[Código del producto Vendido]],STOCK[],16,FALSE)*VENTAS[[#This Row],[Cantidad]]+VLOOKUP(VENTAS[[#This Row],[Código del producto Vendido]],STOCK[],19,FALSE)*VENTAS[[#This Row],[Cantidad]],VENTAS[[#This Row],[Total]])</f>
        <v>16.79</v>
      </c>
      <c r="L1051" s="35">
        <f>VENTAS[[#This Row],[Total]]-VENTAS[[#This Row],[Comisión 10%]]-VENTAS[[#This Row],[Costo SIN Comision]]</f>
        <v>10.21</v>
      </c>
      <c r="M1051" s="35"/>
    </row>
    <row r="1052" ht="20" customHeight="1" spans="1:13">
      <c r="A1052" s="29">
        <v>45476</v>
      </c>
      <c r="B1052" s="30"/>
      <c r="C1052" s="30"/>
      <c r="D1052" s="30" t="s">
        <v>3510</v>
      </c>
      <c r="E1052" s="30" t="s">
        <v>1931</v>
      </c>
      <c r="F1052" s="34" t="str">
        <f>IFERROR(VLOOKUP(VENTAS[[#This Row],[Código del producto Vendido]],STOCK[],5,FALSE),"-")</f>
        <v>Sujetador Invisible Suave sin tirantes</v>
      </c>
      <c r="G1052" s="34">
        <v>1</v>
      </c>
      <c r="H1052" s="35">
        <v>12</v>
      </c>
      <c r="I1052" s="35">
        <f>VENTAS[[#This Row],[Cantidad]]*VENTAS[[#This Row],[Precio Venta]]</f>
        <v>12</v>
      </c>
      <c r="J1052" s="35">
        <f>IF(VENTAS[[#This Row],[Nombre del Gestor]]&gt;1,VENTAS[[#This Row],[Total]]*10%,0)</f>
        <v>1.2</v>
      </c>
      <c r="K1052" s="35">
        <f>IFERROR(VLOOKUP(VENTAS[[#This Row],[Código del producto Vendido]],STOCK[],16,FALSE)*VENTAS[[#This Row],[Cantidad]]+VLOOKUP(VENTAS[[#This Row],[Código del producto Vendido]],STOCK[],19,FALSE)*VENTAS[[#This Row],[Cantidad]],VENTAS[[#This Row],[Total]])</f>
        <v>4.97</v>
      </c>
      <c r="L1052" s="35">
        <f>VENTAS[[#This Row],[Total]]-VENTAS[[#This Row],[Comisión 10%]]-VENTAS[[#This Row],[Costo SIN Comision]]</f>
        <v>5.83</v>
      </c>
      <c r="M1052" s="35"/>
    </row>
    <row r="1053" ht="20" customHeight="1" spans="1:13">
      <c r="A1053" s="29">
        <v>45476</v>
      </c>
      <c r="B1053" s="30"/>
      <c r="C1053" s="30"/>
      <c r="D1053" s="30" t="s">
        <v>3510</v>
      </c>
      <c r="E1053" s="30" t="s">
        <v>1645</v>
      </c>
      <c r="F1053" s="34" t="str">
        <f>IFERROR(VLOOKUP(VENTAS[[#This Row],[Código del producto Vendido]],STOCK[],5,FALSE),"-")</f>
        <v>Mono palazzo</v>
      </c>
      <c r="G1053" s="34">
        <v>1</v>
      </c>
      <c r="H1053" s="35">
        <v>30</v>
      </c>
      <c r="I1053" s="35">
        <f>VENTAS[[#This Row],[Cantidad]]*VENTAS[[#This Row],[Precio Venta]]</f>
        <v>30</v>
      </c>
      <c r="J1053" s="35">
        <f>IF(VENTAS[[#This Row],[Nombre del Gestor]]&gt;1,VENTAS[[#This Row],[Total]]*10%,0)</f>
        <v>3</v>
      </c>
      <c r="K1053" s="35">
        <f>IFERROR(VLOOKUP(VENTAS[[#This Row],[Código del producto Vendido]],STOCK[],16,FALSE)*VENTAS[[#This Row],[Cantidad]]+VLOOKUP(VENTAS[[#This Row],[Código del producto Vendido]],STOCK[],19,FALSE)*VENTAS[[#This Row],[Cantidad]],VENTAS[[#This Row],[Total]])</f>
        <v>17.87</v>
      </c>
      <c r="L1053" s="35">
        <f>VENTAS[[#This Row],[Total]]-VENTAS[[#This Row],[Comisión 10%]]-VENTAS[[#This Row],[Costo SIN Comision]]</f>
        <v>9.13</v>
      </c>
      <c r="M1053" s="35"/>
    </row>
    <row r="1054" ht="20" customHeight="1" spans="1:13">
      <c r="A1054" s="29">
        <v>45476</v>
      </c>
      <c r="B1054" s="30"/>
      <c r="C1054" s="30"/>
      <c r="D1054" s="30" t="s">
        <v>3510</v>
      </c>
      <c r="E1054" s="30" t="s">
        <v>1617</v>
      </c>
      <c r="F1054" s="34" t="str">
        <f>IFERROR(VLOOKUP(VENTAS[[#This Row],[Código del producto Vendido]],STOCK[],5,FALSE),"-")</f>
        <v>Vestido Becka</v>
      </c>
      <c r="G1054" s="34">
        <v>1</v>
      </c>
      <c r="H1054" s="35">
        <v>25</v>
      </c>
      <c r="I1054" s="35">
        <f>VENTAS[[#This Row],[Cantidad]]*VENTAS[[#This Row],[Precio Venta]]</f>
        <v>25</v>
      </c>
      <c r="J1054" s="35">
        <f>IF(VENTAS[[#This Row],[Nombre del Gestor]]&gt;1,VENTAS[[#This Row],[Total]]*10%,0)</f>
        <v>2.5</v>
      </c>
      <c r="K1054" s="35">
        <f>IFERROR(VLOOKUP(VENTAS[[#This Row],[Código del producto Vendido]],STOCK[],16,FALSE)*VENTAS[[#This Row],[Cantidad]]+VLOOKUP(VENTAS[[#This Row],[Código del producto Vendido]],STOCK[],19,FALSE)*VENTAS[[#This Row],[Cantidad]],VENTAS[[#This Row],[Total]])</f>
        <v>12.4</v>
      </c>
      <c r="L1054" s="35">
        <f>VENTAS[[#This Row],[Total]]-VENTAS[[#This Row],[Comisión 10%]]-VENTAS[[#This Row],[Costo SIN Comision]]</f>
        <v>10.1</v>
      </c>
      <c r="M1054" s="35"/>
    </row>
    <row r="1055" ht="20" customHeight="1" spans="1:13">
      <c r="A1055" s="29">
        <v>45476</v>
      </c>
      <c r="B1055" s="30"/>
      <c r="C1055" s="30"/>
      <c r="D1055" s="30" t="s">
        <v>3510</v>
      </c>
      <c r="E1055" s="30" t="s">
        <v>2388</v>
      </c>
      <c r="F1055" s="34" t="str">
        <f>IFERROR(VLOOKUP(VENTAS[[#This Row],[Código del producto Vendido]],STOCK[],5,FALSE),"-")</f>
        <v>Pullover Dazy cuello redondo Negro</v>
      </c>
      <c r="G1055" s="34">
        <v>1</v>
      </c>
      <c r="H1055" s="35">
        <v>13</v>
      </c>
      <c r="I1055" s="35">
        <f>VENTAS[[#This Row],[Cantidad]]*VENTAS[[#This Row],[Precio Venta]]</f>
        <v>13</v>
      </c>
      <c r="J1055" s="35">
        <f>IF(VENTAS[[#This Row],[Nombre del Gestor]]&gt;1,VENTAS[[#This Row],[Total]]*10%,0)</f>
        <v>1.3</v>
      </c>
      <c r="K1055" s="35">
        <f>IFERROR(VLOOKUP(VENTAS[[#This Row],[Código del producto Vendido]],STOCK[],16,FALSE)*VENTAS[[#This Row],[Cantidad]]+VLOOKUP(VENTAS[[#This Row],[Código del producto Vendido]],STOCK[],19,FALSE)*VENTAS[[#This Row],[Cantidad]],VENTAS[[#This Row],[Total]])</f>
        <v>7.61</v>
      </c>
      <c r="L1055" s="35">
        <f>VENTAS[[#This Row],[Total]]-VENTAS[[#This Row],[Comisión 10%]]-VENTAS[[#This Row],[Costo SIN Comision]]</f>
        <v>4.09</v>
      </c>
      <c r="M1055" s="35"/>
    </row>
    <row r="1056" ht="20" customHeight="1" spans="1:13">
      <c r="A1056" s="29">
        <v>45476</v>
      </c>
      <c r="B1056" s="30"/>
      <c r="C1056" s="30"/>
      <c r="D1056" s="30" t="s">
        <v>3510</v>
      </c>
      <c r="E1056" s="30" t="s">
        <v>1402</v>
      </c>
      <c r="F1056" s="34" t="str">
        <f>IFERROR(VLOOKUP(VENTAS[[#This Row],[Código del producto Vendido]],STOCK[],5,FALSE),"-")</f>
        <v>Top bustier corsetero</v>
      </c>
      <c r="G1056" s="34">
        <v>1</v>
      </c>
      <c r="H1056" s="35">
        <v>10</v>
      </c>
      <c r="I1056" s="35">
        <f>VENTAS[[#This Row],[Cantidad]]*VENTAS[[#This Row],[Precio Venta]]</f>
        <v>10</v>
      </c>
      <c r="J1056" s="35">
        <f>IF(VENTAS[[#This Row],[Nombre del Gestor]]&gt;1,VENTAS[[#This Row],[Total]]*10%,0)</f>
        <v>1</v>
      </c>
      <c r="K1056" s="35">
        <f>IFERROR(VLOOKUP(VENTAS[[#This Row],[Código del producto Vendido]],STOCK[],16,FALSE)*VENTAS[[#This Row],[Cantidad]]+VLOOKUP(VENTAS[[#This Row],[Código del producto Vendido]],STOCK[],19,FALSE)*VENTAS[[#This Row],[Cantidad]],VENTAS[[#This Row],[Total]])</f>
        <v>5.5</v>
      </c>
      <c r="L1056" s="35">
        <f>VENTAS[[#This Row],[Total]]-VENTAS[[#This Row],[Comisión 10%]]-VENTAS[[#This Row],[Costo SIN Comision]]</f>
        <v>3.5</v>
      </c>
      <c r="M1056" s="35"/>
    </row>
    <row r="1057" ht="20" customHeight="1" spans="1:13">
      <c r="A1057" s="29">
        <v>45476</v>
      </c>
      <c r="B1057" s="30"/>
      <c r="C1057" s="30"/>
      <c r="D1057" s="30" t="s">
        <v>3510</v>
      </c>
      <c r="E1057" s="30" t="s">
        <v>1173</v>
      </c>
      <c r="F1057" s="34" t="str">
        <f>IFERROR(VLOOKUP(VENTAS[[#This Row],[Código del producto Vendido]],STOCK[],5,FALSE),"-")</f>
        <v>Vestido camisero con estampado y cinturón </v>
      </c>
      <c r="G1057" s="34">
        <v>1</v>
      </c>
      <c r="H1057" s="35">
        <v>28</v>
      </c>
      <c r="I1057" s="35">
        <f>VENTAS[[#This Row],[Cantidad]]*VENTAS[[#This Row],[Precio Venta]]</f>
        <v>28</v>
      </c>
      <c r="J1057" s="35">
        <f>IF(VENTAS[[#This Row],[Nombre del Gestor]]&gt;1,VENTAS[[#This Row],[Total]]*10%,0)</f>
        <v>2.8</v>
      </c>
      <c r="K1057" s="35">
        <f>IFERROR(VLOOKUP(VENTAS[[#This Row],[Código del producto Vendido]],STOCK[],16,FALSE)*VENTAS[[#This Row],[Cantidad]]+VLOOKUP(VENTAS[[#This Row],[Código del producto Vendido]],STOCK[],19,FALSE)*VENTAS[[#This Row],[Cantidad]],VENTAS[[#This Row],[Total]])</f>
        <v>17.65</v>
      </c>
      <c r="L1057" s="35">
        <f>VENTAS[[#This Row],[Total]]-VENTAS[[#This Row],[Comisión 10%]]-VENTAS[[#This Row],[Costo SIN Comision]]</f>
        <v>7.55</v>
      </c>
      <c r="M1057" s="35"/>
    </row>
    <row r="1058" ht="20" customHeight="1" spans="1:13">
      <c r="A1058" s="29">
        <v>45476</v>
      </c>
      <c r="B1058" s="30"/>
      <c r="C1058" s="30"/>
      <c r="D1058" s="30" t="s">
        <v>3510</v>
      </c>
      <c r="E1058" s="30" t="s">
        <v>1731</v>
      </c>
      <c r="F1058" s="34" t="str">
        <f>IFERROR(VLOOKUP(VENTAS[[#This Row],[Código del producto Vendido]],STOCK[],5,FALSE),"-")</f>
        <v>Chaleco de traje Crema</v>
      </c>
      <c r="G1058" s="34">
        <v>1</v>
      </c>
      <c r="H1058" s="35">
        <v>25</v>
      </c>
      <c r="I1058" s="35">
        <f>VENTAS[[#This Row],[Cantidad]]*VENTAS[[#This Row],[Precio Venta]]</f>
        <v>25</v>
      </c>
      <c r="J1058" s="35">
        <f>IF(VENTAS[[#This Row],[Nombre del Gestor]]&gt;1,VENTAS[[#This Row],[Total]]*10%,0)</f>
        <v>2.5</v>
      </c>
      <c r="K1058" s="35">
        <f>IFERROR(VLOOKUP(VENTAS[[#This Row],[Código del producto Vendido]],STOCK[],16,FALSE)*VENTAS[[#This Row],[Cantidad]]+VLOOKUP(VENTAS[[#This Row],[Código del producto Vendido]],STOCK[],19,FALSE)*VENTAS[[#This Row],[Cantidad]],VENTAS[[#This Row],[Total]])</f>
        <v>17.9411764705882</v>
      </c>
      <c r="L1058" s="35">
        <f>VENTAS[[#This Row],[Total]]-VENTAS[[#This Row],[Comisión 10%]]-VENTAS[[#This Row],[Costo SIN Comision]]</f>
        <v>4.5588235294118</v>
      </c>
      <c r="M1058" s="35"/>
    </row>
    <row r="1059" ht="20" customHeight="1" spans="1:13">
      <c r="A1059" s="29">
        <v>45477</v>
      </c>
      <c r="B1059" s="30"/>
      <c r="C1059" s="30"/>
      <c r="D1059" s="30" t="s">
        <v>3512</v>
      </c>
      <c r="E1059" s="30" t="s">
        <v>676</v>
      </c>
      <c r="F1059" s="34" t="str">
        <f>IFERROR(VLOOKUP(VENTAS[[#This Row],[Código del producto Vendido]],STOCK[],5,FALSE),"-")</f>
        <v>Blusa corta de manga farol</v>
      </c>
      <c r="G1059" s="34">
        <v>1</v>
      </c>
      <c r="H1059" s="35">
        <v>9</v>
      </c>
      <c r="I1059" s="35">
        <f>VENTAS[[#This Row],[Cantidad]]*VENTAS[[#This Row],[Precio Venta]]</f>
        <v>9</v>
      </c>
      <c r="J1059" s="35">
        <f>IF(VENTAS[[#This Row],[Nombre del Gestor]]&gt;1,VENTAS[[#This Row],[Total]]*10%,0)</f>
        <v>0.9</v>
      </c>
      <c r="K1059" s="35">
        <f>IFERROR(VLOOKUP(VENTAS[[#This Row],[Código del producto Vendido]],STOCK[],16,FALSE)*VENTAS[[#This Row],[Cantidad]]+VLOOKUP(VENTAS[[#This Row],[Código del producto Vendido]],STOCK[],19,FALSE)*VENTAS[[#This Row],[Cantidad]],VENTAS[[#This Row],[Total]])</f>
        <v>7.52666666666667</v>
      </c>
      <c r="L1059" s="35">
        <f>VENTAS[[#This Row],[Total]]-VENTAS[[#This Row],[Comisión 10%]]-VENTAS[[#This Row],[Costo SIN Comision]]</f>
        <v>0.57333333333333</v>
      </c>
      <c r="M1059" s="35"/>
    </row>
    <row r="1060" ht="20" customHeight="1" spans="1:13">
      <c r="A1060" s="29">
        <v>45476</v>
      </c>
      <c r="B1060" s="30"/>
      <c r="C1060" s="30"/>
      <c r="D1060" s="30" t="s">
        <v>3533</v>
      </c>
      <c r="E1060" s="30" t="s">
        <v>2027</v>
      </c>
      <c r="F1060" s="34" t="str">
        <f>IFERROR(VLOOKUP(VENTAS[[#This Row],[Código del producto Vendido]],STOCK[],5,FALSE),"-")</f>
        <v>Blusa de bolas cuello con lazo</v>
      </c>
      <c r="G1060" s="34">
        <v>1</v>
      </c>
      <c r="H1060" s="35">
        <v>3</v>
      </c>
      <c r="I1060" s="35">
        <f>VENTAS[[#This Row],[Cantidad]]*VENTAS[[#This Row],[Precio Venta]]</f>
        <v>3</v>
      </c>
      <c r="J1060" s="35">
        <f>IF(VENTAS[[#This Row],[Nombre del Gestor]]&gt;1,VENTAS[[#This Row],[Total]]*10%,0)</f>
        <v>0.3</v>
      </c>
      <c r="K1060" s="35">
        <f>IFERROR(VLOOKUP(VENTAS[[#This Row],[Código del producto Vendido]],STOCK[],16,FALSE)*VENTAS[[#This Row],[Cantidad]]+VLOOKUP(VENTAS[[#This Row],[Código del producto Vendido]],STOCK[],19,FALSE)*VENTAS[[#This Row],[Cantidad]],VENTAS[[#This Row],[Total]])</f>
        <v>0</v>
      </c>
      <c r="L1060" s="68">
        <f>VENTAS[[#This Row],[Total]]-VENTAS[[#This Row],[Comisión 10%]]-VENTAS[[#This Row],[Costo SIN Comision]]</f>
        <v>2.7</v>
      </c>
      <c r="M1060" s="35"/>
    </row>
    <row r="1061" ht="20" customHeight="1" spans="1:13">
      <c r="A1061" s="29">
        <v>45478</v>
      </c>
      <c r="B1061" s="30"/>
      <c r="C1061" s="30" t="s">
        <v>3534</v>
      </c>
      <c r="D1061" s="30"/>
      <c r="E1061" s="30" t="s">
        <v>1223</v>
      </c>
      <c r="F1061" s="34" t="str">
        <f>IFERROR(VLOOKUP(VENTAS[[#This Row],[Código del producto Vendido]],STOCK[],5,FALSE),"-")</f>
        <v>Calzado tacón negro</v>
      </c>
      <c r="G1061" s="34">
        <v>1</v>
      </c>
      <c r="H1061" s="35">
        <v>55</v>
      </c>
      <c r="I1061" s="35">
        <f>VENTAS[[#This Row],[Cantidad]]*VENTAS[[#This Row],[Precio Venta]]</f>
        <v>55</v>
      </c>
      <c r="J1061" s="35">
        <f>IF(VENTAS[[#This Row],[Nombre del Gestor]]&gt;1,VENTAS[[#This Row],[Total]]*10%,0)</f>
        <v>0</v>
      </c>
      <c r="K1061" s="35">
        <f>IFERROR(VLOOKUP(VENTAS[[#This Row],[Código del producto Vendido]],STOCK[],16,FALSE)*VENTAS[[#This Row],[Cantidad]]+VLOOKUP(VENTAS[[#This Row],[Código del producto Vendido]],STOCK[],19,FALSE)*VENTAS[[#This Row],[Cantidad]],VENTAS[[#This Row],[Total]])</f>
        <v>41.83</v>
      </c>
      <c r="L1061" s="35">
        <f>VENTAS[[#This Row],[Total]]-VENTAS[[#This Row],[Comisión 10%]]-VENTAS[[#This Row],[Costo SIN Comision]]</f>
        <v>13.17</v>
      </c>
      <c r="M1061" s="35"/>
    </row>
    <row r="1062" ht="20" customHeight="1" spans="1:13">
      <c r="A1062" s="29">
        <v>45474</v>
      </c>
      <c r="B1062" s="30"/>
      <c r="C1062" s="30"/>
      <c r="D1062" s="30" t="s">
        <v>3481</v>
      </c>
      <c r="E1062" s="30" t="s">
        <v>2108</v>
      </c>
      <c r="F1062" s="34" t="str">
        <f>IFERROR(VLOOKUP(VENTAS[[#This Row],[Código del producto Vendido]],STOCK[],5,FALSE),"-")</f>
        <v>The Cat TOTE bag tamaño de Gran Capacidad </v>
      </c>
      <c r="G1062" s="34">
        <v>1</v>
      </c>
      <c r="H1062" s="35">
        <v>12</v>
      </c>
      <c r="I1062" s="35">
        <f>VENTAS[[#This Row],[Cantidad]]*VENTAS[[#This Row],[Precio Venta]]</f>
        <v>12</v>
      </c>
      <c r="J1062" s="35">
        <f>IF(VENTAS[[#This Row],[Nombre del Gestor]]&gt;1,VENTAS[[#This Row],[Total]]*10%,0)</f>
        <v>1.2</v>
      </c>
      <c r="K1062" s="35">
        <f>IFERROR(VLOOKUP(VENTAS[[#This Row],[Código del producto Vendido]],STOCK[],16,FALSE)*VENTAS[[#This Row],[Cantidad]]+VLOOKUP(VENTAS[[#This Row],[Código del producto Vendido]],STOCK[],19,FALSE)*VENTAS[[#This Row],[Cantidad]],VENTAS[[#This Row],[Total]])</f>
        <v>5.58</v>
      </c>
      <c r="L1062" s="35">
        <f>VENTAS[[#This Row],[Total]]-VENTAS[[#This Row],[Comisión 10%]]-VENTAS[[#This Row],[Costo SIN Comision]]</f>
        <v>5.22</v>
      </c>
      <c r="M1062" s="35"/>
    </row>
    <row r="1063" ht="20" customHeight="1" spans="1:13">
      <c r="A1063" s="29">
        <v>45488</v>
      </c>
      <c r="B1063" s="30"/>
      <c r="C1063" s="30"/>
      <c r="D1063" s="30" t="s">
        <v>3324</v>
      </c>
      <c r="E1063" s="30" t="s">
        <v>2165</v>
      </c>
      <c r="F1063" s="34" t="str">
        <f>IFERROR(VLOOKUP(VENTAS[[#This Row],[Código del producto Vendido]],STOCK[],5,FALSE),"-")</f>
        <v>Bañador en color sólido sexy-elegante </v>
      </c>
      <c r="G1063" s="34">
        <v>1</v>
      </c>
      <c r="H1063" s="35">
        <v>20</v>
      </c>
      <c r="I1063" s="35">
        <f>VENTAS[[#This Row],[Cantidad]]*VENTAS[[#This Row],[Precio Venta]]</f>
        <v>20</v>
      </c>
      <c r="J1063" s="35">
        <f>IF(VENTAS[[#This Row],[Nombre del Gestor]]&gt;1,VENTAS[[#This Row],[Total]]*10%,0)</f>
        <v>2</v>
      </c>
      <c r="K1063" s="35">
        <f>IFERROR(VLOOKUP(VENTAS[[#This Row],[Código del producto Vendido]],STOCK[],16,FALSE)*VENTAS[[#This Row],[Cantidad]]+VLOOKUP(VENTAS[[#This Row],[Código del producto Vendido]],STOCK[],19,FALSE)*VENTAS[[#This Row],[Cantidad]],VENTAS[[#This Row],[Total]])</f>
        <v>8.24</v>
      </c>
      <c r="L1063" s="35">
        <f>VENTAS[[#This Row],[Total]]-VENTAS[[#This Row],[Comisión 10%]]-VENTAS[[#This Row],[Costo SIN Comision]]</f>
        <v>9.76</v>
      </c>
      <c r="M1063" s="35" t="s">
        <v>3535</v>
      </c>
    </row>
    <row r="1064" ht="20" customHeight="1" spans="1:13">
      <c r="A1064" s="29">
        <v>45483</v>
      </c>
      <c r="B1064" s="30"/>
      <c r="C1064" s="30"/>
      <c r="D1064" s="30" t="s">
        <v>3481</v>
      </c>
      <c r="E1064" s="30" t="s">
        <v>2184</v>
      </c>
      <c r="F1064" s="34" t="str">
        <f>IFERROR(VLOOKUP(VENTAS[[#This Row],[Código del producto Vendido]],STOCK[],5,FALSE),"-")</f>
        <v>Bikini sexy de pierna alta en tendencia</v>
      </c>
      <c r="G1064" s="34">
        <v>1</v>
      </c>
      <c r="H1064" s="35">
        <v>20</v>
      </c>
      <c r="I1064" s="35">
        <f>VENTAS[[#This Row],[Cantidad]]*VENTAS[[#This Row],[Precio Venta]]</f>
        <v>20</v>
      </c>
      <c r="J1064" s="35">
        <f>IF(VENTAS[[#This Row],[Nombre del Gestor]]&gt;1,VENTAS[[#This Row],[Total]]*10%,0)</f>
        <v>2</v>
      </c>
      <c r="K1064" s="35">
        <f>IFERROR(VLOOKUP(VENTAS[[#This Row],[Código del producto Vendido]],STOCK[],16,FALSE)*VENTAS[[#This Row],[Cantidad]]+VLOOKUP(VENTAS[[#This Row],[Código del producto Vendido]],STOCK[],19,FALSE)*VENTAS[[#This Row],[Cantidad]],VENTAS[[#This Row],[Total]])</f>
        <v>6.62</v>
      </c>
      <c r="L1064" s="35">
        <f>VENTAS[[#This Row],[Total]]-VENTAS[[#This Row],[Comisión 10%]]-VENTAS[[#This Row],[Costo SIN Comision]]</f>
        <v>11.38</v>
      </c>
      <c r="M1064" s="35"/>
    </row>
    <row r="1065" ht="20" customHeight="1" spans="1:13">
      <c r="A1065" s="29">
        <v>45483</v>
      </c>
      <c r="B1065" s="30"/>
      <c r="C1065" s="30"/>
      <c r="D1065" s="30" t="s">
        <v>3481</v>
      </c>
      <c r="E1065" s="30" t="s">
        <v>1907</v>
      </c>
      <c r="F1065" s="34" t="str">
        <f>IFERROR(VLOOKUP(VENTAS[[#This Row],[Código del producto Vendido]],STOCK[],5,FALSE),"-")</f>
        <v>Gafas de Sol Retro Blanco</v>
      </c>
      <c r="G1065" s="34">
        <v>1</v>
      </c>
      <c r="H1065" s="35">
        <v>8</v>
      </c>
      <c r="I1065" s="35">
        <f>VENTAS[[#This Row],[Cantidad]]*VENTAS[[#This Row],[Precio Venta]]</f>
        <v>8</v>
      </c>
      <c r="J1065" s="35">
        <f>IF(VENTAS[[#This Row],[Nombre del Gestor]]&gt;1,VENTAS[[#This Row],[Total]]*10%,0)</f>
        <v>0.8</v>
      </c>
      <c r="K1065" s="35">
        <f>IFERROR(VLOOKUP(VENTAS[[#This Row],[Código del producto Vendido]],STOCK[],16,FALSE)*VENTAS[[#This Row],[Cantidad]]+VLOOKUP(VENTAS[[#This Row],[Código del producto Vendido]],STOCK[],19,FALSE)*VENTAS[[#This Row],[Cantidad]],VENTAS[[#This Row],[Total]])</f>
        <v>4.45</v>
      </c>
      <c r="L1065" s="35">
        <f>VENTAS[[#This Row],[Total]]-VENTAS[[#This Row],[Comisión 10%]]-VENTAS[[#This Row],[Costo SIN Comision]]</f>
        <v>2.75</v>
      </c>
      <c r="M1065" s="35"/>
    </row>
    <row r="1066" ht="20" customHeight="1" spans="1:13">
      <c r="A1066" s="29">
        <v>45483</v>
      </c>
      <c r="B1066" s="30"/>
      <c r="C1066" s="30"/>
      <c r="D1066" s="30" t="s">
        <v>3481</v>
      </c>
      <c r="E1066" s="30" t="s">
        <v>2418</v>
      </c>
      <c r="F1066" s="34" t="str">
        <f>IFERROR(VLOOKUP(VENTAS[[#This Row],[Código del producto Vendido]],STOCK[],5,FALSE),"-")</f>
        <v>Camisa blanca en mezcla de algodón</v>
      </c>
      <c r="G1066" s="34">
        <v>1</v>
      </c>
      <c r="H1066" s="35">
        <v>22</v>
      </c>
      <c r="I1066" s="35">
        <f>VENTAS[[#This Row],[Cantidad]]*VENTAS[[#This Row],[Precio Venta]]</f>
        <v>22</v>
      </c>
      <c r="J1066" s="35">
        <f>IF(VENTAS[[#This Row],[Nombre del Gestor]]&gt;1,VENTAS[[#This Row],[Total]]*10%,0)</f>
        <v>2.2</v>
      </c>
      <c r="K1066" s="35">
        <f>IFERROR(VLOOKUP(VENTAS[[#This Row],[Código del producto Vendido]],STOCK[],16,FALSE)*VENTAS[[#This Row],[Cantidad]]+VLOOKUP(VENTAS[[#This Row],[Código del producto Vendido]],STOCK[],19,FALSE)*VENTAS[[#This Row],[Cantidad]],VENTAS[[#This Row],[Total]])</f>
        <v>17.7808108108108</v>
      </c>
      <c r="L1066" s="35">
        <f>VENTAS[[#This Row],[Total]]-VENTAS[[#This Row],[Comisión 10%]]-VENTAS[[#This Row],[Costo SIN Comision]]</f>
        <v>2.0191891891892</v>
      </c>
      <c r="M1066" s="35"/>
    </row>
    <row r="1067" ht="20" customHeight="1" spans="1:13">
      <c r="A1067" s="29">
        <v>45484</v>
      </c>
      <c r="B1067" s="30"/>
      <c r="C1067" s="30"/>
      <c r="D1067" s="30" t="s">
        <v>3481</v>
      </c>
      <c r="E1067" s="30" t="s">
        <v>603</v>
      </c>
      <c r="F1067" s="34" t="str">
        <f>IFERROR(VLOOKUP(VENTAS[[#This Row],[Código del producto Vendido]],STOCK[],5,FALSE),"-")</f>
        <v>Vestido floral de mangas farol</v>
      </c>
      <c r="G1067" s="34">
        <v>1</v>
      </c>
      <c r="H1067" s="35">
        <v>20</v>
      </c>
      <c r="I1067" s="35">
        <f>VENTAS[[#This Row],[Cantidad]]*VENTAS[[#This Row],[Precio Venta]]</f>
        <v>20</v>
      </c>
      <c r="J1067" s="35">
        <f>IF(VENTAS[[#This Row],[Nombre del Gestor]]&gt;1,VENTAS[[#This Row],[Total]]*10%,0)</f>
        <v>2</v>
      </c>
      <c r="K1067" s="35">
        <f>IFERROR(VLOOKUP(VENTAS[[#This Row],[Código del producto Vendido]],STOCK[],16,FALSE)*VENTAS[[#This Row],[Cantidad]]+VLOOKUP(VENTAS[[#This Row],[Código del producto Vendido]],STOCK[],19,FALSE)*VENTAS[[#This Row],[Cantidad]],VENTAS[[#This Row],[Total]])</f>
        <v>10.7222222222222</v>
      </c>
      <c r="L1067" s="35">
        <f>VENTAS[[#This Row],[Total]]-VENTAS[[#This Row],[Comisión 10%]]-VENTAS[[#This Row],[Costo SIN Comision]]</f>
        <v>7.27777777777778</v>
      </c>
      <c r="M1067" s="35"/>
    </row>
    <row r="1068" ht="20" customHeight="1" spans="1:13">
      <c r="A1068" s="29">
        <v>45485</v>
      </c>
      <c r="B1068" s="30"/>
      <c r="C1068" s="30"/>
      <c r="D1068" s="30" t="s">
        <v>3481</v>
      </c>
      <c r="E1068" s="30" t="s">
        <v>1163</v>
      </c>
      <c r="F1068" s="34" t="str">
        <f>IFERROR(VLOOKUP(VENTAS[[#This Row],[Código del producto Vendido]],STOCK[],5,FALSE),"-")</f>
        <v>Short de mezclilla con doblez (no elastiza)</v>
      </c>
      <c r="G1068" s="34">
        <v>1</v>
      </c>
      <c r="H1068" s="35">
        <v>20</v>
      </c>
      <c r="I1068" s="35">
        <f>VENTAS[[#This Row],[Cantidad]]*VENTAS[[#This Row],[Precio Venta]]</f>
        <v>20</v>
      </c>
      <c r="J1068" s="35">
        <f>IF(VENTAS[[#This Row],[Nombre del Gestor]]&gt;1,VENTAS[[#This Row],[Total]]*10%,0)</f>
        <v>2</v>
      </c>
      <c r="K1068" s="35">
        <f>IFERROR(VLOOKUP(VENTAS[[#This Row],[Código del producto Vendido]],STOCK[],16,FALSE)*VENTAS[[#This Row],[Cantidad]]+VLOOKUP(VENTAS[[#This Row],[Código del producto Vendido]],STOCK[],19,FALSE)*VENTAS[[#This Row],[Cantidad]],VENTAS[[#This Row],[Total]])</f>
        <v>14.29</v>
      </c>
      <c r="L1068" s="35">
        <f>VENTAS[[#This Row],[Total]]-VENTAS[[#This Row],[Comisión 10%]]-VENTAS[[#This Row],[Costo SIN Comision]]</f>
        <v>3.71</v>
      </c>
      <c r="M1068" s="35"/>
    </row>
    <row r="1069" ht="20" customHeight="1" spans="1:13">
      <c r="A1069" s="29">
        <v>45485</v>
      </c>
      <c r="B1069" s="30"/>
      <c r="C1069" s="30"/>
      <c r="D1069" s="30" t="s">
        <v>3481</v>
      </c>
      <c r="E1069" s="30"/>
      <c r="F1069" s="34" t="s">
        <v>3536</v>
      </c>
      <c r="G1069" s="34">
        <v>1</v>
      </c>
      <c r="H1069" s="35">
        <v>25</v>
      </c>
      <c r="I1069" s="35">
        <f>VENTAS[[#This Row],[Cantidad]]*VENTAS[[#This Row],[Precio Venta]]</f>
        <v>25</v>
      </c>
      <c r="J1069" s="35">
        <f>IF(VENTAS[[#This Row],[Nombre del Gestor]]&gt;1,VENTAS[[#This Row],[Total]]*10%,0)</f>
        <v>2.5</v>
      </c>
      <c r="K1069" s="35">
        <f>IFERROR(VLOOKUP(VENTAS[[#This Row],[Código del producto Vendido]],STOCK[],16,FALSE)*VENTAS[[#This Row],[Cantidad]]+VLOOKUP(VENTAS[[#This Row],[Código del producto Vendido]],STOCK[],19,FALSE)*VENTAS[[#This Row],[Cantidad]],VENTAS[[#This Row],[Total]])</f>
        <v>25</v>
      </c>
      <c r="L1069" s="35">
        <f>VENTAS[[#This Row],[Total]]-VENTAS[[#This Row],[Comisión 10%]]-VENTAS[[#This Row],[Costo SIN Comision]]</f>
        <v>-2.5</v>
      </c>
      <c r="M1069" s="35"/>
    </row>
    <row r="1070" ht="20" customHeight="1" spans="1:13">
      <c r="A1070" s="29">
        <v>45485</v>
      </c>
      <c r="B1070" s="30"/>
      <c r="C1070" s="30"/>
      <c r="D1070" s="30" t="s">
        <v>3481</v>
      </c>
      <c r="E1070" s="30" t="s">
        <v>2182</v>
      </c>
      <c r="F1070" s="34" t="str">
        <f>IFERROR(VLOOKUP(VENTAS[[#This Row],[Código del producto Vendido]],STOCK[],5,FALSE),"-")</f>
        <v>Bikini sexy de pierna alta en tendencia</v>
      </c>
      <c r="G1070" s="34">
        <v>1</v>
      </c>
      <c r="H1070" s="35">
        <v>20</v>
      </c>
      <c r="I1070" s="35">
        <f>VENTAS[[#This Row],[Cantidad]]*VENTAS[[#This Row],[Precio Venta]]</f>
        <v>20</v>
      </c>
      <c r="J1070" s="35">
        <f>IF(VENTAS[[#This Row],[Nombre del Gestor]]&gt;1,VENTAS[[#This Row],[Total]]*10%,0)</f>
        <v>2</v>
      </c>
      <c r="K1070" s="35">
        <f>IFERROR(VLOOKUP(VENTAS[[#This Row],[Código del producto Vendido]],STOCK[],16,FALSE)*VENTAS[[#This Row],[Cantidad]]+VLOOKUP(VENTAS[[#This Row],[Código del producto Vendido]],STOCK[],19,FALSE)*VENTAS[[#This Row],[Cantidad]],VENTAS[[#This Row],[Total]])</f>
        <v>6.62</v>
      </c>
      <c r="L1070" s="35">
        <f>VENTAS[[#This Row],[Total]]-VENTAS[[#This Row],[Comisión 10%]]-VENTAS[[#This Row],[Costo SIN Comision]]</f>
        <v>11.38</v>
      </c>
      <c r="M1070" s="35"/>
    </row>
    <row r="1071" ht="20" customHeight="1" spans="1:13">
      <c r="A1071" s="29">
        <v>45485</v>
      </c>
      <c r="B1071" s="30"/>
      <c r="C1071" s="30"/>
      <c r="D1071" s="30" t="s">
        <v>3481</v>
      </c>
      <c r="E1071" s="30" t="s">
        <v>2312</v>
      </c>
      <c r="F1071" s="34" t="str">
        <f>IFERROR(VLOOKUP(VENTAS[[#This Row],[Código del producto Vendido]],STOCK[],5,FALSE),"-")</f>
        <v>Blusa Vacaciones con lazo delantero</v>
      </c>
      <c r="G1071" s="34">
        <v>1</v>
      </c>
      <c r="H1071" s="35">
        <v>15</v>
      </c>
      <c r="I1071" s="35">
        <f>VENTAS[[#This Row],[Cantidad]]*VENTAS[[#This Row],[Precio Venta]]</f>
        <v>15</v>
      </c>
      <c r="J1071" s="35">
        <f>IF(VENTAS[[#This Row],[Nombre del Gestor]]&gt;1,VENTAS[[#This Row],[Total]]*10%,0)</f>
        <v>1.5</v>
      </c>
      <c r="K1071" s="35">
        <f>IFERROR(VLOOKUP(VENTAS[[#This Row],[Código del producto Vendido]],STOCK[],16,FALSE)*VENTAS[[#This Row],[Cantidad]]+VLOOKUP(VENTAS[[#This Row],[Código del producto Vendido]],STOCK[],19,FALSE)*VENTAS[[#This Row],[Cantidad]],VENTAS[[#This Row],[Total]])</f>
        <v>8.733125</v>
      </c>
      <c r="L1071" s="35">
        <f>VENTAS[[#This Row],[Total]]-VENTAS[[#This Row],[Comisión 10%]]-VENTAS[[#This Row],[Costo SIN Comision]]</f>
        <v>4.766875</v>
      </c>
      <c r="M1071" s="35"/>
    </row>
    <row r="1072" ht="20" customHeight="1" spans="1:13">
      <c r="A1072" s="29">
        <v>45485</v>
      </c>
      <c r="B1072" s="30"/>
      <c r="C1072" s="30"/>
      <c r="D1072" s="30" t="s">
        <v>3481</v>
      </c>
      <c r="E1072" s="30" t="s">
        <v>2310</v>
      </c>
      <c r="F1072" s="34" t="str">
        <f>IFERROR(VLOOKUP(VENTAS[[#This Row],[Código del producto Vendido]],STOCK[],5,FALSE),"-")</f>
        <v>Blusa Vacaciones con lazo delantero</v>
      </c>
      <c r="G1072" s="34">
        <v>1</v>
      </c>
      <c r="H1072" s="35">
        <v>15</v>
      </c>
      <c r="I1072" s="35">
        <f>VENTAS[[#This Row],[Cantidad]]*VENTAS[[#This Row],[Precio Venta]]</f>
        <v>15</v>
      </c>
      <c r="J1072" s="35">
        <f>IF(VENTAS[[#This Row],[Nombre del Gestor]]&gt;1,VENTAS[[#This Row],[Total]]*10%,0)</f>
        <v>1.5</v>
      </c>
      <c r="K1072" s="35">
        <f>IFERROR(VLOOKUP(VENTAS[[#This Row],[Código del producto Vendido]],STOCK[],16,FALSE)*VENTAS[[#This Row],[Cantidad]]+VLOOKUP(VENTAS[[#This Row],[Código del producto Vendido]],STOCK[],19,FALSE)*VENTAS[[#This Row],[Cantidad]],VENTAS[[#This Row],[Total]])</f>
        <v>8.733125</v>
      </c>
      <c r="L1072" s="35">
        <f>VENTAS[[#This Row],[Total]]-VENTAS[[#This Row],[Comisión 10%]]-VENTAS[[#This Row],[Costo SIN Comision]]</f>
        <v>4.766875</v>
      </c>
      <c r="M1072" s="35"/>
    </row>
    <row r="1073" ht="20" customHeight="1" spans="1:13">
      <c r="A1073" s="29">
        <v>45486</v>
      </c>
      <c r="B1073" s="30"/>
      <c r="C1073" s="30"/>
      <c r="D1073" s="30" t="s">
        <v>3481</v>
      </c>
      <c r="E1073" s="30" t="s">
        <v>2184</v>
      </c>
      <c r="F1073" s="34" t="str">
        <f>IFERROR(VLOOKUP(VENTAS[[#This Row],[Código del producto Vendido]],STOCK[],5,FALSE),"-")</f>
        <v>Bikini sexy de pierna alta en tendencia</v>
      </c>
      <c r="G1073" s="34">
        <v>1</v>
      </c>
      <c r="H1073" s="35">
        <v>20</v>
      </c>
      <c r="I1073" s="35">
        <f>VENTAS[[#This Row],[Cantidad]]*VENTAS[[#This Row],[Precio Venta]]</f>
        <v>20</v>
      </c>
      <c r="J1073" s="35">
        <f>IF(VENTAS[[#This Row],[Nombre del Gestor]]&gt;1,VENTAS[[#This Row],[Total]]*10%,0)</f>
        <v>2</v>
      </c>
      <c r="K1073" s="35">
        <f>IFERROR(VLOOKUP(VENTAS[[#This Row],[Código del producto Vendido]],STOCK[],16,FALSE)*VENTAS[[#This Row],[Cantidad]]+VLOOKUP(VENTAS[[#This Row],[Código del producto Vendido]],STOCK[],19,FALSE)*VENTAS[[#This Row],[Cantidad]],VENTAS[[#This Row],[Total]])</f>
        <v>6.62</v>
      </c>
      <c r="L1073" s="35">
        <f>VENTAS[[#This Row],[Total]]-VENTAS[[#This Row],[Comisión 10%]]-VENTAS[[#This Row],[Costo SIN Comision]]</f>
        <v>11.38</v>
      </c>
      <c r="M1073" s="35"/>
    </row>
    <row r="1074" ht="20" customHeight="1" spans="1:13">
      <c r="A1074" s="29">
        <v>45487</v>
      </c>
      <c r="B1074" s="30"/>
      <c r="C1074" s="30"/>
      <c r="D1074" s="30" t="s">
        <v>3481</v>
      </c>
      <c r="E1074" s="30" t="s">
        <v>2174</v>
      </c>
      <c r="F1074" s="34" t="str">
        <f>IFERROR(VLOOKUP(VENTAS[[#This Row],[Código del producto Vendido]],STOCK[],5,FALSE),"-")</f>
        <v>Set de bikini 2 piezas estampado de colores con adorno de aro</v>
      </c>
      <c r="G1074" s="34">
        <v>1</v>
      </c>
      <c r="H1074" s="35">
        <v>18</v>
      </c>
      <c r="I1074" s="35">
        <f>VENTAS[[#This Row],[Cantidad]]*VENTAS[[#This Row],[Precio Venta]]</f>
        <v>18</v>
      </c>
      <c r="J1074" s="35">
        <f>IF(VENTAS[[#This Row],[Nombre del Gestor]]&gt;1,VENTAS[[#This Row],[Total]]*10%,0)</f>
        <v>1.8</v>
      </c>
      <c r="K1074" s="35">
        <f>IFERROR(VLOOKUP(VENTAS[[#This Row],[Código del producto Vendido]],STOCK[],16,FALSE)*VENTAS[[#This Row],[Cantidad]]+VLOOKUP(VENTAS[[#This Row],[Código del producto Vendido]],STOCK[],19,FALSE)*VENTAS[[#This Row],[Cantidad]],VENTAS[[#This Row],[Total]])</f>
        <v>4.43</v>
      </c>
      <c r="L1074" s="35">
        <f>VENTAS[[#This Row],[Total]]-VENTAS[[#This Row],[Comisión 10%]]-VENTAS[[#This Row],[Costo SIN Comision]]</f>
        <v>11.77</v>
      </c>
      <c r="M1074" s="35"/>
    </row>
    <row r="1075" ht="20" customHeight="1" spans="1:13">
      <c r="A1075" s="29">
        <v>45487</v>
      </c>
      <c r="B1075" s="30"/>
      <c r="C1075" s="30"/>
      <c r="D1075" s="30" t="s">
        <v>3481</v>
      </c>
      <c r="E1075" s="30" t="s">
        <v>2206</v>
      </c>
      <c r="F1075" s="34" t="str">
        <f>IFERROR(VLOOKUP(VENTAS[[#This Row],[Código del producto Vendido]],STOCK[],5,FALSE),"-")</f>
        <v>Bolso TOTE arcoíris trending </v>
      </c>
      <c r="G1075" s="34">
        <v>1</v>
      </c>
      <c r="H1075" s="35">
        <v>12</v>
      </c>
      <c r="I1075" s="35">
        <f>VENTAS[[#This Row],[Cantidad]]*VENTAS[[#This Row],[Precio Venta]]</f>
        <v>12</v>
      </c>
      <c r="J1075" s="35">
        <f>IF(VENTAS[[#This Row],[Nombre del Gestor]]&gt;1,VENTAS[[#This Row],[Total]]*10%,0)</f>
        <v>1.2</v>
      </c>
      <c r="K1075" s="35">
        <f>IFERROR(VLOOKUP(VENTAS[[#This Row],[Código del producto Vendido]],STOCK[],16,FALSE)*VENTAS[[#This Row],[Cantidad]]+VLOOKUP(VENTAS[[#This Row],[Código del producto Vendido]],STOCK[],19,FALSE)*VENTAS[[#This Row],[Cantidad]],VENTAS[[#This Row],[Total]])</f>
        <v>5.84</v>
      </c>
      <c r="L1075" s="35">
        <f>VENTAS[[#This Row],[Total]]-VENTAS[[#This Row],[Comisión 10%]]-VENTAS[[#This Row],[Costo SIN Comision]]</f>
        <v>4.96</v>
      </c>
      <c r="M1075" s="35"/>
    </row>
    <row r="1076" ht="20" customHeight="1" spans="1:13">
      <c r="A1076" s="29">
        <v>45487</v>
      </c>
      <c r="B1076" s="30"/>
      <c r="C1076" s="30"/>
      <c r="D1076" s="30" t="s">
        <v>3481</v>
      </c>
      <c r="E1076" s="30" t="s">
        <v>1896</v>
      </c>
      <c r="F1076" s="34" t="str">
        <f>IFERROR(VLOOKUP(VENTAS[[#This Row],[Código del producto Vendido]],STOCK[],5,FALSE),"-")</f>
        <v>Bolso mochila estampado</v>
      </c>
      <c r="G1076" s="34">
        <v>1</v>
      </c>
      <c r="H1076" s="35">
        <v>25</v>
      </c>
      <c r="I1076" s="35">
        <f>VENTAS[[#This Row],[Cantidad]]*VENTAS[[#This Row],[Precio Venta]]</f>
        <v>25</v>
      </c>
      <c r="J1076" s="35">
        <f>IF(VENTAS[[#This Row],[Nombre del Gestor]]&gt;1,VENTAS[[#This Row],[Total]]*10%,0)</f>
        <v>2.5</v>
      </c>
      <c r="K1076" s="35">
        <f>IFERROR(VLOOKUP(VENTAS[[#This Row],[Código del producto Vendido]],STOCK[],16,FALSE)*VENTAS[[#This Row],[Cantidad]]+VLOOKUP(VENTAS[[#This Row],[Código del producto Vendido]],STOCK[],19,FALSE)*VENTAS[[#This Row],[Cantidad]],VENTAS[[#This Row],[Total]])</f>
        <v>12.62</v>
      </c>
      <c r="L1076" s="35">
        <f>VENTAS[[#This Row],[Total]]-VENTAS[[#This Row],[Comisión 10%]]-VENTAS[[#This Row],[Costo SIN Comision]]</f>
        <v>9.88</v>
      </c>
      <c r="M1076" s="35"/>
    </row>
    <row r="1077" ht="20" customHeight="1" spans="1:13">
      <c r="A1077" s="29">
        <v>45487</v>
      </c>
      <c r="B1077" s="30"/>
      <c r="C1077" s="30"/>
      <c r="D1077" s="30" t="s">
        <v>3506</v>
      </c>
      <c r="E1077" s="30" t="s">
        <v>1654</v>
      </c>
      <c r="F1077" s="34" t="str">
        <f>IFERROR(VLOOKUP(VENTAS[[#This Row],[Código del producto Vendido]],STOCK[],5,FALSE),"-")</f>
        <v>Vestido margarita</v>
      </c>
      <c r="G1077" s="34">
        <v>1</v>
      </c>
      <c r="H1077" s="35">
        <v>28</v>
      </c>
      <c r="I1077" s="35">
        <f>VENTAS[[#This Row],[Cantidad]]*VENTAS[[#This Row],[Precio Venta]]</f>
        <v>28</v>
      </c>
      <c r="J1077" s="35">
        <f>IF(VENTAS[[#This Row],[Nombre del Gestor]]&gt;1,VENTAS[[#This Row],[Total]]*10%,0)</f>
        <v>2.8</v>
      </c>
      <c r="K1077" s="35">
        <f>IFERROR(VLOOKUP(VENTAS[[#This Row],[Código del producto Vendido]],STOCK[],16,FALSE)*VENTAS[[#This Row],[Cantidad]]+VLOOKUP(VENTAS[[#This Row],[Código del producto Vendido]],STOCK[],19,FALSE)*VENTAS[[#This Row],[Cantidad]],VENTAS[[#This Row],[Total]])</f>
        <v>15.05</v>
      </c>
      <c r="L1077" s="35">
        <f>VENTAS[[#This Row],[Total]]-VENTAS[[#This Row],[Comisión 10%]]-VENTAS[[#This Row],[Costo SIN Comision]]</f>
        <v>10.15</v>
      </c>
      <c r="M1077" s="35"/>
    </row>
    <row r="1078" ht="20" customHeight="1" spans="1:13">
      <c r="A1078" s="29">
        <v>45487</v>
      </c>
      <c r="B1078" s="30"/>
      <c r="C1078" s="30"/>
      <c r="D1078" s="30" t="s">
        <v>3506</v>
      </c>
      <c r="E1078" s="30" t="s">
        <v>2209</v>
      </c>
      <c r="F1078" s="34" t="str">
        <f>IFERROR(VLOOKUP(VENTAS[[#This Row],[Código del producto Vendido]],STOCK[],5,FALSE),"-")</f>
        <v>Vestido Resorte estampado bohemio</v>
      </c>
      <c r="G1078" s="34">
        <v>1</v>
      </c>
      <c r="H1078" s="35">
        <v>35</v>
      </c>
      <c r="I1078" s="35">
        <f>VENTAS[[#This Row],[Cantidad]]*VENTAS[[#This Row],[Precio Venta]]</f>
        <v>35</v>
      </c>
      <c r="J1078" s="35">
        <f>IF(VENTAS[[#This Row],[Nombre del Gestor]]&gt;1,VENTAS[[#This Row],[Total]]*10%,0)</f>
        <v>3.5</v>
      </c>
      <c r="K1078" s="35">
        <f>IFERROR(VLOOKUP(VENTAS[[#This Row],[Código del producto Vendido]],STOCK[],16,FALSE)*VENTAS[[#This Row],[Cantidad]]+VLOOKUP(VENTAS[[#This Row],[Código del producto Vendido]],STOCK[],19,FALSE)*VENTAS[[#This Row],[Cantidad]],VENTAS[[#This Row],[Total]])</f>
        <v>15.39</v>
      </c>
      <c r="L1078" s="35">
        <f>VENTAS[[#This Row],[Total]]-VENTAS[[#This Row],[Comisión 10%]]-VENTAS[[#This Row],[Costo SIN Comision]]</f>
        <v>16.11</v>
      </c>
      <c r="M1078" s="35"/>
    </row>
    <row r="1079" ht="20" customHeight="1" spans="1:13">
      <c r="A1079" s="29">
        <v>45484</v>
      </c>
      <c r="B1079" s="30"/>
      <c r="C1079" s="30"/>
      <c r="D1079" s="30" t="s">
        <v>3506</v>
      </c>
      <c r="E1079" s="30" t="s">
        <v>1679</v>
      </c>
      <c r="F1079" s="34" t="str">
        <f>IFERROR(VLOOKUP(VENTAS[[#This Row],[Código del producto Vendido]],STOCK[],5,FALSE),"-")</f>
        <v>Vestido Frenchy</v>
      </c>
      <c r="G1079" s="34">
        <v>1</v>
      </c>
      <c r="H1079" s="35">
        <v>20</v>
      </c>
      <c r="I1079" s="35">
        <f>VENTAS[[#This Row],[Cantidad]]*VENTAS[[#This Row],[Precio Venta]]</f>
        <v>20</v>
      </c>
      <c r="J1079" s="35">
        <f>IF(VENTAS[[#This Row],[Nombre del Gestor]]&gt;1,VENTAS[[#This Row],[Total]]*10%,0)</f>
        <v>2</v>
      </c>
      <c r="K1079" s="35">
        <f>IFERROR(VLOOKUP(VENTAS[[#This Row],[Código del producto Vendido]],STOCK[],16,FALSE)*VENTAS[[#This Row],[Cantidad]]+VLOOKUP(VENTAS[[#This Row],[Código del producto Vendido]],STOCK[],19,FALSE)*VENTAS[[#This Row],[Cantidad]],VENTAS[[#This Row],[Total]])</f>
        <v>11.56</v>
      </c>
      <c r="L1079" s="35">
        <f>VENTAS[[#This Row],[Total]]-VENTAS[[#This Row],[Comisión 10%]]-VENTAS[[#This Row],[Costo SIN Comision]]</f>
        <v>6.44</v>
      </c>
      <c r="M1079" s="35"/>
    </row>
    <row r="1080" ht="20" customHeight="1" spans="1:13">
      <c r="A1080" s="29">
        <v>45484</v>
      </c>
      <c r="B1080" s="30"/>
      <c r="C1080" s="30"/>
      <c r="D1080" s="30" t="s">
        <v>3506</v>
      </c>
      <c r="E1080" s="30" t="s">
        <v>427</v>
      </c>
      <c r="F1080" s="34" t="str">
        <f>IFERROR(VLOOKUP(VENTAS[[#This Row],[Código del producto Vendido]],STOCK[],5,FALSE),"-")</f>
        <v>Mono Bohemio con cinturón </v>
      </c>
      <c r="G1080" s="34">
        <v>1</v>
      </c>
      <c r="H1080" s="35">
        <v>23</v>
      </c>
      <c r="I1080" s="35">
        <f>VENTAS[[#This Row],[Cantidad]]*VENTAS[[#This Row],[Precio Venta]]</f>
        <v>23</v>
      </c>
      <c r="J1080" s="35">
        <f>IF(VENTAS[[#This Row],[Nombre del Gestor]]&gt;1,VENTAS[[#This Row],[Total]]*10%,0)</f>
        <v>2.3</v>
      </c>
      <c r="K1080" s="35">
        <f>IFERROR(VLOOKUP(VENTAS[[#This Row],[Código del producto Vendido]],STOCK[],16,FALSE)*VENTAS[[#This Row],[Cantidad]]+VLOOKUP(VENTAS[[#This Row],[Código del producto Vendido]],STOCK[],19,FALSE)*VENTAS[[#This Row],[Cantidad]],VENTAS[[#This Row],[Total]])</f>
        <v>14.7022222222222</v>
      </c>
      <c r="L1080" s="35">
        <f>VENTAS[[#This Row],[Total]]-VENTAS[[#This Row],[Comisión 10%]]-VENTAS[[#This Row],[Costo SIN Comision]]</f>
        <v>5.9977777777778</v>
      </c>
      <c r="M1080" s="35"/>
    </row>
    <row r="1081" ht="20" customHeight="1" spans="1:13">
      <c r="A1081" s="29">
        <v>45483</v>
      </c>
      <c r="B1081" s="30"/>
      <c r="C1081" s="30"/>
      <c r="D1081" s="30" t="s">
        <v>3506</v>
      </c>
      <c r="E1081" s="30" t="s">
        <v>1816</v>
      </c>
      <c r="F1081" s="34" t="str">
        <f>IFERROR(VLOOKUP(VENTAS[[#This Row],[Código del producto Vendido]],STOCK[],5,FALSE),"-")</f>
        <v>Vestido Midi Elegante</v>
      </c>
      <c r="G1081" s="34">
        <v>1</v>
      </c>
      <c r="H1081" s="35">
        <v>22</v>
      </c>
      <c r="I1081" s="35">
        <f>VENTAS[[#This Row],[Cantidad]]*VENTAS[[#This Row],[Precio Venta]]</f>
        <v>22</v>
      </c>
      <c r="J1081" s="35">
        <f>IF(VENTAS[[#This Row],[Nombre del Gestor]]&gt;1,VENTAS[[#This Row],[Total]]*10%,0)</f>
        <v>2.2</v>
      </c>
      <c r="K1081" s="35">
        <f>IFERROR(VLOOKUP(VENTAS[[#This Row],[Código del producto Vendido]],STOCK[],16,FALSE)*VENTAS[[#This Row],[Cantidad]]+VLOOKUP(VENTAS[[#This Row],[Código del producto Vendido]],STOCK[],19,FALSE)*VENTAS[[#This Row],[Cantidad]],VENTAS[[#This Row],[Total]])</f>
        <v>10.79</v>
      </c>
      <c r="L1081" s="35">
        <f>VENTAS[[#This Row],[Total]]-VENTAS[[#This Row],[Comisión 10%]]-VENTAS[[#This Row],[Costo SIN Comision]]</f>
        <v>9.01</v>
      </c>
      <c r="M1081" s="35"/>
    </row>
    <row r="1082" ht="20" customHeight="1" spans="1:13">
      <c r="A1082" s="29">
        <v>45485</v>
      </c>
      <c r="B1082" s="30"/>
      <c r="C1082" s="30"/>
      <c r="D1082" s="30" t="s">
        <v>3512</v>
      </c>
      <c r="E1082" s="30" t="s">
        <v>1925</v>
      </c>
      <c r="F1082" s="34" t="str">
        <f>IFERROR(VLOOKUP(VENTAS[[#This Row],[Código del producto Vendido]],STOCK[],5,FALSE),"-")</f>
        <v>Sujetador Invisible Suave sin tirantes</v>
      </c>
      <c r="G1082" s="34">
        <v>1</v>
      </c>
      <c r="H1082" s="35">
        <v>12</v>
      </c>
      <c r="I1082" s="35">
        <f>VENTAS[[#This Row],[Cantidad]]*VENTAS[[#This Row],[Precio Venta]]</f>
        <v>12</v>
      </c>
      <c r="J1082" s="35">
        <f>IF(VENTAS[[#This Row],[Nombre del Gestor]]&gt;1,VENTAS[[#This Row],[Total]]*10%,0)</f>
        <v>1.2</v>
      </c>
      <c r="K1082" s="35">
        <f>IFERROR(VLOOKUP(VENTAS[[#This Row],[Código del producto Vendido]],STOCK[],16,FALSE)*VENTAS[[#This Row],[Cantidad]]+VLOOKUP(VENTAS[[#This Row],[Código del producto Vendido]],STOCK[],19,FALSE)*VENTAS[[#This Row],[Cantidad]],VENTAS[[#This Row],[Total]])</f>
        <v>4.97</v>
      </c>
      <c r="L1082" s="35">
        <f>VENTAS[[#This Row],[Total]]-VENTAS[[#This Row],[Comisión 10%]]-VENTAS[[#This Row],[Costo SIN Comision]]</f>
        <v>5.83</v>
      </c>
      <c r="M1082" s="35"/>
    </row>
    <row r="1083" ht="20" customHeight="1" spans="1:13">
      <c r="A1083" s="29">
        <v>45485</v>
      </c>
      <c r="B1083" s="30"/>
      <c r="C1083" s="30"/>
      <c r="D1083" s="30" t="s">
        <v>3512</v>
      </c>
      <c r="E1083" s="30" t="s">
        <v>1929</v>
      </c>
      <c r="F1083" s="34" t="str">
        <f>IFERROR(VLOOKUP(VENTAS[[#This Row],[Código del producto Vendido]],STOCK[],5,FALSE),"-")</f>
        <v>Sujetador Invisible Suave sin tirantes</v>
      </c>
      <c r="G1083" s="34">
        <v>1</v>
      </c>
      <c r="H1083" s="35">
        <v>12</v>
      </c>
      <c r="I1083" s="35">
        <f>VENTAS[[#This Row],[Cantidad]]*VENTAS[[#This Row],[Precio Venta]]</f>
        <v>12</v>
      </c>
      <c r="J1083" s="35">
        <f>IF(VENTAS[[#This Row],[Nombre del Gestor]]&gt;1,VENTAS[[#This Row],[Total]]*10%,0)</f>
        <v>1.2</v>
      </c>
      <c r="K1083" s="35">
        <f>IFERROR(VLOOKUP(VENTAS[[#This Row],[Código del producto Vendido]],STOCK[],16,FALSE)*VENTAS[[#This Row],[Cantidad]]+VLOOKUP(VENTAS[[#This Row],[Código del producto Vendido]],STOCK[],19,FALSE)*VENTAS[[#This Row],[Cantidad]],VENTAS[[#This Row],[Total]])</f>
        <v>4.97</v>
      </c>
      <c r="L1083" s="35">
        <f>VENTAS[[#This Row],[Total]]-VENTAS[[#This Row],[Comisión 10%]]-VENTAS[[#This Row],[Costo SIN Comision]]</f>
        <v>5.83</v>
      </c>
      <c r="M1083" s="35"/>
    </row>
    <row r="1084" ht="20" customHeight="1" spans="1:13">
      <c r="A1084" s="29">
        <v>45482</v>
      </c>
      <c r="B1084" s="30"/>
      <c r="C1084" s="30"/>
      <c r="D1084" s="30" t="s">
        <v>3512</v>
      </c>
      <c r="E1084" s="30" t="s">
        <v>763</v>
      </c>
      <c r="F1084" s="34" t="str">
        <f>IFERROR(VLOOKUP(VENTAS[[#This Row],[Código del producto Vendido]],STOCK[],5,FALSE),"-")</f>
        <v>Sandalias anudadas</v>
      </c>
      <c r="G1084" s="34">
        <v>1</v>
      </c>
      <c r="H1084" s="35">
        <v>27</v>
      </c>
      <c r="I1084" s="35">
        <f>VENTAS[[#This Row],[Cantidad]]*VENTAS[[#This Row],[Precio Venta]]</f>
        <v>27</v>
      </c>
      <c r="J1084" s="35">
        <f>IF(VENTAS[[#This Row],[Nombre del Gestor]]&gt;1,VENTAS[[#This Row],[Total]]*10%,0)</f>
        <v>2.7</v>
      </c>
      <c r="K1084" s="35">
        <f>IFERROR(VLOOKUP(VENTAS[[#This Row],[Código del producto Vendido]],STOCK[],16,FALSE)*VENTAS[[#This Row],[Cantidad]]+VLOOKUP(VENTAS[[#This Row],[Código del producto Vendido]],STOCK[],19,FALSE)*VENTAS[[#This Row],[Cantidad]],VENTAS[[#This Row],[Total]])</f>
        <v>18.7222222222222</v>
      </c>
      <c r="L1084" s="35">
        <f>VENTAS[[#This Row],[Total]]-VENTAS[[#This Row],[Comisión 10%]]-VENTAS[[#This Row],[Costo SIN Comision]]</f>
        <v>5.5777777777778</v>
      </c>
      <c r="M1084" s="35"/>
    </row>
    <row r="1085" ht="20" customHeight="1" spans="1:13">
      <c r="A1085" s="29">
        <v>45486</v>
      </c>
      <c r="B1085" s="30"/>
      <c r="C1085" s="30"/>
      <c r="D1085" s="30" t="s">
        <v>3451</v>
      </c>
      <c r="E1085" s="30" t="s">
        <v>1913</v>
      </c>
      <c r="F1085" s="34" t="str">
        <f>IFERROR(VLOOKUP(VENTAS[[#This Row],[Código del producto Vendido]],STOCK[],5,FALSE),"-")</f>
        <v>Gafas de Sol Retro Negro</v>
      </c>
      <c r="G1085" s="34">
        <v>1</v>
      </c>
      <c r="H1085" s="35">
        <v>8</v>
      </c>
      <c r="I1085" s="35">
        <f>VENTAS[[#This Row],[Cantidad]]*VENTAS[[#This Row],[Precio Venta]]</f>
        <v>8</v>
      </c>
      <c r="J1085" s="35">
        <f>IF(VENTAS[[#This Row],[Nombre del Gestor]]&gt;1,VENTAS[[#This Row],[Total]]*10%,0)</f>
        <v>0.8</v>
      </c>
      <c r="K1085" s="35">
        <f>IFERROR(VLOOKUP(VENTAS[[#This Row],[Código del producto Vendido]],STOCK[],16,FALSE)*VENTAS[[#This Row],[Cantidad]]+VLOOKUP(VENTAS[[#This Row],[Código del producto Vendido]],STOCK[],19,FALSE)*VENTAS[[#This Row],[Cantidad]],VENTAS[[#This Row],[Total]])</f>
        <v>4.86</v>
      </c>
      <c r="L1085" s="35">
        <f>VENTAS[[#This Row],[Total]]-VENTAS[[#This Row],[Comisión 10%]]-VENTAS[[#This Row],[Costo SIN Comision]]</f>
        <v>2.34</v>
      </c>
      <c r="M1085" s="35"/>
    </row>
    <row r="1086" ht="20" customHeight="1" spans="1:13">
      <c r="A1086" s="29">
        <v>45485</v>
      </c>
      <c r="B1086" s="30"/>
      <c r="C1086" s="30"/>
      <c r="D1086" s="30" t="s">
        <v>3510</v>
      </c>
      <c r="E1086" s="30" t="s">
        <v>1209</v>
      </c>
      <c r="F1086" s="34" t="str">
        <f>IFERROR(VLOOKUP(VENTAS[[#This Row],[Código del producto Vendido]],STOCK[],5,FALSE),"-")</f>
        <v>Falda negra con flores y abertura</v>
      </c>
      <c r="G1086" s="34">
        <v>1</v>
      </c>
      <c r="H1086" s="35">
        <v>18</v>
      </c>
      <c r="I1086" s="35">
        <f>VENTAS[[#This Row],[Cantidad]]*VENTAS[[#This Row],[Precio Venta]]</f>
        <v>18</v>
      </c>
      <c r="J1086" s="35">
        <f>IF(VENTAS[[#This Row],[Nombre del Gestor]]&gt;1,VENTAS[[#This Row],[Total]]*10%,0)</f>
        <v>1.8</v>
      </c>
      <c r="K1086" s="35">
        <f>IFERROR(VLOOKUP(VENTAS[[#This Row],[Código del producto Vendido]],STOCK[],16,FALSE)*VENTAS[[#This Row],[Cantidad]]+VLOOKUP(VENTAS[[#This Row],[Código del producto Vendido]],STOCK[],19,FALSE)*VENTAS[[#This Row],[Cantidad]],VENTAS[[#This Row],[Total]])</f>
        <v>10.77</v>
      </c>
      <c r="L1086" s="35">
        <f>VENTAS[[#This Row],[Total]]-VENTAS[[#This Row],[Comisión 10%]]-VENTAS[[#This Row],[Costo SIN Comision]]</f>
        <v>5.43</v>
      </c>
      <c r="M1086" s="35"/>
    </row>
    <row r="1087" ht="20" customHeight="1" spans="1:13">
      <c r="A1087" s="29">
        <v>45485</v>
      </c>
      <c r="B1087" s="30"/>
      <c r="C1087" s="30"/>
      <c r="D1087" s="30" t="s">
        <v>3510</v>
      </c>
      <c r="E1087" s="30" t="s">
        <v>812</v>
      </c>
      <c r="F1087" s="34" t="str">
        <f>IFERROR(VLOOKUP(VENTAS[[#This Row],[Código del producto Vendido]],STOCK[],5,FALSE),"-")</f>
        <v>Top de cuello asimétrico</v>
      </c>
      <c r="G1087" s="34">
        <v>1</v>
      </c>
      <c r="H1087" s="35">
        <v>10</v>
      </c>
      <c r="I1087" s="35">
        <f>VENTAS[[#This Row],[Cantidad]]*VENTAS[[#This Row],[Precio Venta]]</f>
        <v>10</v>
      </c>
      <c r="J1087" s="35">
        <f>IF(VENTAS[[#This Row],[Nombre del Gestor]]&gt;1,VENTAS[[#This Row],[Total]]*10%,0)</f>
        <v>1</v>
      </c>
      <c r="K1087" s="35">
        <f>IFERROR(VLOOKUP(VENTAS[[#This Row],[Código del producto Vendido]],STOCK[],16,FALSE)*VENTAS[[#This Row],[Cantidad]]+VLOOKUP(VENTAS[[#This Row],[Código del producto Vendido]],STOCK[],19,FALSE)*VENTAS[[#This Row],[Cantidad]],VENTAS[[#This Row],[Total]])</f>
        <v>6.22222222222222</v>
      </c>
      <c r="L1087" s="35">
        <f>VENTAS[[#This Row],[Total]]-VENTAS[[#This Row],[Comisión 10%]]-VENTAS[[#This Row],[Costo SIN Comision]]</f>
        <v>2.77777777777778</v>
      </c>
      <c r="M1087" s="35"/>
    </row>
    <row r="1088" ht="20" customHeight="1" spans="1:13">
      <c r="A1088" s="29">
        <v>45483</v>
      </c>
      <c r="B1088" s="30"/>
      <c r="C1088" s="30"/>
      <c r="D1088" s="30" t="s">
        <v>3510</v>
      </c>
      <c r="E1088" s="30" t="s">
        <v>2406</v>
      </c>
      <c r="F1088" s="34" t="str">
        <f>IFERROR(VLOOKUP(VENTAS[[#This Row],[Código del producto Vendido]],STOCK[],5,FALSE),"-")</f>
        <v>Pantalón de vestir de viscosa y lino (beige claro)</v>
      </c>
      <c r="G1088" s="34">
        <v>1</v>
      </c>
      <c r="H1088" s="35">
        <v>35</v>
      </c>
      <c r="I1088" s="35">
        <f>VENTAS[[#This Row],[Cantidad]]*VENTAS[[#This Row],[Precio Venta]]</f>
        <v>35</v>
      </c>
      <c r="J1088" s="35">
        <f>IF(VENTAS[[#This Row],[Nombre del Gestor]]&gt;1,VENTAS[[#This Row],[Total]]*10%,0)</f>
        <v>3.5</v>
      </c>
      <c r="K1088" s="35">
        <f>IFERROR(VLOOKUP(VENTAS[[#This Row],[Código del producto Vendido]],STOCK[],16,FALSE)*VENTAS[[#This Row],[Cantidad]]+VLOOKUP(VENTAS[[#This Row],[Código del producto Vendido]],STOCK[],19,FALSE)*VENTAS[[#This Row],[Cantidad]],VENTAS[[#This Row],[Total]])</f>
        <v>17.2520211515864</v>
      </c>
      <c r="L1088" s="35">
        <f>VENTAS[[#This Row],[Total]]-VENTAS[[#This Row],[Comisión 10%]]-VENTAS[[#This Row],[Costo SIN Comision]]</f>
        <v>14.2479788484136</v>
      </c>
      <c r="M1088" s="35"/>
    </row>
    <row r="1089" ht="20" customHeight="1" spans="1:13">
      <c r="A1089" s="29">
        <v>45482</v>
      </c>
      <c r="B1089" s="30"/>
      <c r="C1089" s="30"/>
      <c r="D1089" s="30" t="s">
        <v>3510</v>
      </c>
      <c r="E1089" s="30" t="s">
        <v>1854</v>
      </c>
      <c r="F1089" s="34" t="str">
        <f>IFERROR(VLOOKUP(VENTAS[[#This Row],[Código del producto Vendido]],STOCK[],5,FALSE),"-")</f>
        <v>Crossbody Bag Blanco Lacado</v>
      </c>
      <c r="G1089" s="34">
        <v>1</v>
      </c>
      <c r="H1089" s="35">
        <v>20</v>
      </c>
      <c r="I1089" s="35">
        <f>VENTAS[[#This Row],[Cantidad]]*VENTAS[[#This Row],[Precio Venta]]</f>
        <v>20</v>
      </c>
      <c r="J1089" s="35">
        <f>IF(VENTAS[[#This Row],[Nombre del Gestor]]&gt;1,VENTAS[[#This Row],[Total]]*10%,0)</f>
        <v>2</v>
      </c>
      <c r="K1089" s="35">
        <f>IFERROR(VLOOKUP(VENTAS[[#This Row],[Código del producto Vendido]],STOCK[],16,FALSE)*VENTAS[[#This Row],[Cantidad]]+VLOOKUP(VENTAS[[#This Row],[Código del producto Vendido]],STOCK[],19,FALSE)*VENTAS[[#This Row],[Cantidad]],VENTAS[[#This Row],[Total]])</f>
        <v>10.79</v>
      </c>
      <c r="L1089" s="35">
        <f>VENTAS[[#This Row],[Total]]-VENTAS[[#This Row],[Comisión 10%]]-VENTAS[[#This Row],[Costo SIN Comision]]</f>
        <v>7.21</v>
      </c>
      <c r="M1089" s="35"/>
    </row>
    <row r="1090" ht="20" customHeight="1" spans="1:13">
      <c r="A1090" s="29">
        <v>45481</v>
      </c>
      <c r="B1090" s="30"/>
      <c r="C1090" s="30"/>
      <c r="D1090" s="30" t="s">
        <v>3510</v>
      </c>
      <c r="E1090" s="30" t="s">
        <v>1633</v>
      </c>
      <c r="F1090" s="34" t="str">
        <f>IFERROR(VLOOKUP(VENTAS[[#This Row],[Código del producto Vendido]],STOCK[],5,FALSE),"-")</f>
        <v>Vestido Privé  </v>
      </c>
      <c r="G1090" s="34">
        <v>1</v>
      </c>
      <c r="H1090" s="35">
        <v>25</v>
      </c>
      <c r="I1090" s="35">
        <f>VENTAS[[#This Row],[Cantidad]]*VENTAS[[#This Row],[Precio Venta]]</f>
        <v>25</v>
      </c>
      <c r="J1090" s="35">
        <f>IF(VENTAS[[#This Row],[Nombre del Gestor]]&gt;1,VENTAS[[#This Row],[Total]]*10%,0)</f>
        <v>2.5</v>
      </c>
      <c r="K1090" s="35">
        <f>IFERROR(VLOOKUP(VENTAS[[#This Row],[Código del producto Vendido]],STOCK[],16,FALSE)*VENTAS[[#This Row],[Cantidad]]+VLOOKUP(VENTAS[[#This Row],[Código del producto Vendido]],STOCK[],19,FALSE)*VENTAS[[#This Row],[Cantidad]],VENTAS[[#This Row],[Total]])</f>
        <v>11.1</v>
      </c>
      <c r="L1090" s="35">
        <f>VENTAS[[#This Row],[Total]]-VENTAS[[#This Row],[Comisión 10%]]-VENTAS[[#This Row],[Costo SIN Comision]]</f>
        <v>11.4</v>
      </c>
      <c r="M1090" s="35"/>
    </row>
    <row r="1091" ht="20" customHeight="1" spans="1:13">
      <c r="A1091" s="29">
        <v>45474</v>
      </c>
      <c r="B1091" s="30"/>
      <c r="C1091" s="30"/>
      <c r="D1091" s="30" t="s">
        <v>3537</v>
      </c>
      <c r="E1091" s="30" t="s">
        <v>2365</v>
      </c>
      <c r="F1091" s="34" t="str">
        <f>IFERROR(VLOOKUP(VENTAS[[#This Row],[Código del producto Vendido]],STOCK[],5,FALSE),"-")</f>
        <v>Sombrero de protección Verano fashionista</v>
      </c>
      <c r="G1091" s="34">
        <v>1</v>
      </c>
      <c r="H1091" s="35">
        <v>15</v>
      </c>
      <c r="I1091" s="35">
        <f>VENTAS[[#This Row],[Cantidad]]*VENTAS[[#This Row],[Precio Venta]]</f>
        <v>15</v>
      </c>
      <c r="J1091" s="35">
        <f>IF(VENTAS[[#This Row],[Nombre del Gestor]]&gt;1,VENTAS[[#This Row],[Total]]*10%,0)</f>
        <v>1.5</v>
      </c>
      <c r="K1091" s="35">
        <f>IFERROR(VLOOKUP(VENTAS[[#This Row],[Código del producto Vendido]],STOCK[],16,FALSE)*VENTAS[[#This Row],[Cantidad]]+VLOOKUP(VENTAS[[#This Row],[Código del producto Vendido]],STOCK[],19,FALSE)*VENTAS[[#This Row],[Cantidad]],VENTAS[[#This Row],[Total]])</f>
        <v>8.551875</v>
      </c>
      <c r="L1091" s="35">
        <f>VENTAS[[#This Row],[Total]]-VENTAS[[#This Row],[Comisión 10%]]-VENTAS[[#This Row],[Costo SIN Comision]]</f>
        <v>4.948125</v>
      </c>
      <c r="M1091" s="35"/>
    </row>
    <row r="1092" ht="20" customHeight="1" spans="1:13">
      <c r="A1092" s="29">
        <v>45483</v>
      </c>
      <c r="B1092" s="30" t="s">
        <v>3459</v>
      </c>
      <c r="C1092" s="30" t="s">
        <v>3538</v>
      </c>
      <c r="D1092" s="30"/>
      <c r="E1092" s="30" t="s">
        <v>2177</v>
      </c>
      <c r="F1092" s="34" t="str">
        <f>IFERROR(VLOOKUP(VENTAS[[#This Row],[Código del producto Vendido]],STOCK[],5,FALSE),"-")</f>
        <v>Bikini sexy de pierna alta en tendencia</v>
      </c>
      <c r="G1092" s="34">
        <v>1</v>
      </c>
      <c r="H1092" s="35">
        <v>18</v>
      </c>
      <c r="I1092" s="35">
        <f>VENTAS[[#This Row],[Cantidad]]*VENTAS[[#This Row],[Precio Venta]]</f>
        <v>18</v>
      </c>
      <c r="J1092" s="35">
        <f>IF(VENTAS[[#This Row],[Nombre del Gestor]]&gt;1,VENTAS[[#This Row],[Total]]*10%,0)</f>
        <v>0</v>
      </c>
      <c r="K1092" s="35">
        <f>IFERROR(VLOOKUP(VENTAS[[#This Row],[Código del producto Vendido]],STOCK[],16,FALSE)*VENTAS[[#This Row],[Cantidad]]+VLOOKUP(VENTAS[[#This Row],[Código del producto Vendido]],STOCK[],19,FALSE)*VENTAS[[#This Row],[Cantidad]],VENTAS[[#This Row],[Total]])</f>
        <v>6.62</v>
      </c>
      <c r="L1092" s="35">
        <f>VENTAS[[#This Row],[Total]]-VENTAS[[#This Row],[Comisión 10%]]-VENTAS[[#This Row],[Costo SIN Comision]]</f>
        <v>11.38</v>
      </c>
      <c r="M1092" s="35"/>
    </row>
    <row r="1093" ht="20" customHeight="1" spans="1:13">
      <c r="A1093" s="29">
        <v>45489</v>
      </c>
      <c r="B1093" s="30"/>
      <c r="C1093" s="30"/>
      <c r="D1093" s="30" t="s">
        <v>3324</v>
      </c>
      <c r="E1093" s="30" t="s">
        <v>2139</v>
      </c>
      <c r="F1093" s="34" t="str">
        <f>IFERROR(VLOOKUP(VENTAS[[#This Row],[Código del producto Vendido]],STOCK[],5,FALSE),"-")</f>
        <v>Falda Bohemia de mezclilla de cintura alta con detalles de botón</v>
      </c>
      <c r="G1093" s="34">
        <v>1</v>
      </c>
      <c r="H1093" s="35">
        <v>30</v>
      </c>
      <c r="I1093" s="35">
        <f>VENTAS[[#This Row],[Cantidad]]*VENTAS[[#This Row],[Precio Venta]]</f>
        <v>30</v>
      </c>
      <c r="J1093" s="35">
        <f>IF(VENTAS[[#This Row],[Nombre del Gestor]]&gt;1,VENTAS[[#This Row],[Total]]*10%,0)</f>
        <v>3</v>
      </c>
      <c r="K1093" s="35">
        <f>IFERROR(VLOOKUP(VENTAS[[#This Row],[Código del producto Vendido]],STOCK[],16,FALSE)*VENTAS[[#This Row],[Cantidad]]+VLOOKUP(VENTAS[[#This Row],[Código del producto Vendido]],STOCK[],19,FALSE)*VENTAS[[#This Row],[Cantidad]],VENTAS[[#This Row],[Total]])</f>
        <v>7.05</v>
      </c>
      <c r="L1093" s="35">
        <f>VENTAS[[#This Row],[Total]]-VENTAS[[#This Row],[Comisión 10%]]-VENTAS[[#This Row],[Costo SIN Comision]]</f>
        <v>19.95</v>
      </c>
      <c r="M1093" s="35"/>
    </row>
    <row r="1094" ht="20" customHeight="1" spans="1:13">
      <c r="A1094" s="29">
        <v>45488</v>
      </c>
      <c r="B1094" s="30"/>
      <c r="C1094" s="30"/>
      <c r="D1094" s="30" t="s">
        <v>3510</v>
      </c>
      <c r="E1094" s="30" t="s">
        <v>1925</v>
      </c>
      <c r="F1094" s="34" t="str">
        <f>IFERROR(VLOOKUP(VENTAS[[#This Row],[Código del producto Vendido]],STOCK[],5,FALSE),"-")</f>
        <v>Sujetador Invisible Suave sin tirantes</v>
      </c>
      <c r="G1094" s="34">
        <v>1</v>
      </c>
      <c r="H1094" s="35">
        <v>12</v>
      </c>
      <c r="I1094" s="35">
        <f>VENTAS[[#This Row],[Cantidad]]*VENTAS[[#This Row],[Precio Venta]]</f>
        <v>12</v>
      </c>
      <c r="J1094" s="35">
        <f>IF(VENTAS[[#This Row],[Nombre del Gestor]]&gt;1,VENTAS[[#This Row],[Total]]*10%,0)</f>
        <v>1.2</v>
      </c>
      <c r="K1094" s="35">
        <f>IFERROR(VLOOKUP(VENTAS[[#This Row],[Código del producto Vendido]],STOCK[],16,FALSE)*VENTAS[[#This Row],[Cantidad]]+VLOOKUP(VENTAS[[#This Row],[Código del producto Vendido]],STOCK[],19,FALSE)*VENTAS[[#This Row],[Cantidad]],VENTAS[[#This Row],[Total]])</f>
        <v>4.97</v>
      </c>
      <c r="L1094" s="35">
        <f>VENTAS[[#This Row],[Total]]-VENTAS[[#This Row],[Comisión 10%]]-VENTAS[[#This Row],[Costo SIN Comision]]</f>
        <v>5.83</v>
      </c>
      <c r="M1094" s="35"/>
    </row>
    <row r="1095" ht="20" customHeight="1" spans="1:13">
      <c r="A1095" s="29">
        <v>45489</v>
      </c>
      <c r="B1095" s="30"/>
      <c r="C1095" s="30"/>
      <c r="D1095" s="30" t="s">
        <v>3512</v>
      </c>
      <c r="E1095" s="30" t="s">
        <v>2399</v>
      </c>
      <c r="F1095" s="34" t="str">
        <f>IFERROR(VLOOKUP(VENTAS[[#This Row],[Código del producto Vendido]],STOCK[],5,FALSE),"-")</f>
        <v>Sandalias de tiras con tacón cuadrado</v>
      </c>
      <c r="G1095" s="34">
        <v>1</v>
      </c>
      <c r="H1095" s="35">
        <v>35</v>
      </c>
      <c r="I1095" s="35">
        <f>VENTAS[[#This Row],[Cantidad]]*VENTAS[[#This Row],[Precio Venta]]</f>
        <v>35</v>
      </c>
      <c r="J1095" s="35">
        <f>IF(VENTAS[[#This Row],[Nombre del Gestor]]&gt;1,VENTAS[[#This Row],[Total]]*10%,0)</f>
        <v>3.5</v>
      </c>
      <c r="K1095" s="35">
        <f>IFERROR(VLOOKUP(VENTAS[[#This Row],[Código del producto Vendido]],STOCK[],16,FALSE)*VENTAS[[#This Row],[Cantidad]]+VLOOKUP(VENTAS[[#This Row],[Código del producto Vendido]],STOCK[],19,FALSE)*VENTAS[[#This Row],[Cantidad]],VENTAS[[#This Row],[Total]])</f>
        <v>17.2520211515864</v>
      </c>
      <c r="L1095" s="35">
        <f>VENTAS[[#This Row],[Total]]-VENTAS[[#This Row],[Comisión 10%]]-VENTAS[[#This Row],[Costo SIN Comision]]</f>
        <v>14.2479788484136</v>
      </c>
      <c r="M1095" s="35"/>
    </row>
    <row r="1096" ht="20" customHeight="1" spans="1:13">
      <c r="A1096" s="29" t="s">
        <v>3465</v>
      </c>
      <c r="B1096" s="30" t="s">
        <v>3459</v>
      </c>
      <c r="C1096" s="30"/>
      <c r="D1096" s="30"/>
      <c r="E1096" s="30" t="s">
        <v>917</v>
      </c>
      <c r="F1096" s="34" t="str">
        <f>IFERROR(VLOOKUP(VENTAS[[#This Row],[Código del producto Vendido]],STOCK[],5,FALSE),"-")</f>
        <v>Vestido de lunares </v>
      </c>
      <c r="G1096" s="34">
        <v>1</v>
      </c>
      <c r="H1096" s="35">
        <v>25</v>
      </c>
      <c r="I1096" s="35">
        <f>VENTAS[[#This Row],[Cantidad]]*VENTAS[[#This Row],[Precio Venta]]</f>
        <v>25</v>
      </c>
      <c r="J1096" s="35">
        <f>IF(VENTAS[[#This Row],[Nombre del Gestor]]&gt;1,VENTAS[[#This Row],[Total]]*10%,0)</f>
        <v>0</v>
      </c>
      <c r="K1096" s="35">
        <f>IFERROR(VLOOKUP(VENTAS[[#This Row],[Código del producto Vendido]],STOCK[],16,FALSE)*VENTAS[[#This Row],[Cantidad]]+VLOOKUP(VENTAS[[#This Row],[Código del producto Vendido]],STOCK[],19,FALSE)*VENTAS[[#This Row],[Cantidad]],VENTAS[[#This Row],[Total]])</f>
        <v>13.9113636363636</v>
      </c>
      <c r="L1096" s="35">
        <f>VENTAS[[#This Row],[Total]]-VENTAS[[#This Row],[Comisión 10%]]-VENTAS[[#This Row],[Costo SIN Comision]]</f>
        <v>11.0886363636364</v>
      </c>
      <c r="M1096" s="35"/>
    </row>
    <row r="1097" ht="20" customHeight="1" spans="1:13">
      <c r="A1097" s="29" t="s">
        <v>3465</v>
      </c>
      <c r="B1097" s="30" t="s">
        <v>3459</v>
      </c>
      <c r="C1097" s="30"/>
      <c r="D1097" s="30"/>
      <c r="E1097" s="30" t="s">
        <v>920</v>
      </c>
      <c r="F1097" s="34" t="str">
        <f>IFERROR(VLOOKUP(VENTAS[[#This Row],[Código del producto Vendido]],STOCK[],5,FALSE),"-")</f>
        <v>Vestido de lunares</v>
      </c>
      <c r="G1097" s="34">
        <v>1</v>
      </c>
      <c r="H1097" s="35">
        <v>25</v>
      </c>
      <c r="I1097" s="35">
        <f>VENTAS[[#This Row],[Cantidad]]*VENTAS[[#This Row],[Precio Venta]]</f>
        <v>25</v>
      </c>
      <c r="J1097" s="35">
        <f>IF(VENTAS[[#This Row],[Nombre del Gestor]]&gt;1,VENTAS[[#This Row],[Total]]*10%,0)</f>
        <v>0</v>
      </c>
      <c r="K1097" s="35">
        <f>IFERROR(VLOOKUP(VENTAS[[#This Row],[Código del producto Vendido]],STOCK[],16,FALSE)*VENTAS[[#This Row],[Cantidad]]+VLOOKUP(VENTAS[[#This Row],[Código del producto Vendido]],STOCK[],19,FALSE)*VENTAS[[#This Row],[Cantidad]],VENTAS[[#This Row],[Total]])</f>
        <v>13.9113636363636</v>
      </c>
      <c r="L1097" s="35">
        <f>VENTAS[[#This Row],[Total]]-VENTAS[[#This Row],[Comisión 10%]]-VENTAS[[#This Row],[Costo SIN Comision]]</f>
        <v>11.0886363636364</v>
      </c>
      <c r="M1097" s="35"/>
    </row>
    <row r="1098" ht="20" customHeight="1" spans="1:13">
      <c r="A1098" s="29">
        <v>45489</v>
      </c>
      <c r="B1098" s="30"/>
      <c r="C1098" s="30"/>
      <c r="D1098" s="30" t="s">
        <v>3481</v>
      </c>
      <c r="E1098" s="30" t="s">
        <v>2297</v>
      </c>
      <c r="F1098" s="34" t="str">
        <f>IFERROR(VLOOKUP(VENTAS[[#This Row],[Código del producto Vendido]],STOCK[],5,FALSE),"-")</f>
        <v>Vestido estampado con abertura y ajuste en cintura</v>
      </c>
      <c r="G1098" s="34">
        <v>1</v>
      </c>
      <c r="H1098" s="35">
        <v>30</v>
      </c>
      <c r="I1098" s="35">
        <f>VENTAS[[#This Row],[Cantidad]]*VENTAS[[#This Row],[Precio Venta]]</f>
        <v>30</v>
      </c>
      <c r="J1098" s="35">
        <f>IF(VENTAS[[#This Row],[Nombre del Gestor]]&gt;1,VENTAS[[#This Row],[Total]]*10%,0)</f>
        <v>3</v>
      </c>
      <c r="K1098" s="35">
        <f>IFERROR(VLOOKUP(VENTAS[[#This Row],[Código del producto Vendido]],STOCK[],16,FALSE)*VENTAS[[#This Row],[Cantidad]]+VLOOKUP(VENTAS[[#This Row],[Código del producto Vendido]],STOCK[],19,FALSE)*VENTAS[[#This Row],[Cantidad]],VENTAS[[#This Row],[Total]])</f>
        <v>17.59</v>
      </c>
      <c r="L1098" s="35">
        <f>VENTAS[[#This Row],[Total]]-VENTAS[[#This Row],[Comisión 10%]]-VENTAS[[#This Row],[Costo SIN Comision]]</f>
        <v>9.41</v>
      </c>
      <c r="M1098" s="35"/>
    </row>
    <row r="1099" ht="20" customHeight="1" spans="1:13">
      <c r="A1099" s="29">
        <v>45475</v>
      </c>
      <c r="B1099" s="30"/>
      <c r="C1099" s="30"/>
      <c r="D1099" s="30" t="s">
        <v>3481</v>
      </c>
      <c r="E1099" s="30" t="s">
        <v>2321</v>
      </c>
      <c r="F1099" s="34" t="str">
        <f>IFERROR(VLOOKUP(VENTAS[[#This Row],[Código del producto Vendido]],STOCK[],5,FALSE),"-")</f>
        <v>Pantalón palazzo estiloso</v>
      </c>
      <c r="G1099" s="34">
        <v>1</v>
      </c>
      <c r="H1099" s="35">
        <v>20</v>
      </c>
      <c r="I1099" s="35">
        <f>VENTAS[[#This Row],[Cantidad]]*VENTAS[[#This Row],[Precio Venta]]</f>
        <v>20</v>
      </c>
      <c r="J1099" s="35">
        <f>IF(VENTAS[[#This Row],[Nombre del Gestor]]&gt;1,VENTAS[[#This Row],[Total]]*10%,0)</f>
        <v>2</v>
      </c>
      <c r="K1099" s="35">
        <f>IFERROR(VLOOKUP(VENTAS[[#This Row],[Código del producto Vendido]],STOCK[],16,FALSE)*VENTAS[[#This Row],[Cantidad]]+VLOOKUP(VENTAS[[#This Row],[Código del producto Vendido]],STOCK[],19,FALSE)*VENTAS[[#This Row],[Cantidad]],VENTAS[[#This Row],[Total]])</f>
        <v>10.914375</v>
      </c>
      <c r="L1099" s="35">
        <f>VENTAS[[#This Row],[Total]]-VENTAS[[#This Row],[Comisión 10%]]-VENTAS[[#This Row],[Costo SIN Comision]]</f>
        <v>7.085625</v>
      </c>
      <c r="M1099" s="35"/>
    </row>
    <row r="1100" ht="20" customHeight="1" spans="1:13">
      <c r="A1100" s="29">
        <v>45475</v>
      </c>
      <c r="B1100" s="30"/>
      <c r="C1100" s="30"/>
      <c r="D1100" s="30" t="s">
        <v>3481</v>
      </c>
      <c r="E1100" s="30" t="s">
        <v>1272</v>
      </c>
      <c r="F1100" s="34" t="str">
        <f>IFERROR(VLOOKUP(VENTAS[[#This Row],[Código del producto Vendido]],STOCK[],5,FALSE),"-")</f>
        <v>Top de cuello V con encaje</v>
      </c>
      <c r="G1100" s="34">
        <v>1</v>
      </c>
      <c r="H1100" s="35">
        <v>12</v>
      </c>
      <c r="I1100" s="35">
        <f>VENTAS[[#This Row],[Cantidad]]*VENTAS[[#This Row],[Precio Venta]]</f>
        <v>12</v>
      </c>
      <c r="J1100" s="35">
        <f>IF(VENTAS[[#This Row],[Nombre del Gestor]]&gt;1,VENTAS[[#This Row],[Total]]*10%,0)</f>
        <v>1.2</v>
      </c>
      <c r="K1100" s="35">
        <f>IFERROR(VLOOKUP(VENTAS[[#This Row],[Código del producto Vendido]],STOCK[],16,FALSE)*VENTAS[[#This Row],[Cantidad]]+VLOOKUP(VENTAS[[#This Row],[Código del producto Vendido]],STOCK[],19,FALSE)*VENTAS[[#This Row],[Cantidad]],VENTAS[[#This Row],[Total]])</f>
        <v>7.97</v>
      </c>
      <c r="L1100" s="35">
        <f>VENTAS[[#This Row],[Total]]-VENTAS[[#This Row],[Comisión 10%]]-VENTAS[[#This Row],[Costo SIN Comision]]</f>
        <v>2.83</v>
      </c>
      <c r="M1100" s="35"/>
    </row>
    <row r="1101" ht="20" customHeight="1" spans="1:13">
      <c r="A1101" s="29"/>
      <c r="B1101" s="30" t="s">
        <v>3459</v>
      </c>
      <c r="C1101" s="30" t="s">
        <v>3538</v>
      </c>
      <c r="D1101" s="30"/>
      <c r="E1101" s="30" t="s">
        <v>1716</v>
      </c>
      <c r="F1101" s="34" t="str">
        <f>IFERROR(VLOOKUP(VENTAS[[#This Row],[Código del producto Vendido]],STOCK[],5,FALSE),"-")</f>
        <v>Vestido ajustado de puntos </v>
      </c>
      <c r="G1101" s="34">
        <v>1</v>
      </c>
      <c r="H1101" s="35">
        <v>28</v>
      </c>
      <c r="I1101" s="35">
        <f>VENTAS[[#This Row],[Cantidad]]*VENTAS[[#This Row],[Precio Venta]]</f>
        <v>28</v>
      </c>
      <c r="J1101" s="35">
        <f>IF(VENTAS[[#This Row],[Nombre del Gestor]]&gt;1,VENTAS[[#This Row],[Total]]*10%,0)</f>
        <v>0</v>
      </c>
      <c r="K1101" s="35">
        <f>IFERROR(VLOOKUP(VENTAS[[#This Row],[Código del producto Vendido]],STOCK[],16,FALSE)*VENTAS[[#This Row],[Cantidad]]+VLOOKUP(VENTAS[[#This Row],[Código del producto Vendido]],STOCK[],19,FALSE)*VENTAS[[#This Row],[Cantidad]],VENTAS[[#This Row],[Total]])</f>
        <v>18</v>
      </c>
      <c r="L1101" s="35">
        <f>VENTAS[[#This Row],[Total]]-VENTAS[[#This Row],[Comisión 10%]]-VENTAS[[#This Row],[Costo SIN Comision]]</f>
        <v>10</v>
      </c>
      <c r="M1101" s="35"/>
    </row>
    <row r="1102" ht="20" customHeight="1" spans="1:13">
      <c r="A1102" s="29"/>
      <c r="B1102" s="30" t="s">
        <v>3459</v>
      </c>
      <c r="C1102" s="30" t="s">
        <v>3538</v>
      </c>
      <c r="D1102" s="30"/>
      <c r="E1102" s="30" t="s">
        <v>1780</v>
      </c>
      <c r="F1102" s="34" t="str">
        <f>IFERROR(VLOOKUP(VENTAS[[#This Row],[Código del producto Vendido]],STOCK[],5,FALSE),"-")</f>
        <v>Cinturón de hebilla redonda</v>
      </c>
      <c r="G1102" s="34">
        <v>1</v>
      </c>
      <c r="H1102" s="35">
        <v>10</v>
      </c>
      <c r="I1102" s="35">
        <f>VENTAS[[#This Row],[Cantidad]]*VENTAS[[#This Row],[Precio Venta]]</f>
        <v>10</v>
      </c>
      <c r="J1102" s="35">
        <f>IF(VENTAS[[#This Row],[Nombre del Gestor]]&gt;1,VENTAS[[#This Row],[Total]]*10%,0)</f>
        <v>0</v>
      </c>
      <c r="K1102" s="35">
        <f>IFERROR(VLOOKUP(VENTAS[[#This Row],[Código del producto Vendido]],STOCK[],16,FALSE)*VENTAS[[#This Row],[Cantidad]]+VLOOKUP(VENTAS[[#This Row],[Código del producto Vendido]],STOCK[],19,FALSE)*VENTAS[[#This Row],[Cantidad]],VENTAS[[#This Row],[Total]])</f>
        <v>3.82352941176471</v>
      </c>
      <c r="L1102" s="35">
        <f>VENTAS[[#This Row],[Total]]-VENTAS[[#This Row],[Comisión 10%]]-VENTAS[[#This Row],[Costo SIN Comision]]</f>
        <v>6.17647058823529</v>
      </c>
      <c r="M1102" s="35"/>
    </row>
    <row r="1103" ht="20" customHeight="1" spans="1:13">
      <c r="A1103" s="29"/>
      <c r="B1103" s="30" t="s">
        <v>3459</v>
      </c>
      <c r="C1103" s="30" t="s">
        <v>3538</v>
      </c>
      <c r="D1103" s="30"/>
      <c r="E1103" s="30" t="s">
        <v>2365</v>
      </c>
      <c r="F1103" s="34" t="str">
        <f>IFERROR(VLOOKUP(VENTAS[[#This Row],[Código del producto Vendido]],STOCK[],5,FALSE),"-")</f>
        <v>Sombrero de protección Verano fashionista</v>
      </c>
      <c r="G1103" s="34">
        <v>1</v>
      </c>
      <c r="H1103" s="35">
        <v>15</v>
      </c>
      <c r="I1103" s="35">
        <f>VENTAS[[#This Row],[Cantidad]]*VENTAS[[#This Row],[Precio Venta]]</f>
        <v>15</v>
      </c>
      <c r="J1103" s="35">
        <f>IF(VENTAS[[#This Row],[Nombre del Gestor]]&gt;1,VENTAS[[#This Row],[Total]]*10%,0)</f>
        <v>0</v>
      </c>
      <c r="K1103" s="35">
        <f>IFERROR(VLOOKUP(VENTAS[[#This Row],[Código del producto Vendido]],STOCK[],16,FALSE)*VENTAS[[#This Row],[Cantidad]]+VLOOKUP(VENTAS[[#This Row],[Código del producto Vendido]],STOCK[],19,FALSE)*VENTAS[[#This Row],[Cantidad]],VENTAS[[#This Row],[Total]])</f>
        <v>8.551875</v>
      </c>
      <c r="L1103" s="35">
        <f>VENTAS[[#This Row],[Total]]-VENTAS[[#This Row],[Comisión 10%]]-VENTAS[[#This Row],[Costo SIN Comision]]</f>
        <v>6.448125</v>
      </c>
      <c r="M1103" s="35"/>
    </row>
    <row r="1104" ht="20" customHeight="1" spans="1:13">
      <c r="A1104" s="29">
        <v>45475</v>
      </c>
      <c r="B1104" s="30"/>
      <c r="C1104" s="30"/>
      <c r="D1104" s="30" t="s">
        <v>3481</v>
      </c>
      <c r="E1104" s="30" t="s">
        <v>2282</v>
      </c>
      <c r="F1104" s="34" t="str">
        <f>IFERROR(VLOOKUP(VENTAS[[#This Row],[Código del producto Vendido]],STOCK[],5,FALSE),"-")</f>
        <v>Bolso de lienzo estampado de corazón</v>
      </c>
      <c r="G1104" s="34">
        <v>1</v>
      </c>
      <c r="H1104" s="35">
        <v>12</v>
      </c>
      <c r="I1104" s="35">
        <f>VENTAS[[#This Row],[Cantidad]]*VENTAS[[#This Row],[Precio Venta]]</f>
        <v>12</v>
      </c>
      <c r="J1104" s="35">
        <f>IF(VENTAS[[#This Row],[Nombre del Gestor]]&gt;1,VENTAS[[#This Row],[Total]]*10%,0)</f>
        <v>1.2</v>
      </c>
      <c r="K1104" s="35">
        <f>IFERROR(VLOOKUP(VENTAS[[#This Row],[Código del producto Vendido]],STOCK[],16,FALSE)*VENTAS[[#This Row],[Cantidad]]+VLOOKUP(VENTAS[[#This Row],[Código del producto Vendido]],STOCK[],19,FALSE)*VENTAS[[#This Row],[Cantidad]],VENTAS[[#This Row],[Total]])</f>
        <v>4.23</v>
      </c>
      <c r="L1104" s="35">
        <f>VENTAS[[#This Row],[Total]]-VENTAS[[#This Row],[Comisión 10%]]-VENTAS[[#This Row],[Costo SIN Comision]]</f>
        <v>6.57</v>
      </c>
      <c r="M1104" s="35"/>
    </row>
    <row r="1105" ht="20" customHeight="1" spans="1:13">
      <c r="A1105" s="29">
        <v>45489</v>
      </c>
      <c r="B1105" s="30"/>
      <c r="C1105" s="30"/>
      <c r="D1105" s="30" t="s">
        <v>3512</v>
      </c>
      <c r="E1105" s="30" t="s">
        <v>2222</v>
      </c>
      <c r="F1105" s="34" t="str">
        <f>IFERROR(VLOOKUP(VENTAS[[#This Row],[Código del producto Vendido]],STOCK[],5,FALSE),"-")</f>
        <v>Vestido sexy cruzado de escote profundo</v>
      </c>
      <c r="G1105" s="34">
        <v>1</v>
      </c>
      <c r="H1105" s="35">
        <v>20</v>
      </c>
      <c r="I1105" s="35">
        <f>VENTAS[[#This Row],[Cantidad]]*VENTAS[[#This Row],[Precio Venta]]</f>
        <v>20</v>
      </c>
      <c r="J1105" s="35">
        <f>IF(VENTAS[[#This Row],[Nombre del Gestor]]&gt;1,VENTAS[[#This Row],[Total]]*10%,0)</f>
        <v>2</v>
      </c>
      <c r="K1105" s="35">
        <f>IFERROR(VLOOKUP(VENTAS[[#This Row],[Código del producto Vendido]],STOCK[],16,FALSE)*VENTAS[[#This Row],[Cantidad]]+VLOOKUP(VENTAS[[#This Row],[Código del producto Vendido]],STOCK[],19,FALSE)*VENTAS[[#This Row],[Cantidad]],VENTAS[[#This Row],[Total]])</f>
        <v>8.59</v>
      </c>
      <c r="L1105" s="35">
        <f>VENTAS[[#This Row],[Total]]-VENTAS[[#This Row],[Comisión 10%]]-VENTAS[[#This Row],[Costo SIN Comision]]</f>
        <v>9.41</v>
      </c>
      <c r="M1105" s="35"/>
    </row>
    <row r="1106" ht="20" customHeight="1" spans="1:13">
      <c r="A1106" s="29">
        <v>45489</v>
      </c>
      <c r="B1106" s="30"/>
      <c r="C1106" s="30"/>
      <c r="D1106" s="30" t="s">
        <v>3512</v>
      </c>
      <c r="E1106" s="30" t="s">
        <v>1709</v>
      </c>
      <c r="F1106" s="34" t="str">
        <f>IFERROR(VLOOKUP(VENTAS[[#This Row],[Código del producto Vendido]],STOCK[],5,FALSE),"-")</f>
        <v>Vestido Asimétrico con cuerdas</v>
      </c>
      <c r="G1106" s="34">
        <v>1</v>
      </c>
      <c r="H1106" s="35">
        <v>20</v>
      </c>
      <c r="I1106" s="35">
        <f>VENTAS[[#This Row],[Cantidad]]*VENTAS[[#This Row],[Precio Venta]]</f>
        <v>20</v>
      </c>
      <c r="J1106" s="35">
        <f>IF(VENTAS[[#This Row],[Nombre del Gestor]]&gt;1,VENTAS[[#This Row],[Total]]*10%,0)</f>
        <v>2</v>
      </c>
      <c r="K1106" s="35">
        <f>IFERROR(VLOOKUP(VENTAS[[#This Row],[Código del producto Vendido]],STOCK[],16,FALSE)*VENTAS[[#This Row],[Cantidad]]+VLOOKUP(VENTAS[[#This Row],[Código del producto Vendido]],STOCK[],19,FALSE)*VENTAS[[#This Row],[Cantidad]],VENTAS[[#This Row],[Total]])</f>
        <v>12</v>
      </c>
      <c r="L1106" s="35">
        <f>VENTAS[[#This Row],[Total]]-VENTAS[[#This Row],[Comisión 10%]]-VENTAS[[#This Row],[Costo SIN Comision]]</f>
        <v>6</v>
      </c>
      <c r="M1106" s="35"/>
    </row>
    <row r="1107" ht="20" customHeight="1" spans="1:13">
      <c r="A1107" s="29">
        <v>45489</v>
      </c>
      <c r="B1107" s="30"/>
      <c r="C1107" s="30" t="s">
        <v>3538</v>
      </c>
      <c r="D1107" s="30"/>
      <c r="E1107" s="30" t="s">
        <v>2422</v>
      </c>
      <c r="F1107" s="34" t="str">
        <f>IFERROR(VLOOKUP(VENTAS[[#This Row],[Código del producto Vendido]],STOCK[],5,FALSE),"-")</f>
        <v>Pantalón ancho con cordón ajustable</v>
      </c>
      <c r="G1107" s="34">
        <v>1</v>
      </c>
      <c r="H1107" s="35">
        <v>23</v>
      </c>
      <c r="I1107" s="35">
        <f>VENTAS[[#This Row],[Cantidad]]*VENTAS[[#This Row],[Precio Venta]]</f>
        <v>23</v>
      </c>
      <c r="J1107" s="35">
        <f>IF(VENTAS[[#This Row],[Nombre del Gestor]]&gt;1,VENTAS[[#This Row],[Total]]*10%,0)</f>
        <v>0</v>
      </c>
      <c r="K1107" s="35">
        <f>IFERROR(VLOOKUP(VENTAS[[#This Row],[Código del producto Vendido]],STOCK[],16,FALSE)*VENTAS[[#This Row],[Cantidad]]+VLOOKUP(VENTAS[[#This Row],[Código del producto Vendido]],STOCK[],19,FALSE)*VENTAS[[#This Row],[Cantidad]],VENTAS[[#This Row],[Total]])</f>
        <v>11.4353349001175</v>
      </c>
      <c r="L1107" s="35">
        <f>VENTAS[[#This Row],[Total]]-VENTAS[[#This Row],[Comisión 10%]]-VENTAS[[#This Row],[Costo SIN Comision]]</f>
        <v>11.5646650998825</v>
      </c>
      <c r="M1107" s="35"/>
    </row>
    <row r="1108" ht="20" customHeight="1" spans="1:13">
      <c r="A1108" s="29" t="s">
        <v>3465</v>
      </c>
      <c r="B1108" s="30"/>
      <c r="C1108" s="30"/>
      <c r="D1108" s="30"/>
      <c r="E1108" s="30" t="s">
        <v>2102</v>
      </c>
      <c r="F1108" s="34" t="str">
        <f>IFERROR(VLOOKUP(VENTAS[[#This Row],[Código del producto Vendido]],STOCK[],5,FALSE),"-")</f>
        <v>Sandalias de velcro</v>
      </c>
      <c r="G1108" s="34">
        <v>1</v>
      </c>
      <c r="H1108" s="35">
        <v>27</v>
      </c>
      <c r="I1108" s="35">
        <f>VENTAS[[#This Row],[Cantidad]]*VENTAS[[#This Row],[Precio Venta]]</f>
        <v>27</v>
      </c>
      <c r="J1108" s="35">
        <f>IF(VENTAS[[#This Row],[Nombre del Gestor]]&gt;1,VENTAS[[#This Row],[Total]]*10%,0)</f>
        <v>0</v>
      </c>
      <c r="K1108" s="35">
        <f>IFERROR(VLOOKUP(VENTAS[[#This Row],[Código del producto Vendido]],STOCK[],16,FALSE)*VENTAS[[#This Row],[Cantidad]]+VLOOKUP(VENTAS[[#This Row],[Código del producto Vendido]],STOCK[],19,FALSE)*VENTAS[[#This Row],[Cantidad]],VENTAS[[#This Row],[Total]])</f>
        <v>17</v>
      </c>
      <c r="L1108" s="35">
        <f>VENTAS[[#This Row],[Total]]-VENTAS[[#This Row],[Comisión 10%]]-VENTAS[[#This Row],[Costo SIN Comision]]</f>
        <v>10</v>
      </c>
      <c r="M1108" s="35"/>
    </row>
    <row r="1109" ht="20" customHeight="1" spans="1:13">
      <c r="A1109" s="29"/>
      <c r="B1109" s="30"/>
      <c r="C1109" s="30"/>
      <c r="D1109" s="30" t="s">
        <v>3512</v>
      </c>
      <c r="E1109" s="30" t="s">
        <v>1929</v>
      </c>
      <c r="F1109" s="34" t="str">
        <f>IFERROR(VLOOKUP(VENTAS[[#This Row],[Código del producto Vendido]],STOCK[],5,FALSE),"-")</f>
        <v>Sujetador Invisible Suave sin tirantes</v>
      </c>
      <c r="G1109" s="34">
        <v>1</v>
      </c>
      <c r="H1109" s="35">
        <v>12</v>
      </c>
      <c r="I1109" s="35">
        <f>VENTAS[[#This Row],[Cantidad]]*VENTAS[[#This Row],[Precio Venta]]</f>
        <v>12</v>
      </c>
      <c r="J1109" s="35">
        <f>IF(VENTAS[[#This Row],[Nombre del Gestor]]&gt;1,VENTAS[[#This Row],[Total]]*10%,0)</f>
        <v>1.2</v>
      </c>
      <c r="K1109" s="35">
        <f>IFERROR(VLOOKUP(VENTAS[[#This Row],[Código del producto Vendido]],STOCK[],16,FALSE)*VENTAS[[#This Row],[Cantidad]]+VLOOKUP(VENTAS[[#This Row],[Código del producto Vendido]],STOCK[],19,FALSE)*VENTAS[[#This Row],[Cantidad]],VENTAS[[#This Row],[Total]])</f>
        <v>4.97</v>
      </c>
      <c r="L1109" s="35">
        <f>VENTAS[[#This Row],[Total]]-VENTAS[[#This Row],[Comisión 10%]]-VENTAS[[#This Row],[Costo SIN Comision]]</f>
        <v>5.83</v>
      </c>
      <c r="M1109" s="35"/>
    </row>
    <row r="1110" ht="20" customHeight="1" spans="1:13">
      <c r="A1110" s="29">
        <v>45480</v>
      </c>
      <c r="B1110" s="30"/>
      <c r="C1110" s="30"/>
      <c r="D1110" s="30" t="s">
        <v>3526</v>
      </c>
      <c r="E1110" s="30" t="s">
        <v>1836</v>
      </c>
      <c r="F1110" s="34" t="str">
        <f>IFERROR(VLOOKUP(VENTAS[[#This Row],[Código del producto Vendido]],STOCK[],5,FALSE),"-")</f>
        <v>Maxi Vestido Bodycon </v>
      </c>
      <c r="G1110" s="34">
        <v>1</v>
      </c>
      <c r="H1110" s="35">
        <v>20</v>
      </c>
      <c r="I1110" s="35">
        <f>VENTAS[[#This Row],[Cantidad]]*VENTAS[[#This Row],[Precio Venta]]</f>
        <v>20</v>
      </c>
      <c r="J1110" s="35">
        <f>IF(VENTAS[[#This Row],[Nombre del Gestor]]&gt;1,VENTAS[[#This Row],[Total]]*10%,0)</f>
        <v>2</v>
      </c>
      <c r="K1110" s="35">
        <f>IFERROR(VLOOKUP(VENTAS[[#This Row],[Código del producto Vendido]],STOCK[],16,FALSE)*VENTAS[[#This Row],[Cantidad]]+VLOOKUP(VENTAS[[#This Row],[Código del producto Vendido]],STOCK[],19,FALSE)*VENTAS[[#This Row],[Cantidad]],VENTAS[[#This Row],[Total]])</f>
        <v>11.79</v>
      </c>
      <c r="L1110" s="35">
        <f>VENTAS[[#This Row],[Total]]-VENTAS[[#This Row],[Comisión 10%]]-VENTAS[[#This Row],[Costo SIN Comision]]</f>
        <v>6.21</v>
      </c>
      <c r="M1110" s="35"/>
    </row>
    <row r="1111" ht="20" customHeight="1" spans="1:13">
      <c r="A1111" s="29">
        <v>45490</v>
      </c>
      <c r="B1111" s="30"/>
      <c r="C1111" s="30"/>
      <c r="D1111" s="30" t="s">
        <v>3512</v>
      </c>
      <c r="E1111" s="30" t="s">
        <v>2385</v>
      </c>
      <c r="F1111" s="34" t="str">
        <f>IFERROR(VLOOKUP(VENTAS[[#This Row],[Código del producto Vendido]],STOCK[],5,FALSE),"-")</f>
        <v>Sandalias cruzadas de plataforma F21</v>
      </c>
      <c r="G1111" s="34">
        <v>1</v>
      </c>
      <c r="H1111" s="35">
        <v>30</v>
      </c>
      <c r="I1111" s="35">
        <f>VENTAS[[#This Row],[Cantidad]]*VENTAS[[#This Row],[Precio Venta]]</f>
        <v>30</v>
      </c>
      <c r="J1111" s="35">
        <f>IF(VENTAS[[#This Row],[Nombre del Gestor]]&gt;1,VENTAS[[#This Row],[Total]]*10%,0)</f>
        <v>3</v>
      </c>
      <c r="K1111" s="35">
        <f>IFERROR(VLOOKUP(VENTAS[[#This Row],[Código del producto Vendido]],STOCK[],16,FALSE)*VENTAS[[#This Row],[Cantidad]]+VLOOKUP(VENTAS[[#This Row],[Código del producto Vendido]],STOCK[],19,FALSE)*VENTAS[[#This Row],[Cantidad]],VENTAS[[#This Row],[Total]])</f>
        <v>12.5</v>
      </c>
      <c r="L1111" s="35">
        <f>VENTAS[[#This Row],[Total]]-VENTAS[[#This Row],[Comisión 10%]]-VENTAS[[#This Row],[Costo SIN Comision]]</f>
        <v>14.5</v>
      </c>
      <c r="M1111" s="35"/>
    </row>
    <row r="1112" ht="20" customHeight="1" spans="1:13">
      <c r="A1112" s="29">
        <v>45483</v>
      </c>
      <c r="B1112" s="30"/>
      <c r="C1112" s="30" t="s">
        <v>3539</v>
      </c>
      <c r="D1112" s="30" t="s">
        <v>3540</v>
      </c>
      <c r="E1112" s="30" t="s">
        <v>1235</v>
      </c>
      <c r="F1112" s="34" t="str">
        <f>IFERROR(VLOOKUP(VENTAS[[#This Row],[Código del producto Vendido]],STOCK[],5,FALSE),"-")</f>
        <v>Cinturón de hebilla dorada</v>
      </c>
      <c r="G1112" s="34">
        <v>1</v>
      </c>
      <c r="H1112" s="35">
        <v>10</v>
      </c>
      <c r="I1112" s="35">
        <f>VENTAS[[#This Row],[Cantidad]]*VENTAS[[#This Row],[Precio Venta]]</f>
        <v>10</v>
      </c>
      <c r="J1112" s="35">
        <f>IF(VENTAS[[#This Row],[Nombre del Gestor]]&gt;1,VENTAS[[#This Row],[Total]]*10%,0)</f>
        <v>1</v>
      </c>
      <c r="K1112" s="35">
        <f>IFERROR(VLOOKUP(VENTAS[[#This Row],[Código del producto Vendido]],STOCK[],16,FALSE)*VENTAS[[#This Row],[Cantidad]]+VLOOKUP(VENTAS[[#This Row],[Código del producto Vendido]],STOCK[],19,FALSE)*VENTAS[[#This Row],[Cantidad]],VENTAS[[#This Row],[Total]])</f>
        <v>5.17</v>
      </c>
      <c r="L1112" s="35">
        <f>VENTAS[[#This Row],[Total]]-VENTAS[[#This Row],[Comisión 10%]]-VENTAS[[#This Row],[Costo SIN Comision]]</f>
        <v>3.83</v>
      </c>
      <c r="M1112" s="35"/>
    </row>
    <row r="1113" ht="20" customHeight="1" spans="1:13">
      <c r="A1113" s="29">
        <v>45483</v>
      </c>
      <c r="B1113" s="30"/>
      <c r="C1113" s="30" t="s">
        <v>3539</v>
      </c>
      <c r="D1113" s="30" t="s">
        <v>3540</v>
      </c>
      <c r="E1113" s="30" t="s">
        <v>1241</v>
      </c>
      <c r="F1113" s="34" t="str">
        <f>IFERROR(VLOOKUP(VENTAS[[#This Row],[Código del producto Vendido]],STOCK[],5,FALSE),"-")</f>
        <v>Cinturón de hebilla dorada</v>
      </c>
      <c r="G1113" s="34">
        <v>1</v>
      </c>
      <c r="H1113" s="35">
        <v>10</v>
      </c>
      <c r="I1113" s="35">
        <f>VENTAS[[#This Row],[Cantidad]]*VENTAS[[#This Row],[Precio Venta]]</f>
        <v>10</v>
      </c>
      <c r="J1113" s="35">
        <f>IF(VENTAS[[#This Row],[Nombre del Gestor]]&gt;1,VENTAS[[#This Row],[Total]]*10%,0)</f>
        <v>1</v>
      </c>
      <c r="K1113" s="35">
        <f>IFERROR(VLOOKUP(VENTAS[[#This Row],[Código del producto Vendido]],STOCK[],16,FALSE)*VENTAS[[#This Row],[Cantidad]]+VLOOKUP(VENTAS[[#This Row],[Código del producto Vendido]],STOCK[],19,FALSE)*VENTAS[[#This Row],[Cantidad]],VENTAS[[#This Row],[Total]])</f>
        <v>4.09</v>
      </c>
      <c r="L1113" s="35">
        <f>VENTAS[[#This Row],[Total]]-VENTAS[[#This Row],[Comisión 10%]]-VENTAS[[#This Row],[Costo SIN Comision]]</f>
        <v>4.91</v>
      </c>
      <c r="M1113" s="35"/>
    </row>
    <row r="1114" ht="20" customHeight="1" spans="1:13">
      <c r="A1114" s="29">
        <v>45483</v>
      </c>
      <c r="B1114" s="30"/>
      <c r="C1114" s="30" t="s">
        <v>3539</v>
      </c>
      <c r="D1114" s="30" t="s">
        <v>3540</v>
      </c>
      <c r="E1114" s="30" t="s">
        <v>1397</v>
      </c>
      <c r="F1114" s="34" t="str">
        <f>IFERROR(VLOOKUP(VENTAS[[#This Row],[Código del producto Vendido]],STOCK[],5,FALSE),"-")</f>
        <v>Camiseta acanalada de bajo asimétrico blanco</v>
      </c>
      <c r="G1114" s="34">
        <v>1</v>
      </c>
      <c r="H1114" s="35">
        <v>12</v>
      </c>
      <c r="I1114" s="35">
        <f>VENTAS[[#This Row],[Cantidad]]*VENTAS[[#This Row],[Precio Venta]]</f>
        <v>12</v>
      </c>
      <c r="J1114" s="35">
        <f>IF(VENTAS[[#This Row],[Nombre del Gestor]]&gt;1,VENTAS[[#This Row],[Total]]*10%,0)</f>
        <v>1.2</v>
      </c>
      <c r="K1114" s="35">
        <f>IFERROR(VLOOKUP(VENTAS[[#This Row],[Código del producto Vendido]],STOCK[],16,FALSE)*VENTAS[[#This Row],[Cantidad]]+VLOOKUP(VENTAS[[#This Row],[Código del producto Vendido]],STOCK[],19,FALSE)*VENTAS[[#This Row],[Cantidad]],VENTAS[[#This Row],[Total]])</f>
        <v>9</v>
      </c>
      <c r="L1114" s="35">
        <f>VENTAS[[#This Row],[Total]]-VENTAS[[#This Row],[Comisión 10%]]-VENTAS[[#This Row],[Costo SIN Comision]]</f>
        <v>1.8</v>
      </c>
      <c r="M1114" s="35"/>
    </row>
    <row r="1115" ht="20" customHeight="1" spans="1:13">
      <c r="A1115" s="29">
        <v>45483</v>
      </c>
      <c r="B1115" s="30"/>
      <c r="C1115" s="30" t="s">
        <v>3539</v>
      </c>
      <c r="D1115" s="30" t="s">
        <v>3540</v>
      </c>
      <c r="E1115" s="30" t="s">
        <v>1398</v>
      </c>
      <c r="F1115" s="34" t="str">
        <f>IFERROR(VLOOKUP(VENTAS[[#This Row],[Código del producto Vendido]],STOCK[],5,FALSE),"-")</f>
        <v>Camiseta acanalada de bajo asimétrico naranja</v>
      </c>
      <c r="G1115" s="34">
        <v>1</v>
      </c>
      <c r="H1115" s="35">
        <v>12</v>
      </c>
      <c r="I1115" s="35">
        <f>VENTAS[[#This Row],[Cantidad]]*VENTAS[[#This Row],[Precio Venta]]</f>
        <v>12</v>
      </c>
      <c r="J1115" s="35">
        <f>IF(VENTAS[[#This Row],[Nombre del Gestor]]&gt;1,VENTAS[[#This Row],[Total]]*10%,0)</f>
        <v>1.2</v>
      </c>
      <c r="K1115" s="35">
        <f>IFERROR(VLOOKUP(VENTAS[[#This Row],[Código del producto Vendido]],STOCK[],16,FALSE)*VENTAS[[#This Row],[Cantidad]]+VLOOKUP(VENTAS[[#This Row],[Código del producto Vendido]],STOCK[],19,FALSE)*VENTAS[[#This Row],[Cantidad]],VENTAS[[#This Row],[Total]])</f>
        <v>9</v>
      </c>
      <c r="L1115" s="35">
        <f>VENTAS[[#This Row],[Total]]-VENTAS[[#This Row],[Comisión 10%]]-VENTAS[[#This Row],[Costo SIN Comision]]</f>
        <v>1.8</v>
      </c>
      <c r="M1115" s="35"/>
    </row>
    <row r="1116" ht="20" customHeight="1" spans="1:13">
      <c r="A1116" s="29">
        <v>45491</v>
      </c>
      <c r="B1116" s="30"/>
      <c r="C1116" s="30" t="s">
        <v>3538</v>
      </c>
      <c r="D1116" s="30"/>
      <c r="E1116" s="30" t="s">
        <v>349</v>
      </c>
      <c r="F1116" s="34" t="str">
        <f>IFERROR(VLOOKUP(VENTAS[[#This Row],[Código del producto Vendido]],STOCK[],5,FALSE),"-")</f>
        <v>Pañuelo con estampado de paisley</v>
      </c>
      <c r="G1116" s="34">
        <v>1</v>
      </c>
      <c r="H1116" s="35">
        <v>3</v>
      </c>
      <c r="I1116" s="35">
        <f>VENTAS[[#This Row],[Cantidad]]*VENTAS[[#This Row],[Precio Venta]]</f>
        <v>3</v>
      </c>
      <c r="J1116" s="35">
        <f>IF(VENTAS[[#This Row],[Nombre del Gestor]]&gt;1,VENTAS[[#This Row],[Total]]*10%,0)</f>
        <v>0</v>
      </c>
      <c r="K1116" s="35">
        <f>IFERROR(VLOOKUP(VENTAS[[#This Row],[Código del producto Vendido]],STOCK[],16,FALSE)*VENTAS[[#This Row],[Cantidad]]+VLOOKUP(VENTAS[[#This Row],[Código del producto Vendido]],STOCK[],19,FALSE)*VENTAS[[#This Row],[Cantidad]],VENTAS[[#This Row],[Total]])</f>
        <v>1.20277777777778</v>
      </c>
      <c r="L1116" s="35">
        <f>VENTAS[[#This Row],[Total]]-VENTAS[[#This Row],[Comisión 10%]]-VENTAS[[#This Row],[Costo SIN Comision]]</f>
        <v>1.79722222222222</v>
      </c>
      <c r="M1116" s="35"/>
    </row>
    <row r="1117" ht="20" customHeight="1" spans="1:13">
      <c r="A1117" s="29">
        <v>45492</v>
      </c>
      <c r="B1117" s="30"/>
      <c r="C1117" s="30"/>
      <c r="D1117" s="30" t="s">
        <v>3468</v>
      </c>
      <c r="E1117" s="30" t="s">
        <v>1720</v>
      </c>
      <c r="F1117" s="34" t="str">
        <f>IFERROR(VLOOKUP(VENTAS[[#This Row],[Código del producto Vendido]],STOCK[],5,FALSE),"-")</f>
        <v>Vestido ajustado en rosas</v>
      </c>
      <c r="G1117" s="34">
        <v>1</v>
      </c>
      <c r="H1117" s="35">
        <v>16</v>
      </c>
      <c r="I1117" s="35">
        <f>VENTAS[[#This Row],[Cantidad]]*VENTAS[[#This Row],[Precio Venta]]</f>
        <v>16</v>
      </c>
      <c r="J1117" s="35">
        <f>IF(VENTAS[[#This Row],[Nombre del Gestor]]&gt;1,VENTAS[[#This Row],[Total]]*10%,0)</f>
        <v>1.6</v>
      </c>
      <c r="K1117" s="35">
        <f>IFERROR(VLOOKUP(VENTAS[[#This Row],[Código del producto Vendido]],STOCK[],16,FALSE)*VENTAS[[#This Row],[Cantidad]]+VLOOKUP(VENTAS[[#This Row],[Código del producto Vendido]],STOCK[],19,FALSE)*VENTAS[[#This Row],[Cantidad]],VENTAS[[#This Row],[Total]])</f>
        <v>13</v>
      </c>
      <c r="L1117" s="35">
        <f>VENTAS[[#This Row],[Total]]-VENTAS[[#This Row],[Comisión 10%]]-VENTAS[[#This Row],[Costo SIN Comision]]</f>
        <v>1.4</v>
      </c>
      <c r="M1117" s="35"/>
    </row>
    <row r="1118" ht="20" customHeight="1" spans="1:13">
      <c r="A1118" s="29">
        <v>45492</v>
      </c>
      <c r="B1118" s="30"/>
      <c r="C1118" s="30"/>
      <c r="D1118" s="30" t="s">
        <v>3468</v>
      </c>
      <c r="E1118" s="30" t="s">
        <v>1911</v>
      </c>
      <c r="F1118" s="34" t="str">
        <f>IFERROR(VLOOKUP(VENTAS[[#This Row],[Código del producto Vendido]],STOCK[],5,FALSE),"-")</f>
        <v>Gafas de Sol Retro Carey</v>
      </c>
      <c r="G1118" s="34">
        <v>1</v>
      </c>
      <c r="H1118" s="35">
        <v>8</v>
      </c>
      <c r="I1118" s="35">
        <f>VENTAS[[#This Row],[Cantidad]]*VENTAS[[#This Row],[Precio Venta]]</f>
        <v>8</v>
      </c>
      <c r="J1118" s="35">
        <f>IF(VENTAS[[#This Row],[Nombre del Gestor]]&gt;1,VENTAS[[#This Row],[Total]]*10%,0)</f>
        <v>0.8</v>
      </c>
      <c r="K1118" s="35">
        <f>IFERROR(VLOOKUP(VENTAS[[#This Row],[Código del producto Vendido]],STOCK[],16,FALSE)*VENTAS[[#This Row],[Cantidad]]+VLOOKUP(VENTAS[[#This Row],[Código del producto Vendido]],STOCK[],19,FALSE)*VENTAS[[#This Row],[Cantidad]],VENTAS[[#This Row],[Total]])</f>
        <v>4.45</v>
      </c>
      <c r="L1118" s="35">
        <f>VENTAS[[#This Row],[Total]]-VENTAS[[#This Row],[Comisión 10%]]-VENTAS[[#This Row],[Costo SIN Comision]]</f>
        <v>2.75</v>
      </c>
      <c r="M1118" s="35"/>
    </row>
    <row r="1119" ht="20" customHeight="1" spans="1:13">
      <c r="A1119" s="29">
        <v>45492</v>
      </c>
      <c r="B1119" s="30"/>
      <c r="C1119" s="30"/>
      <c r="D1119" s="30" t="s">
        <v>3468</v>
      </c>
      <c r="E1119" s="30" t="s">
        <v>1235</v>
      </c>
      <c r="F1119" s="34" t="str">
        <f>IFERROR(VLOOKUP(VENTAS[[#This Row],[Código del producto Vendido]],STOCK[],5,FALSE),"-")</f>
        <v>Cinturón de hebilla dorada</v>
      </c>
      <c r="G1119" s="34">
        <v>1</v>
      </c>
      <c r="H1119" s="35">
        <v>10</v>
      </c>
      <c r="I1119" s="35">
        <f>VENTAS[[#This Row],[Cantidad]]*VENTAS[[#This Row],[Precio Venta]]</f>
        <v>10</v>
      </c>
      <c r="J1119" s="35">
        <f>IF(VENTAS[[#This Row],[Nombre del Gestor]]&gt;1,VENTAS[[#This Row],[Total]]*10%,0)</f>
        <v>1</v>
      </c>
      <c r="K1119" s="35">
        <f>IFERROR(VLOOKUP(VENTAS[[#This Row],[Código del producto Vendido]],STOCK[],16,FALSE)*VENTAS[[#This Row],[Cantidad]]+VLOOKUP(VENTAS[[#This Row],[Código del producto Vendido]],STOCK[],19,FALSE)*VENTAS[[#This Row],[Cantidad]],VENTAS[[#This Row],[Total]])</f>
        <v>5.17</v>
      </c>
      <c r="L1119" s="35">
        <f>VENTAS[[#This Row],[Total]]-VENTAS[[#This Row],[Comisión 10%]]-VENTAS[[#This Row],[Costo SIN Comision]]</f>
        <v>3.83</v>
      </c>
      <c r="M1119" s="35"/>
    </row>
    <row r="1120" ht="20" customHeight="1" spans="1:13">
      <c r="A1120" s="29">
        <v>45493</v>
      </c>
      <c r="B1120" s="30"/>
      <c r="C1120" s="30"/>
      <c r="D1120" s="30" t="s">
        <v>3512</v>
      </c>
      <c r="E1120" s="30" t="s">
        <v>1267</v>
      </c>
      <c r="F1120" s="34" t="str">
        <f>IFERROR(VLOOKUP(VENTAS[[#This Row],[Código del producto Vendido]],STOCK[],5,FALSE),"-")</f>
        <v>Top corto asimétrico </v>
      </c>
      <c r="G1120" s="34">
        <v>1</v>
      </c>
      <c r="H1120" s="35">
        <v>10</v>
      </c>
      <c r="I1120" s="35">
        <f>VENTAS[[#This Row],[Cantidad]]*VENTAS[[#This Row],[Precio Venta]]</f>
        <v>10</v>
      </c>
      <c r="J1120" s="35">
        <f>IF(VENTAS[[#This Row],[Nombre del Gestor]]&gt;1,VENTAS[[#This Row],[Total]]*10%,0)</f>
        <v>1</v>
      </c>
      <c r="K1120" s="35">
        <f>IFERROR(VLOOKUP(VENTAS[[#This Row],[Código del producto Vendido]],STOCK[],16,FALSE)*VENTAS[[#This Row],[Cantidad]]+VLOOKUP(VENTAS[[#This Row],[Código del producto Vendido]],STOCK[],19,FALSE)*VENTAS[[#This Row],[Cantidad]],VENTAS[[#This Row],[Total]])</f>
        <v>5.77</v>
      </c>
      <c r="L1120" s="35">
        <f>VENTAS[[#This Row],[Total]]-VENTAS[[#This Row],[Comisión 10%]]-VENTAS[[#This Row],[Costo SIN Comision]]</f>
        <v>3.23</v>
      </c>
      <c r="M1120" s="35"/>
    </row>
    <row r="1121" ht="20" customHeight="1" spans="1:13">
      <c r="A1121" s="29">
        <v>45496</v>
      </c>
      <c r="B1121" s="30"/>
      <c r="C1121" s="30"/>
      <c r="D1121" s="30" t="s">
        <v>3481</v>
      </c>
      <c r="E1121" s="30" t="s">
        <v>1896</v>
      </c>
      <c r="F1121" s="34" t="str">
        <f>IFERROR(VLOOKUP(VENTAS[[#This Row],[Código del producto Vendido]],STOCK[],5,FALSE),"-")</f>
        <v>Bolso mochila estampado</v>
      </c>
      <c r="G1121" s="34">
        <v>1</v>
      </c>
      <c r="H1121" s="35">
        <v>25</v>
      </c>
      <c r="I1121" s="35">
        <f>VENTAS[[#This Row],[Cantidad]]*VENTAS[[#This Row],[Precio Venta]]</f>
        <v>25</v>
      </c>
      <c r="J1121" s="35">
        <f>IF(VENTAS[[#This Row],[Nombre del Gestor]]&gt;1,VENTAS[[#This Row],[Total]]*10%,0)</f>
        <v>2.5</v>
      </c>
      <c r="K1121" s="35">
        <f>IFERROR(VLOOKUP(VENTAS[[#This Row],[Código del producto Vendido]],STOCK[],16,FALSE)*VENTAS[[#This Row],[Cantidad]]+VLOOKUP(VENTAS[[#This Row],[Código del producto Vendido]],STOCK[],19,FALSE)*VENTAS[[#This Row],[Cantidad]],VENTAS[[#This Row],[Total]])</f>
        <v>12.62</v>
      </c>
      <c r="L1121" s="35">
        <f>VENTAS[[#This Row],[Total]]-VENTAS[[#This Row],[Comisión 10%]]-VENTAS[[#This Row],[Costo SIN Comision]]</f>
        <v>9.88</v>
      </c>
      <c r="M1121" s="35"/>
    </row>
    <row r="1122" ht="20" customHeight="1" spans="1:13">
      <c r="A1122" s="29">
        <v>45496</v>
      </c>
      <c r="B1122" s="30"/>
      <c r="C1122" s="30"/>
      <c r="D1122" s="30" t="s">
        <v>3481</v>
      </c>
      <c r="E1122" s="30" t="s">
        <v>496</v>
      </c>
      <c r="F1122" s="34" t="str">
        <f>IFERROR(VLOOKUP(VENTAS[[#This Row],[Código del producto Vendido]],STOCK[],5,FALSE),"-")</f>
        <v>Bikini estampado de cebra</v>
      </c>
      <c r="G1122" s="34">
        <v>1</v>
      </c>
      <c r="H1122" s="35">
        <v>12</v>
      </c>
      <c r="I1122" s="35">
        <f>VENTAS[[#This Row],[Cantidad]]*VENTAS[[#This Row],[Precio Venta]]</f>
        <v>12</v>
      </c>
      <c r="J1122" s="35">
        <f>IF(VENTAS[[#This Row],[Nombre del Gestor]]&gt;1,VENTAS[[#This Row],[Total]]*10%,0)</f>
        <v>1.2</v>
      </c>
      <c r="K1122" s="35">
        <f>IFERROR(VLOOKUP(VENTAS[[#This Row],[Código del producto Vendido]],STOCK[],16,FALSE)*VENTAS[[#This Row],[Cantidad]]+VLOOKUP(VENTAS[[#This Row],[Código del producto Vendido]],STOCK[],19,FALSE)*VENTAS[[#This Row],[Cantidad]],VENTAS[[#This Row],[Total]])</f>
        <v>8.78722222222222</v>
      </c>
      <c r="L1122" s="35">
        <f>VENTAS[[#This Row],[Total]]-VENTAS[[#This Row],[Comisión 10%]]-VENTAS[[#This Row],[Costo SIN Comision]]</f>
        <v>2.01277777777778</v>
      </c>
      <c r="M1122" s="35"/>
    </row>
    <row r="1123" ht="20" customHeight="1" spans="1:13">
      <c r="A1123" s="29">
        <v>45496</v>
      </c>
      <c r="B1123" s="30"/>
      <c r="C1123" s="30"/>
      <c r="D1123" s="30" t="s">
        <v>3481</v>
      </c>
      <c r="E1123" s="30" t="s">
        <v>2401</v>
      </c>
      <c r="F1123" s="34" t="str">
        <f>IFERROR(VLOOKUP(VENTAS[[#This Row],[Código del producto Vendido]],STOCK[],5,FALSE),"-")</f>
        <v>Sandalias de tiras con tacón cuadrado</v>
      </c>
      <c r="G1123" s="34">
        <v>1</v>
      </c>
      <c r="H1123" s="35">
        <v>35</v>
      </c>
      <c r="I1123" s="35">
        <f>VENTAS[[#This Row],[Cantidad]]*VENTAS[[#This Row],[Precio Venta]]</f>
        <v>35</v>
      </c>
      <c r="J1123" s="35">
        <f>IF(VENTAS[[#This Row],[Nombre del Gestor]]&gt;1,VENTAS[[#This Row],[Total]]*10%,0)</f>
        <v>3.5</v>
      </c>
      <c r="K1123" s="35">
        <f>IFERROR(VLOOKUP(VENTAS[[#This Row],[Código del producto Vendido]],STOCK[],16,FALSE)*VENTAS[[#This Row],[Cantidad]]+VLOOKUP(VENTAS[[#This Row],[Código del producto Vendido]],STOCK[],19,FALSE)*VENTAS[[#This Row],[Cantidad]],VENTAS[[#This Row],[Total]])</f>
        <v>17.2520211515864</v>
      </c>
      <c r="L1123" s="35">
        <f>VENTAS[[#This Row],[Total]]-VENTAS[[#This Row],[Comisión 10%]]-VENTAS[[#This Row],[Costo SIN Comision]]</f>
        <v>14.2479788484136</v>
      </c>
      <c r="M1123" s="35"/>
    </row>
    <row r="1124" ht="20" customHeight="1" spans="1:13">
      <c r="A1124" s="29">
        <v>45499</v>
      </c>
      <c r="B1124" s="30"/>
      <c r="C1124" s="30"/>
      <c r="D1124" s="30" t="s">
        <v>3462</v>
      </c>
      <c r="E1124" s="30" t="s">
        <v>2455</v>
      </c>
      <c r="F1124" s="34" t="str">
        <f>IFERROR(VLOOKUP(VENTAS[[#This Row],[Código del producto Vendido]],STOCK[],5,FALSE),"-")</f>
        <v>Sandalias prácticas Chunky Negras</v>
      </c>
      <c r="G1124" s="34">
        <v>1</v>
      </c>
      <c r="H1124" s="35">
        <v>35</v>
      </c>
      <c r="I1124" s="35">
        <f>VENTAS[[#This Row],[Cantidad]]*VENTAS[[#This Row],[Precio Venta]]</f>
        <v>35</v>
      </c>
      <c r="J1124" s="35">
        <f>IF(VENTAS[[#This Row],[Nombre del Gestor]]&gt;1,VENTAS[[#This Row],[Total]]*10%,0)</f>
        <v>3.5</v>
      </c>
      <c r="K1124" s="35">
        <f>IFERROR(VLOOKUP(VENTAS[[#This Row],[Código del producto Vendido]],STOCK[],16,FALSE)*VENTAS[[#This Row],[Cantidad]]+VLOOKUP(VENTAS[[#This Row],[Código del producto Vendido]],STOCK[],19,FALSE)*VENTAS[[#This Row],[Cantidad]],VENTAS[[#This Row],[Total]])</f>
        <v>21.97</v>
      </c>
      <c r="L1124" s="35">
        <f>VENTAS[[#This Row],[Total]]-VENTAS[[#This Row],[Comisión 10%]]-VENTAS[[#This Row],[Costo SIN Comision]]</f>
        <v>9.53</v>
      </c>
      <c r="M1124" s="35"/>
    </row>
    <row r="1125" ht="20" customHeight="1" spans="1:13">
      <c r="A1125" s="29">
        <v>45483</v>
      </c>
      <c r="B1125" s="30"/>
      <c r="C1125" s="30"/>
      <c r="D1125" s="30" t="s">
        <v>3462</v>
      </c>
      <c r="E1125" s="30" t="s">
        <v>2382</v>
      </c>
      <c r="F1125" s="34" t="str">
        <f>IFERROR(VLOOKUP(VENTAS[[#This Row],[Código del producto Vendido]],STOCK[],5,FALSE),"-")</f>
        <v>Espejuelos de sol vintage clásicas aviador</v>
      </c>
      <c r="G1125" s="34">
        <v>1</v>
      </c>
      <c r="H1125" s="35">
        <v>10</v>
      </c>
      <c r="I1125" s="35">
        <f>VENTAS[[#This Row],[Cantidad]]*VENTAS[[#This Row],[Precio Venta]]</f>
        <v>10</v>
      </c>
      <c r="J1125" s="35">
        <f>IF(VENTAS[[#This Row],[Nombre del Gestor]]&gt;1,VENTAS[[#This Row],[Total]]*10%,0)</f>
        <v>1</v>
      </c>
      <c r="K1125" s="35">
        <f>IFERROR(VLOOKUP(VENTAS[[#This Row],[Código del producto Vendido]],STOCK[],16,FALSE)*VENTAS[[#This Row],[Cantidad]]+VLOOKUP(VENTAS[[#This Row],[Código del producto Vendido]],STOCK[],19,FALSE)*VENTAS[[#This Row],[Cantidad]],VENTAS[[#This Row],[Total]])</f>
        <v>4.7275</v>
      </c>
      <c r="L1125" s="35">
        <f>VENTAS[[#This Row],[Total]]-VENTAS[[#This Row],[Comisión 10%]]-VENTAS[[#This Row],[Costo SIN Comision]]</f>
        <v>4.2725</v>
      </c>
      <c r="M1125" s="35"/>
    </row>
    <row r="1126" ht="20" customHeight="1" spans="1:13">
      <c r="A1126" s="29">
        <v>45499</v>
      </c>
      <c r="B1126" s="30"/>
      <c r="C1126" s="30"/>
      <c r="D1126" s="30" t="s">
        <v>3481</v>
      </c>
      <c r="E1126" s="30" t="s">
        <v>1769</v>
      </c>
      <c r="F1126" s="34" t="str">
        <f>IFERROR(VLOOKUP(VENTAS[[#This Row],[Código del producto Vendido]],STOCK[],5,FALSE),"-")</f>
        <v>Kimono Dazy Elegante</v>
      </c>
      <c r="G1126" s="34">
        <v>1</v>
      </c>
      <c r="H1126" s="35">
        <v>22</v>
      </c>
      <c r="I1126" s="35">
        <f>VENTAS[[#This Row],[Cantidad]]*VENTAS[[#This Row],[Precio Venta]]</f>
        <v>22</v>
      </c>
      <c r="J1126" s="35">
        <f>IF(VENTAS[[#This Row],[Nombre del Gestor]]&gt;1,VENTAS[[#This Row],[Total]]*10%,0)</f>
        <v>2.2</v>
      </c>
      <c r="K1126" s="35">
        <f>IFERROR(VLOOKUP(VENTAS[[#This Row],[Código del producto Vendido]],STOCK[],16,FALSE)*VENTAS[[#This Row],[Cantidad]]+VLOOKUP(VENTAS[[#This Row],[Código del producto Vendido]],STOCK[],19,FALSE)*VENTAS[[#This Row],[Cantidad]],VENTAS[[#This Row],[Total]])</f>
        <v>13.3529411764706</v>
      </c>
      <c r="L1126" s="35">
        <f>VENTAS[[#This Row],[Total]]-VENTAS[[#This Row],[Comisión 10%]]-VENTAS[[#This Row],[Costo SIN Comision]]</f>
        <v>6.44705882352941</v>
      </c>
      <c r="M1126" s="35"/>
    </row>
    <row r="1127" ht="20" customHeight="1" spans="1:13">
      <c r="A1127" s="29">
        <v>45499</v>
      </c>
      <c r="B1127" s="30"/>
      <c r="C1127" s="30" t="s">
        <v>3538</v>
      </c>
      <c r="D1127" s="30"/>
      <c r="E1127" s="30" t="s">
        <v>1743</v>
      </c>
      <c r="F1127" s="34" t="str">
        <f>IFERROR(VLOOKUP(VENTAS[[#This Row],[Código del producto Vendido]],STOCK[],5,FALSE),"-")</f>
        <v>Kimono Dazy Elegante</v>
      </c>
      <c r="G1127" s="34">
        <v>1</v>
      </c>
      <c r="H1127" s="35">
        <v>22</v>
      </c>
      <c r="I1127" s="35">
        <f>VENTAS[[#This Row],[Cantidad]]*VENTAS[[#This Row],[Precio Venta]]</f>
        <v>22</v>
      </c>
      <c r="J1127" s="35">
        <f>IF(VENTAS[[#This Row],[Nombre del Gestor]]&gt;1,VENTAS[[#This Row],[Total]]*10%,0)</f>
        <v>0</v>
      </c>
      <c r="K1127" s="35">
        <f>IFERROR(VLOOKUP(VENTAS[[#This Row],[Código del producto Vendido]],STOCK[],16,FALSE)*VENTAS[[#This Row],[Cantidad]]+VLOOKUP(VENTAS[[#This Row],[Código del producto Vendido]],STOCK[],19,FALSE)*VENTAS[[#This Row],[Cantidad]],VENTAS[[#This Row],[Total]])</f>
        <v>13.3529411764706</v>
      </c>
      <c r="L1127" s="35">
        <f>VENTAS[[#This Row],[Total]]-VENTAS[[#This Row],[Comisión 10%]]-VENTAS[[#This Row],[Costo SIN Comision]]</f>
        <v>8.64705882352941</v>
      </c>
      <c r="M1127" s="35"/>
    </row>
    <row r="1128" ht="20" customHeight="1" spans="1:13">
      <c r="A1128" s="29">
        <v>45497</v>
      </c>
      <c r="B1128" s="30"/>
      <c r="C1128" s="30"/>
      <c r="D1128" s="30" t="s">
        <v>3481</v>
      </c>
      <c r="E1128" s="30" t="s">
        <v>2127</v>
      </c>
      <c r="F1128" s="34" t="str">
        <f>IFERROR(VLOOKUP(VENTAS[[#This Row],[Código del producto Vendido]],STOCK[],5,FALSE),"-")</f>
        <v>Set de traje de baño 3 piezas Azul metalizado</v>
      </c>
      <c r="G1128" s="34">
        <v>1</v>
      </c>
      <c r="H1128" s="35">
        <v>22</v>
      </c>
      <c r="I1128" s="35">
        <f>VENTAS[[#This Row],[Cantidad]]*VENTAS[[#This Row],[Precio Venta]]</f>
        <v>22</v>
      </c>
      <c r="J1128" s="35">
        <f>IF(VENTAS[[#This Row],[Nombre del Gestor]]&gt;1,VENTAS[[#This Row],[Total]]*10%,0)</f>
        <v>2.2</v>
      </c>
      <c r="K1128" s="35">
        <f>IFERROR(VLOOKUP(VENTAS[[#This Row],[Código del producto Vendido]],STOCK[],16,FALSE)*VENTAS[[#This Row],[Cantidad]]+VLOOKUP(VENTAS[[#This Row],[Código del producto Vendido]],STOCK[],19,FALSE)*VENTAS[[#This Row],[Cantidad]],VENTAS[[#This Row],[Total]])</f>
        <v>10.84</v>
      </c>
      <c r="L1128" s="35">
        <f>VENTAS[[#This Row],[Total]]-VENTAS[[#This Row],[Comisión 10%]]-VENTAS[[#This Row],[Costo SIN Comision]]</f>
        <v>8.96</v>
      </c>
      <c r="M1128" s="35"/>
    </row>
    <row r="1129" ht="20" customHeight="1" spans="1:13">
      <c r="A1129" s="29">
        <v>45497</v>
      </c>
      <c r="B1129" s="30"/>
      <c r="C1129" s="30"/>
      <c r="D1129" s="30" t="s">
        <v>3481</v>
      </c>
      <c r="E1129" s="30" t="s">
        <v>2248</v>
      </c>
      <c r="F1129" s="34" t="str">
        <f>IFERROR(VLOOKUP(VENTAS[[#This Row],[Código del producto Vendido]],STOCK[],5,FALSE),"-")</f>
        <v>Bikini de cintura alta estampado clásico</v>
      </c>
      <c r="G1129" s="34">
        <v>1</v>
      </c>
      <c r="H1129" s="35">
        <v>20</v>
      </c>
      <c r="I1129" s="35">
        <f>VENTAS[[#This Row],[Cantidad]]*VENTAS[[#This Row],[Precio Venta]]</f>
        <v>20</v>
      </c>
      <c r="J1129" s="35">
        <f>IF(VENTAS[[#This Row],[Nombre del Gestor]]&gt;1,VENTAS[[#This Row],[Total]]*10%,0)</f>
        <v>2</v>
      </c>
      <c r="K1129" s="35">
        <f>IFERROR(VLOOKUP(VENTAS[[#This Row],[Código del producto Vendido]],STOCK[],16,FALSE)*VENTAS[[#This Row],[Cantidad]]+VLOOKUP(VENTAS[[#This Row],[Código del producto Vendido]],STOCK[],19,FALSE)*VENTAS[[#This Row],[Cantidad]],VENTAS[[#This Row],[Total]])</f>
        <v>8.66</v>
      </c>
      <c r="L1129" s="35">
        <f>VENTAS[[#This Row],[Total]]-VENTAS[[#This Row],[Comisión 10%]]-VENTAS[[#This Row],[Costo SIN Comision]]</f>
        <v>9.34</v>
      </c>
      <c r="M1129" s="35"/>
    </row>
    <row r="1130" ht="20" customHeight="1" spans="1:13">
      <c r="A1130" s="29">
        <v>45496</v>
      </c>
      <c r="B1130" s="30"/>
      <c r="C1130" s="30"/>
      <c r="D1130" s="30" t="s">
        <v>3481</v>
      </c>
      <c r="E1130" s="30" t="s">
        <v>2368</v>
      </c>
      <c r="F1130" s="34" t="str">
        <f>IFERROR(VLOOKUP(VENTAS[[#This Row],[Código del producto Vendido]],STOCK[],5,FALSE),"-")</f>
        <v>Blusa atada al frente de estilo casual</v>
      </c>
      <c r="G1130" s="34">
        <v>1</v>
      </c>
      <c r="H1130" s="35">
        <v>17</v>
      </c>
      <c r="I1130" s="35">
        <f>VENTAS[[#This Row],[Cantidad]]*VENTAS[[#This Row],[Precio Venta]]</f>
        <v>17</v>
      </c>
      <c r="J1130" s="35">
        <f>IF(VENTAS[[#This Row],[Nombre del Gestor]]&gt;1,VENTAS[[#This Row],[Total]]*10%,0)</f>
        <v>1.7</v>
      </c>
      <c r="K1130" s="35">
        <f>IFERROR(VLOOKUP(VENTAS[[#This Row],[Código del producto Vendido]],STOCK[],16,FALSE)*VENTAS[[#This Row],[Cantidad]]+VLOOKUP(VENTAS[[#This Row],[Código del producto Vendido]],STOCK[],19,FALSE)*VENTAS[[#This Row],[Cantidad]],VENTAS[[#This Row],[Total]])</f>
        <v>10.821875</v>
      </c>
      <c r="L1130" s="35">
        <f>VENTAS[[#This Row],[Total]]-VENTAS[[#This Row],[Comisión 10%]]-VENTAS[[#This Row],[Costo SIN Comision]]</f>
        <v>4.478125</v>
      </c>
      <c r="M1130" s="35"/>
    </row>
    <row r="1131" ht="20" customHeight="1" spans="1:13">
      <c r="A1131" s="29">
        <v>45496</v>
      </c>
      <c r="B1131" s="30"/>
      <c r="C1131" s="30"/>
      <c r="D1131" s="30" t="s">
        <v>3481</v>
      </c>
      <c r="E1131" s="30" t="s">
        <v>2121</v>
      </c>
      <c r="F1131" s="34" t="str">
        <f>IFERROR(VLOOKUP(VENTAS[[#This Row],[Código del producto Vendido]],STOCK[],5,FALSE),"-")</f>
        <v>Set de traje de baño elegante 2 piezas con adorno en forma de V</v>
      </c>
      <c r="G1131" s="34">
        <v>1</v>
      </c>
      <c r="H1131" s="35">
        <v>25</v>
      </c>
      <c r="I1131" s="35">
        <f>VENTAS[[#This Row],[Cantidad]]*VENTAS[[#This Row],[Precio Venta]]</f>
        <v>25</v>
      </c>
      <c r="J1131" s="35">
        <f>IF(VENTAS[[#This Row],[Nombre del Gestor]]&gt;1,VENTAS[[#This Row],[Total]]*10%,0)</f>
        <v>2.5</v>
      </c>
      <c r="K1131" s="35">
        <f>IFERROR(VLOOKUP(VENTAS[[#This Row],[Código del producto Vendido]],STOCK[],16,FALSE)*VENTAS[[#This Row],[Cantidad]]+VLOOKUP(VENTAS[[#This Row],[Código del producto Vendido]],STOCK[],19,FALSE)*VENTAS[[#This Row],[Cantidad]],VENTAS[[#This Row],[Total]])</f>
        <v>11.21</v>
      </c>
      <c r="L1131" s="35">
        <f>VENTAS[[#This Row],[Total]]-VENTAS[[#This Row],[Comisión 10%]]-VENTAS[[#This Row],[Costo SIN Comision]]</f>
        <v>11.29</v>
      </c>
      <c r="M1131" s="35"/>
    </row>
    <row r="1132" ht="20" customHeight="1" spans="1:13">
      <c r="A1132" s="29">
        <v>45499</v>
      </c>
      <c r="B1132" s="30"/>
      <c r="C1132" s="30" t="s">
        <v>3538</v>
      </c>
      <c r="D1132" s="30"/>
      <c r="E1132" s="30" t="s">
        <v>2362</v>
      </c>
      <c r="F1132" s="34" t="str">
        <f>IFERROR(VLOOKUP(VENTAS[[#This Row],[Código del producto Vendido]],STOCK[],5,FALSE),"-")</f>
        <v>2 piezas bikini push up accesorio</v>
      </c>
      <c r="G1132" s="34">
        <v>1</v>
      </c>
      <c r="H1132" s="35">
        <v>4</v>
      </c>
      <c r="I1132" s="35">
        <f>VENTAS[[#This Row],[Cantidad]]*VENTAS[[#This Row],[Precio Venta]]</f>
        <v>4</v>
      </c>
      <c r="J1132" s="35">
        <f>IF(VENTAS[[#This Row],[Nombre del Gestor]]&gt;1,VENTAS[[#This Row],[Total]]*10%,0)</f>
        <v>0</v>
      </c>
      <c r="K1132" s="35">
        <f>IFERROR(VLOOKUP(VENTAS[[#This Row],[Código del producto Vendido]],STOCK[],16,FALSE)*VENTAS[[#This Row],[Cantidad]]+VLOOKUP(VENTAS[[#This Row],[Código del producto Vendido]],STOCK[],19,FALSE)*VENTAS[[#This Row],[Cantidad]],VENTAS[[#This Row],[Total]])</f>
        <v>3.335625</v>
      </c>
      <c r="L1132" s="35">
        <f>VENTAS[[#This Row],[Total]]-VENTAS[[#This Row],[Comisión 10%]]-VENTAS[[#This Row],[Costo SIN Comision]]</f>
        <v>0.664375</v>
      </c>
      <c r="M1132" s="35"/>
    </row>
    <row r="1133" ht="20" customHeight="1" spans="1:13">
      <c r="A1133" s="29">
        <v>45499</v>
      </c>
      <c r="B1133" s="30"/>
      <c r="C1133" s="30" t="s">
        <v>3538</v>
      </c>
      <c r="D1133" s="30"/>
      <c r="E1133" s="30" t="s">
        <v>2150</v>
      </c>
      <c r="F1133" s="34" t="str">
        <f>IFERROR(VLOOKUP(VENTAS[[#This Row],[Código del producto Vendido]],STOCK[],5,FALSE),"-")</f>
        <v>Set de 3 piezas de bikini con estampado floral</v>
      </c>
      <c r="G1133" s="34">
        <v>1</v>
      </c>
      <c r="H1133" s="35">
        <v>25</v>
      </c>
      <c r="I1133" s="35">
        <f>VENTAS[[#This Row],[Cantidad]]*VENTAS[[#This Row],[Precio Venta]]</f>
        <v>25</v>
      </c>
      <c r="J1133" s="35">
        <f>IF(VENTAS[[#This Row],[Nombre del Gestor]]&gt;1,VENTAS[[#This Row],[Total]]*10%,0)</f>
        <v>0</v>
      </c>
      <c r="K1133" s="35">
        <f>IFERROR(VLOOKUP(VENTAS[[#This Row],[Código del producto Vendido]],STOCK[],16,FALSE)*VENTAS[[#This Row],[Cantidad]]+VLOOKUP(VENTAS[[#This Row],[Código del producto Vendido]],STOCK[],19,FALSE)*VENTAS[[#This Row],[Cantidad]],VENTAS[[#This Row],[Total]])</f>
        <v>9.67</v>
      </c>
      <c r="L1133" s="35">
        <f>VENTAS[[#This Row],[Total]]-VENTAS[[#This Row],[Comisión 10%]]-VENTAS[[#This Row],[Costo SIN Comision]]</f>
        <v>15.33</v>
      </c>
      <c r="M1133" s="35"/>
    </row>
    <row r="1134" ht="20" customHeight="1" spans="1:13">
      <c r="A1134" s="29">
        <v>45498</v>
      </c>
      <c r="B1134" s="30"/>
      <c r="C1134" s="30" t="s">
        <v>3538</v>
      </c>
      <c r="D1134" s="30"/>
      <c r="E1134" s="30" t="s">
        <v>2397</v>
      </c>
      <c r="F1134" s="34" t="str">
        <f>IFERROR(VLOOKUP(VENTAS[[#This Row],[Código del producto Vendido]],STOCK[],5,FALSE),"-")</f>
        <v>Sandalias de tiras con tacón cuadrado</v>
      </c>
      <c r="G1134" s="34">
        <v>1</v>
      </c>
      <c r="H1134" s="35">
        <v>35</v>
      </c>
      <c r="I1134" s="35">
        <f>VENTAS[[#This Row],[Cantidad]]*VENTAS[[#This Row],[Precio Venta]]</f>
        <v>35</v>
      </c>
      <c r="J1134" s="35">
        <f>IF(VENTAS[[#This Row],[Nombre del Gestor]]&gt;1,VENTAS[[#This Row],[Total]]*10%,0)</f>
        <v>0</v>
      </c>
      <c r="K1134" s="35">
        <f>IFERROR(VLOOKUP(VENTAS[[#This Row],[Código del producto Vendido]],STOCK[],16,FALSE)*VENTAS[[#This Row],[Cantidad]]+VLOOKUP(VENTAS[[#This Row],[Código del producto Vendido]],STOCK[],19,FALSE)*VENTAS[[#This Row],[Cantidad]],VENTAS[[#This Row],[Total]])</f>
        <v>17.2520211515864</v>
      </c>
      <c r="L1134" s="35">
        <f>VENTAS[[#This Row],[Total]]-VENTAS[[#This Row],[Comisión 10%]]-VENTAS[[#This Row],[Costo SIN Comision]]</f>
        <v>17.7479788484136</v>
      </c>
      <c r="M1134" s="35"/>
    </row>
    <row r="1135" ht="20" customHeight="1" spans="1:13">
      <c r="A1135" s="29">
        <v>45498</v>
      </c>
      <c r="B1135" s="30"/>
      <c r="C1135" s="30" t="s">
        <v>3538</v>
      </c>
      <c r="D1135" s="30"/>
      <c r="E1135" s="30" t="s">
        <v>1168</v>
      </c>
      <c r="F1135" s="34" t="str">
        <f>IFERROR(VLOOKUP(VENTAS[[#This Row],[Código del producto Vendido]],STOCK[],5,FALSE),"-")</f>
        <v>Pullover Dazy cuello redondo Blanco</v>
      </c>
      <c r="G1135" s="34">
        <v>1</v>
      </c>
      <c r="H1135" s="35">
        <v>13</v>
      </c>
      <c r="I1135" s="35">
        <f>VENTAS[[#This Row],[Cantidad]]*VENTAS[[#This Row],[Precio Venta]]</f>
        <v>13</v>
      </c>
      <c r="J1135" s="35">
        <f>IF(VENTAS[[#This Row],[Nombre del Gestor]]&gt;1,VENTAS[[#This Row],[Total]]*10%,0)</f>
        <v>0</v>
      </c>
      <c r="K1135" s="35">
        <f>IFERROR(VLOOKUP(VENTAS[[#This Row],[Código del producto Vendido]],STOCK[],16,FALSE)*VENTAS[[#This Row],[Cantidad]]+VLOOKUP(VENTAS[[#This Row],[Código del producto Vendido]],STOCK[],19,FALSE)*VENTAS[[#This Row],[Cantidad]],VENTAS[[#This Row],[Total]])</f>
        <v>8.61</v>
      </c>
      <c r="L1135" s="35">
        <f>VENTAS[[#This Row],[Total]]-VENTAS[[#This Row],[Comisión 10%]]-VENTAS[[#This Row],[Costo SIN Comision]]</f>
        <v>4.39</v>
      </c>
      <c r="M1135" s="35"/>
    </row>
    <row r="1136" ht="20" customHeight="1" spans="1:13">
      <c r="A1136" s="29">
        <v>45498</v>
      </c>
      <c r="B1136" s="30"/>
      <c r="C1136" s="30" t="s">
        <v>3538</v>
      </c>
      <c r="D1136" s="30"/>
      <c r="E1136" s="30" t="s">
        <v>2412</v>
      </c>
      <c r="F1136" s="34" t="str">
        <f>IFERROR(VLOOKUP(VENTAS[[#This Row],[Código del producto Vendido]],STOCK[],5,FALSE),"-")</f>
        <v>Pantalón de vestir de viscosa y lino (beige claro)</v>
      </c>
      <c r="G1136" s="34">
        <v>1</v>
      </c>
      <c r="H1136" s="35">
        <v>35</v>
      </c>
      <c r="I1136" s="35">
        <f>VENTAS[[#This Row],[Cantidad]]*VENTAS[[#This Row],[Precio Venta]]</f>
        <v>35</v>
      </c>
      <c r="J1136" s="35">
        <f>IF(VENTAS[[#This Row],[Nombre del Gestor]]&gt;1,VENTAS[[#This Row],[Total]]*10%,0)</f>
        <v>0</v>
      </c>
      <c r="K1136" s="35">
        <f>IFERROR(VLOOKUP(VENTAS[[#This Row],[Código del producto Vendido]],STOCK[],16,FALSE)*VENTAS[[#This Row],[Cantidad]]+VLOOKUP(VENTAS[[#This Row],[Código del producto Vendido]],STOCK[],19,FALSE)*VENTAS[[#This Row],[Cantidad]],VENTAS[[#This Row],[Total]])</f>
        <v>17.2520211515864</v>
      </c>
      <c r="L1136" s="35">
        <f>VENTAS[[#This Row],[Total]]-VENTAS[[#This Row],[Comisión 10%]]-VENTAS[[#This Row],[Costo SIN Comision]]</f>
        <v>17.7479788484136</v>
      </c>
      <c r="M1136" s="35"/>
    </row>
    <row r="1137" ht="20" customHeight="1" spans="1:13">
      <c r="A1137" s="29">
        <v>45496</v>
      </c>
      <c r="B1137" s="30"/>
      <c r="C1137" s="30"/>
      <c r="D1137" s="30" t="s">
        <v>3506</v>
      </c>
      <c r="E1137" s="30" t="s">
        <v>781</v>
      </c>
      <c r="F1137" s="34" t="str">
        <f>IFERROR(VLOOKUP(VENTAS[[#This Row],[Código del producto Vendido]],STOCK[],5,FALSE),"-")</f>
        <v>Top Amarillo en tela de algodón</v>
      </c>
      <c r="G1137" s="34">
        <v>1</v>
      </c>
      <c r="H1137" s="35">
        <v>10</v>
      </c>
      <c r="I1137" s="35">
        <f>VENTAS[[#This Row],[Cantidad]]*VENTAS[[#This Row],[Precio Venta]]</f>
        <v>10</v>
      </c>
      <c r="J1137" s="35">
        <f>IF(VENTAS[[#This Row],[Nombre del Gestor]]&gt;1,VENTAS[[#This Row],[Total]]*10%,0)</f>
        <v>1</v>
      </c>
      <c r="K1137" s="35">
        <f>IFERROR(VLOOKUP(VENTAS[[#This Row],[Código del producto Vendido]],STOCK[],16,FALSE)*VENTAS[[#This Row],[Cantidad]]+VLOOKUP(VENTAS[[#This Row],[Código del producto Vendido]],STOCK[],19,FALSE)*VENTAS[[#This Row],[Cantidad]],VENTAS[[#This Row],[Total]])</f>
        <v>6.05555555555556</v>
      </c>
      <c r="L1137" s="35">
        <f>VENTAS[[#This Row],[Total]]-VENTAS[[#This Row],[Comisión 10%]]-VENTAS[[#This Row],[Costo SIN Comision]]</f>
        <v>2.94444444444444</v>
      </c>
      <c r="M1137" s="35"/>
    </row>
    <row r="1138" ht="20" customHeight="1" spans="1:13">
      <c r="A1138" s="29">
        <v>45496</v>
      </c>
      <c r="B1138" s="30"/>
      <c r="C1138" s="30"/>
      <c r="D1138" s="30" t="s">
        <v>3506</v>
      </c>
      <c r="E1138" s="30" t="s">
        <v>596</v>
      </c>
      <c r="F1138" s="34" t="str">
        <f>IFERROR(VLOOKUP(VENTAS[[#This Row],[Código del producto Vendido]],STOCK[],5,FALSE),"-")</f>
        <v>Top cruzado naranja</v>
      </c>
      <c r="G1138" s="34">
        <v>1</v>
      </c>
      <c r="H1138" s="35">
        <v>8</v>
      </c>
      <c r="I1138" s="35">
        <f>VENTAS[[#This Row],[Cantidad]]*VENTAS[[#This Row],[Precio Venta]]</f>
        <v>8</v>
      </c>
      <c r="J1138" s="35">
        <f>IF(VENTAS[[#This Row],[Nombre del Gestor]]&gt;1,VENTAS[[#This Row],[Total]]*10%,0)</f>
        <v>0.8</v>
      </c>
      <c r="K1138" s="35">
        <f>IFERROR(VLOOKUP(VENTAS[[#This Row],[Código del producto Vendido]],STOCK[],16,FALSE)*VENTAS[[#This Row],[Cantidad]]+VLOOKUP(VENTAS[[#This Row],[Código del producto Vendido]],STOCK[],19,FALSE)*VENTAS[[#This Row],[Cantidad]],VENTAS[[#This Row],[Total]])</f>
        <v>5.06833333333333</v>
      </c>
      <c r="L1138" s="35">
        <f>VENTAS[[#This Row],[Total]]-VENTAS[[#This Row],[Comisión 10%]]-VENTAS[[#This Row],[Costo SIN Comision]]</f>
        <v>2.13166666666667</v>
      </c>
      <c r="M1138" s="35"/>
    </row>
    <row r="1139" ht="20" customHeight="1" spans="1:13">
      <c r="A1139" s="29">
        <v>45496</v>
      </c>
      <c r="B1139" s="30"/>
      <c r="C1139" s="30"/>
      <c r="D1139" s="30" t="s">
        <v>3506</v>
      </c>
      <c r="E1139" s="30" t="s">
        <v>673</v>
      </c>
      <c r="F1139" s="34" t="str">
        <f>IFERROR(VLOOKUP(VENTAS[[#This Row],[Código del producto Vendido]],STOCK[],5,FALSE),"-")</f>
        <v>Top Cruzado azul</v>
      </c>
      <c r="G1139" s="34">
        <v>1</v>
      </c>
      <c r="H1139" s="35">
        <v>8</v>
      </c>
      <c r="I1139" s="35">
        <f>VENTAS[[#This Row],[Cantidad]]*VENTAS[[#This Row],[Precio Venta]]</f>
        <v>8</v>
      </c>
      <c r="J1139" s="35">
        <f>IF(VENTAS[[#This Row],[Nombre del Gestor]]&gt;1,VENTAS[[#This Row],[Total]]*10%,0)</f>
        <v>0.8</v>
      </c>
      <c r="K1139" s="35">
        <f>IFERROR(VLOOKUP(VENTAS[[#This Row],[Código del producto Vendido]],STOCK[],16,FALSE)*VENTAS[[#This Row],[Cantidad]]+VLOOKUP(VENTAS[[#This Row],[Código del producto Vendido]],STOCK[],19,FALSE)*VENTAS[[#This Row],[Cantidad]],VENTAS[[#This Row],[Total]])</f>
        <v>5.26833333333333</v>
      </c>
      <c r="L1139" s="35">
        <f>VENTAS[[#This Row],[Total]]-VENTAS[[#This Row],[Comisión 10%]]-VENTAS[[#This Row],[Costo SIN Comision]]</f>
        <v>1.93166666666667</v>
      </c>
      <c r="M1139" s="35"/>
    </row>
    <row r="1140" ht="20" customHeight="1" spans="1:13">
      <c r="A1140" s="29">
        <v>45495</v>
      </c>
      <c r="B1140" s="30"/>
      <c r="C1140" s="30"/>
      <c r="D1140" s="30" t="s">
        <v>3506</v>
      </c>
      <c r="E1140" s="30" t="s">
        <v>1007</v>
      </c>
      <c r="F1140" s="34" t="str">
        <f>IFERROR(VLOOKUP(VENTAS[[#This Row],[Código del producto Vendido]],STOCK[],5,FALSE),"-")</f>
        <v>Maxi Vestido con Bolsillo</v>
      </c>
      <c r="G1140" s="34">
        <v>1</v>
      </c>
      <c r="H1140" s="35">
        <v>35</v>
      </c>
      <c r="I1140" s="35">
        <f>VENTAS[[#This Row],[Cantidad]]*VENTAS[[#This Row],[Precio Venta]]</f>
        <v>35</v>
      </c>
      <c r="J1140" s="35">
        <f>IF(VENTAS[[#This Row],[Nombre del Gestor]]&gt;1,VENTAS[[#This Row],[Total]]*10%,0)</f>
        <v>3.5</v>
      </c>
      <c r="K1140" s="35">
        <f>IFERROR(VLOOKUP(VENTAS[[#This Row],[Código del producto Vendido]],STOCK[],16,FALSE)*VENTAS[[#This Row],[Cantidad]]+VLOOKUP(VENTAS[[#This Row],[Código del producto Vendido]],STOCK[],19,FALSE)*VENTAS[[#This Row],[Cantidad]],VENTAS[[#This Row],[Total]])</f>
        <v>24.7295454545455</v>
      </c>
      <c r="L1140" s="35">
        <f>VENTAS[[#This Row],[Total]]-VENTAS[[#This Row],[Comisión 10%]]-VENTAS[[#This Row],[Costo SIN Comision]]</f>
        <v>6.7704545454545</v>
      </c>
      <c r="M1140" s="35"/>
    </row>
    <row r="1141" ht="20" customHeight="1" spans="1:13">
      <c r="A1141" s="29">
        <v>45495</v>
      </c>
      <c r="B1141" s="30"/>
      <c r="C1141" s="30"/>
      <c r="D1141" s="30" t="s">
        <v>3506</v>
      </c>
      <c r="E1141" s="30" t="s">
        <v>329</v>
      </c>
      <c r="F1141" s="34" t="str">
        <f>IFERROR(VLOOKUP(VENTAS[[#This Row],[Código del producto Vendido]],STOCK[],5,FALSE),"-")</f>
        <v>Vestido ajustado con abertura</v>
      </c>
      <c r="G1141" s="34">
        <v>1</v>
      </c>
      <c r="H1141" s="35">
        <v>18</v>
      </c>
      <c r="I1141" s="35">
        <f>VENTAS[[#This Row],[Cantidad]]*VENTAS[[#This Row],[Precio Venta]]</f>
        <v>18</v>
      </c>
      <c r="J1141" s="35">
        <f>IF(VENTAS[[#This Row],[Nombre del Gestor]]&gt;1,VENTAS[[#This Row],[Total]]*10%,0)</f>
        <v>1.8</v>
      </c>
      <c r="K1141" s="35">
        <f>IFERROR(VLOOKUP(VENTAS[[#This Row],[Código del producto Vendido]],STOCK[],16,FALSE)*VENTAS[[#This Row],[Cantidad]]+VLOOKUP(VENTAS[[#This Row],[Código del producto Vendido]],STOCK[],19,FALSE)*VENTAS[[#This Row],[Cantidad]],VENTAS[[#This Row],[Total]])</f>
        <v>12.14</v>
      </c>
      <c r="L1141" s="35">
        <f>VENTAS[[#This Row],[Total]]-VENTAS[[#This Row],[Comisión 10%]]-VENTAS[[#This Row],[Costo SIN Comision]]</f>
        <v>4.06</v>
      </c>
      <c r="M1141" s="35"/>
    </row>
    <row r="1142" ht="20" customHeight="1" spans="1:13">
      <c r="A1142" s="29">
        <v>45495</v>
      </c>
      <c r="B1142" s="30"/>
      <c r="C1142" s="30"/>
      <c r="D1142" s="30" t="s">
        <v>3506</v>
      </c>
      <c r="E1142" s="30" t="s">
        <v>663</v>
      </c>
      <c r="F1142" s="34" t="str">
        <f>IFERROR(VLOOKUP(VENTAS[[#This Row],[Código del producto Vendido]],STOCK[],5,FALSE),"-")</f>
        <v>Top Cruzado negro</v>
      </c>
      <c r="G1142" s="34">
        <v>2</v>
      </c>
      <c r="H1142" s="35">
        <v>8</v>
      </c>
      <c r="I1142" s="35">
        <f>VENTAS[[#This Row],[Cantidad]]*VENTAS[[#This Row],[Precio Venta]]</f>
        <v>16</v>
      </c>
      <c r="J1142" s="35">
        <f>IF(VENTAS[[#This Row],[Nombre del Gestor]]&gt;1,VENTAS[[#This Row],[Total]]*10%,0)</f>
        <v>1.6</v>
      </c>
      <c r="K1142" s="35">
        <f>IFERROR(VLOOKUP(VENTAS[[#This Row],[Código del producto Vendido]],STOCK[],16,FALSE)*VENTAS[[#This Row],[Cantidad]]+VLOOKUP(VENTAS[[#This Row],[Código del producto Vendido]],STOCK[],19,FALSE)*VENTAS[[#This Row],[Cantidad]],VENTAS[[#This Row],[Total]])</f>
        <v>9.80333333333334</v>
      </c>
      <c r="L1142" s="35">
        <f>VENTAS[[#This Row],[Total]]-VENTAS[[#This Row],[Comisión 10%]]-VENTAS[[#This Row],[Costo SIN Comision]]</f>
        <v>4.59666666666666</v>
      </c>
      <c r="M1142" s="35"/>
    </row>
    <row r="1143" ht="20" customHeight="1" spans="1:13">
      <c r="A1143" s="29">
        <v>45495</v>
      </c>
      <c r="B1143" s="30"/>
      <c r="C1143" s="30"/>
      <c r="D1143" s="30" t="s">
        <v>3506</v>
      </c>
      <c r="E1143" s="30" t="s">
        <v>583</v>
      </c>
      <c r="F1143" s="34" t="str">
        <f>IFERROR(VLOOKUP(VENTAS[[#This Row],[Código del producto Vendido]],STOCK[],5,FALSE),"-")</f>
        <v>Top cruzado blanco</v>
      </c>
      <c r="G1143" s="34">
        <v>2</v>
      </c>
      <c r="H1143" s="35">
        <v>8</v>
      </c>
      <c r="I1143" s="35">
        <f>VENTAS[[#This Row],[Cantidad]]*VENTAS[[#This Row],[Precio Venta]]</f>
        <v>16</v>
      </c>
      <c r="J1143" s="35">
        <f>IF(VENTAS[[#This Row],[Nombre del Gestor]]&gt;1,VENTAS[[#This Row],[Total]]*10%,0)</f>
        <v>1.6</v>
      </c>
      <c r="K1143" s="35">
        <f>IFERROR(VLOOKUP(VENTAS[[#This Row],[Código del producto Vendido]],STOCK[],16,FALSE)*VENTAS[[#This Row],[Cantidad]]+VLOOKUP(VENTAS[[#This Row],[Código del producto Vendido]],STOCK[],19,FALSE)*VENTAS[[#This Row],[Cantidad]],VENTAS[[#This Row],[Total]])</f>
        <v>10.3866666666667</v>
      </c>
      <c r="L1143" s="35">
        <f>VENTAS[[#This Row],[Total]]-VENTAS[[#This Row],[Comisión 10%]]-VENTAS[[#This Row],[Costo SIN Comision]]</f>
        <v>4.01333333333334</v>
      </c>
      <c r="M1143" s="35"/>
    </row>
    <row r="1144" ht="20" customHeight="1" spans="1:13">
      <c r="A1144" s="29">
        <v>45495</v>
      </c>
      <c r="B1144" s="30"/>
      <c r="C1144" s="30"/>
      <c r="D1144" s="30" t="s">
        <v>3506</v>
      </c>
      <c r="E1144" s="30" t="s">
        <v>211</v>
      </c>
      <c r="F1144" s="34" t="str">
        <f>IFERROR(VLOOKUP(VENTAS[[#This Row],[Código del producto Vendido]],STOCK[],5,FALSE),"-")</f>
        <v>Maxi vestido con bajo floral</v>
      </c>
      <c r="G1144" s="34">
        <v>1</v>
      </c>
      <c r="H1144" s="35">
        <v>25</v>
      </c>
      <c r="I1144" s="35">
        <f>VENTAS[[#This Row],[Cantidad]]*VENTAS[[#This Row],[Precio Venta]]</f>
        <v>25</v>
      </c>
      <c r="J1144" s="35">
        <f>IF(VENTAS[[#This Row],[Nombre del Gestor]]&gt;1,VENTAS[[#This Row],[Total]]*10%,0)</f>
        <v>2.5</v>
      </c>
      <c r="K1144" s="35">
        <f>IFERROR(VLOOKUP(VENTAS[[#This Row],[Código del producto Vendido]],STOCK[],16,FALSE)*VENTAS[[#This Row],[Cantidad]]+VLOOKUP(VENTAS[[#This Row],[Código del producto Vendido]],STOCK[],19,FALSE)*VENTAS[[#This Row],[Cantidad]],VENTAS[[#This Row],[Total]])</f>
        <v>14.34</v>
      </c>
      <c r="L1144" s="35">
        <f>VENTAS[[#This Row],[Total]]-VENTAS[[#This Row],[Comisión 10%]]-VENTAS[[#This Row],[Costo SIN Comision]]</f>
        <v>8.16</v>
      </c>
      <c r="M1144" s="35"/>
    </row>
    <row r="1145" ht="20" customHeight="1" spans="1:13">
      <c r="A1145" s="29">
        <v>45500</v>
      </c>
      <c r="B1145" s="30"/>
      <c r="C1145" s="30" t="s">
        <v>3538</v>
      </c>
      <c r="D1145" s="30"/>
      <c r="E1145" s="30" t="s">
        <v>2477</v>
      </c>
      <c r="F1145" s="34" t="str">
        <f>IFERROR(VLOOKUP(VENTAS[[#This Row],[Código del producto Vendido]],STOCK[],5,FALSE),"-")</f>
        <v>Sandalias finas strappy rojas de tacón</v>
      </c>
      <c r="G1145" s="34">
        <v>1</v>
      </c>
      <c r="H1145" s="35">
        <v>40</v>
      </c>
      <c r="I1145" s="35">
        <f>VENTAS[[#This Row],[Cantidad]]*VENTAS[[#This Row],[Precio Venta]]</f>
        <v>40</v>
      </c>
      <c r="J1145" s="35">
        <f>IF(VENTAS[[#This Row],[Nombre del Gestor]]&gt;1,VENTAS[[#This Row],[Total]]*10%,0)</f>
        <v>0</v>
      </c>
      <c r="K1145" s="35">
        <f>IFERROR(VLOOKUP(VENTAS[[#This Row],[Código del producto Vendido]],STOCK[],16,FALSE)*VENTAS[[#This Row],[Cantidad]]+VLOOKUP(VENTAS[[#This Row],[Código del producto Vendido]],STOCK[],19,FALSE)*VENTAS[[#This Row],[Cantidad]],VENTAS[[#This Row],[Total]])</f>
        <v>20.81925</v>
      </c>
      <c r="L1145" s="35">
        <f>VENTAS[[#This Row],[Total]]-VENTAS[[#This Row],[Comisión 10%]]-VENTAS[[#This Row],[Costo SIN Comision]]</f>
        <v>19.18075</v>
      </c>
      <c r="M1145" s="35"/>
    </row>
    <row r="1146" ht="20" customHeight="1" spans="1:13">
      <c r="A1146" s="29">
        <v>45506</v>
      </c>
      <c r="B1146" s="30"/>
      <c r="C1146" s="30"/>
      <c r="D1146" s="30" t="s">
        <v>3462</v>
      </c>
      <c r="E1146" s="30" t="s">
        <v>2479</v>
      </c>
      <c r="F1146" s="34" t="str">
        <f>IFERROR(VLOOKUP(VENTAS[[#This Row],[Código del producto Vendido]],STOCK[],5,FALSE),"-")</f>
        <v>Sandalias finas strappy rojas de tacón</v>
      </c>
      <c r="G1146" s="34">
        <v>1</v>
      </c>
      <c r="H1146" s="35">
        <v>40</v>
      </c>
      <c r="I1146" s="35">
        <f>VENTAS[[#This Row],[Cantidad]]*VENTAS[[#This Row],[Precio Venta]]</f>
        <v>40</v>
      </c>
      <c r="J1146" s="35">
        <f>IF(VENTAS[[#This Row],[Nombre del Gestor]]&gt;1,VENTAS[[#This Row],[Total]]*10%,0)</f>
        <v>4</v>
      </c>
      <c r="K1146" s="35">
        <f>IFERROR(VLOOKUP(VENTAS[[#This Row],[Código del producto Vendido]],STOCK[],16,FALSE)*VENTAS[[#This Row],[Cantidad]]+VLOOKUP(VENTAS[[#This Row],[Código del producto Vendido]],STOCK[],19,FALSE)*VENTAS[[#This Row],[Cantidad]],VENTAS[[#This Row],[Total]])</f>
        <v>20.81925</v>
      </c>
      <c r="L1146" s="35">
        <f>VENTAS[[#This Row],[Total]]-VENTAS[[#This Row],[Comisión 10%]]-VENTAS[[#This Row],[Costo SIN Comision]]</f>
        <v>15.18075</v>
      </c>
      <c r="M1146" s="35"/>
    </row>
    <row r="1147" ht="20" customHeight="1" spans="1:13">
      <c r="A1147" s="29">
        <v>45507</v>
      </c>
      <c r="B1147" s="30"/>
      <c r="C1147" s="30"/>
      <c r="D1147" s="30" t="s">
        <v>3512</v>
      </c>
      <c r="E1147" s="30" t="s">
        <v>2463</v>
      </c>
      <c r="F1147" s="34" t="str">
        <f>IFERROR(VLOOKUP(VENTAS[[#This Row],[Código del producto Vendido]],STOCK[],5,FALSE),"-")</f>
        <v>Sandalias de plataforma en bloque de color</v>
      </c>
      <c r="G1147" s="34">
        <v>1</v>
      </c>
      <c r="H1147" s="35">
        <v>35</v>
      </c>
      <c r="I1147" s="35">
        <f>VENTAS[[#This Row],[Cantidad]]*VENTAS[[#This Row],[Precio Venta]]</f>
        <v>35</v>
      </c>
      <c r="J1147" s="35">
        <f>IF(VENTAS[[#This Row],[Nombre del Gestor]]&gt;1,VENTAS[[#This Row],[Total]]*10%,0)</f>
        <v>3.5</v>
      </c>
      <c r="K1147" s="35">
        <f>IFERROR(VLOOKUP(VENTAS[[#This Row],[Código del producto Vendido]],STOCK[],16,FALSE)*VENTAS[[#This Row],[Cantidad]]+VLOOKUP(VENTAS[[#This Row],[Código del producto Vendido]],STOCK[],19,FALSE)*VENTAS[[#This Row],[Cantidad]],VENTAS[[#This Row],[Total]])</f>
        <v>21.97</v>
      </c>
      <c r="L1147" s="35">
        <f>VENTAS[[#This Row],[Total]]-VENTAS[[#This Row],[Comisión 10%]]-VENTAS[[#This Row],[Costo SIN Comision]]</f>
        <v>9.53</v>
      </c>
      <c r="M1147" s="35"/>
    </row>
    <row r="1148" ht="20" customHeight="1" spans="1:13">
      <c r="A1148" s="29">
        <v>45506</v>
      </c>
      <c r="B1148" s="30"/>
      <c r="C1148" s="30"/>
      <c r="D1148" s="30" t="s">
        <v>3512</v>
      </c>
      <c r="E1148" s="30" t="s">
        <v>2474</v>
      </c>
      <c r="F1148" s="34" t="str">
        <f>IFERROR(VLOOKUP(VENTAS[[#This Row],[Código del producto Vendido]],STOCK[],5,FALSE),"-")</f>
        <v>Sandalias espadriles nude</v>
      </c>
      <c r="G1148" s="34">
        <v>1</v>
      </c>
      <c r="H1148" s="35">
        <v>45</v>
      </c>
      <c r="I1148" s="35">
        <f>VENTAS[[#This Row],[Cantidad]]*VENTAS[[#This Row],[Precio Venta]]</f>
        <v>45</v>
      </c>
      <c r="J1148" s="35">
        <f>IF(VENTAS[[#This Row],[Nombre del Gestor]]&gt;1,VENTAS[[#This Row],[Total]]*10%,0)</f>
        <v>4.5</v>
      </c>
      <c r="K1148" s="35">
        <f>IFERROR(VLOOKUP(VENTAS[[#This Row],[Código del producto Vendido]],STOCK[],16,FALSE)*VENTAS[[#This Row],[Cantidad]]+VLOOKUP(VENTAS[[#This Row],[Código del producto Vendido]],STOCK[],19,FALSE)*VENTAS[[#This Row],[Cantidad]],VENTAS[[#This Row],[Total]])</f>
        <v>31.9517</v>
      </c>
      <c r="L1148" s="35">
        <f>VENTAS[[#This Row],[Total]]-VENTAS[[#This Row],[Comisión 10%]]-VENTAS[[#This Row],[Costo SIN Comision]]</f>
        <v>8.5483</v>
      </c>
      <c r="M1148" s="35"/>
    </row>
    <row r="1149" ht="20" customHeight="1" spans="1:13">
      <c r="A1149" s="29">
        <v>45505</v>
      </c>
      <c r="B1149" s="30"/>
      <c r="C1149" s="30"/>
      <c r="D1149" s="30" t="s">
        <v>3512</v>
      </c>
      <c r="E1149" s="30" t="s">
        <v>1577</v>
      </c>
      <c r="F1149" s="34" t="str">
        <f>IFERROR(VLOOKUP(VENTAS[[#This Row],[Código del producto Vendido]],STOCK[],5,FALSE),"-")</f>
        <v>Sandalias de nudos</v>
      </c>
      <c r="G1149" s="34">
        <v>1</v>
      </c>
      <c r="H1149" s="35">
        <v>18</v>
      </c>
      <c r="I1149" s="35">
        <f>VENTAS[[#This Row],[Cantidad]]*VENTAS[[#This Row],[Precio Venta]]</f>
        <v>18</v>
      </c>
      <c r="J1149" s="35">
        <f>IF(VENTAS[[#This Row],[Nombre del Gestor]]&gt;1,VENTAS[[#This Row],[Total]]*10%,0)</f>
        <v>1.8</v>
      </c>
      <c r="K1149" s="35">
        <f>IFERROR(VLOOKUP(VENTAS[[#This Row],[Código del producto Vendido]],STOCK[],16,FALSE)*VENTAS[[#This Row],[Cantidad]]+VLOOKUP(VENTAS[[#This Row],[Código del producto Vendido]],STOCK[],19,FALSE)*VENTAS[[#This Row],[Cantidad]],VENTAS[[#This Row],[Total]])</f>
        <v>11</v>
      </c>
      <c r="L1149" s="35">
        <f>VENTAS[[#This Row],[Total]]-VENTAS[[#This Row],[Comisión 10%]]-VENTAS[[#This Row],[Costo SIN Comision]]</f>
        <v>5.2</v>
      </c>
      <c r="M1149" s="35"/>
    </row>
    <row r="1150" ht="20" customHeight="1" spans="1:13">
      <c r="A1150" s="29">
        <v>45507</v>
      </c>
      <c r="B1150" s="30"/>
      <c r="C1150" s="30" t="s">
        <v>3449</v>
      </c>
      <c r="D1150" s="30"/>
      <c r="E1150" s="30" t="s">
        <v>1573</v>
      </c>
      <c r="F1150" s="34" t="str">
        <f>IFERROR(VLOOKUP(VENTAS[[#This Row],[Código del producto Vendido]],STOCK[],5,FALSE),"-")</f>
        <v>Sandalias de nudos</v>
      </c>
      <c r="G1150" s="34">
        <v>1</v>
      </c>
      <c r="H1150" s="35">
        <v>18</v>
      </c>
      <c r="I1150" s="35">
        <f>VENTAS[[#This Row],[Cantidad]]*VENTAS[[#This Row],[Precio Venta]]</f>
        <v>18</v>
      </c>
      <c r="J1150" s="35">
        <f>IF(VENTAS[[#This Row],[Nombre del Gestor]]&gt;1,VENTAS[[#This Row],[Total]]*10%,0)</f>
        <v>0</v>
      </c>
      <c r="K1150" s="35">
        <f>IFERROR(VLOOKUP(VENTAS[[#This Row],[Código del producto Vendido]],STOCK[],16,FALSE)*VENTAS[[#This Row],[Cantidad]]+VLOOKUP(VENTAS[[#This Row],[Código del producto Vendido]],STOCK[],19,FALSE)*VENTAS[[#This Row],[Cantidad]],VENTAS[[#This Row],[Total]])</f>
        <v>11</v>
      </c>
      <c r="L1150" s="35">
        <f>VENTAS[[#This Row],[Total]]-VENTAS[[#This Row],[Comisión 10%]]-VENTAS[[#This Row],[Costo SIN Comision]]</f>
        <v>7</v>
      </c>
      <c r="M1150" s="35"/>
    </row>
    <row r="1151" ht="20" customHeight="1" spans="1:13">
      <c r="A1151" s="29">
        <v>45507</v>
      </c>
      <c r="B1151" s="30"/>
      <c r="C1151" s="30" t="s">
        <v>3541</v>
      </c>
      <c r="D1151" s="30" t="s">
        <v>3540</v>
      </c>
      <c r="E1151" s="30" t="s">
        <v>1578</v>
      </c>
      <c r="F1151" s="34" t="str">
        <f>IFERROR(VLOOKUP(VENTAS[[#This Row],[Código del producto Vendido]],STOCK[],5,FALSE),"-")</f>
        <v>Sandalias Pop </v>
      </c>
      <c r="G1151" s="34">
        <v>1</v>
      </c>
      <c r="H1151" s="35">
        <v>50</v>
      </c>
      <c r="I1151" s="35">
        <f>VENTAS[[#This Row],[Cantidad]]*VENTAS[[#This Row],[Precio Venta]]</f>
        <v>50</v>
      </c>
      <c r="J1151" s="35">
        <f>IF(VENTAS[[#This Row],[Nombre del Gestor]]&gt;1,VENTAS[[#This Row],[Total]]*10%,0)</f>
        <v>5</v>
      </c>
      <c r="K1151" s="35">
        <f>IFERROR(VLOOKUP(VENTAS[[#This Row],[Código del producto Vendido]],STOCK[],16,FALSE)*VENTAS[[#This Row],[Cantidad]]+VLOOKUP(VENTAS[[#This Row],[Código del producto Vendido]],STOCK[],19,FALSE)*VENTAS[[#This Row],[Cantidad]],VENTAS[[#This Row],[Total]])</f>
        <v>28</v>
      </c>
      <c r="L1151" s="35">
        <f>VENTAS[[#This Row],[Total]]-VENTAS[[#This Row],[Comisión 10%]]-VENTAS[[#This Row],[Costo SIN Comision]]</f>
        <v>17</v>
      </c>
      <c r="M1151" s="35"/>
    </row>
    <row r="1152" ht="20" customHeight="1" spans="1:13">
      <c r="A1152" s="29">
        <v>45505</v>
      </c>
      <c r="B1152" s="30"/>
      <c r="C1152" s="30" t="s">
        <v>3542</v>
      </c>
      <c r="D1152" s="30" t="s">
        <v>3451</v>
      </c>
      <c r="E1152" s="30" t="s">
        <v>1578</v>
      </c>
      <c r="F1152" s="34" t="str">
        <f>IFERROR(VLOOKUP(VENTAS[[#This Row],[Código del producto Vendido]],STOCK[],5,FALSE),"-")</f>
        <v>Sandalias Pop </v>
      </c>
      <c r="G1152" s="34">
        <v>1</v>
      </c>
      <c r="H1152" s="35">
        <v>50</v>
      </c>
      <c r="I1152" s="35">
        <f>VENTAS[[#This Row],[Cantidad]]*VENTAS[[#This Row],[Precio Venta]]</f>
        <v>50</v>
      </c>
      <c r="J1152" s="35">
        <f>IF(VENTAS[[#This Row],[Nombre del Gestor]]&gt;1,VENTAS[[#This Row],[Total]]*10%,0)</f>
        <v>5</v>
      </c>
      <c r="K1152" s="35">
        <f>IFERROR(VLOOKUP(VENTAS[[#This Row],[Código del producto Vendido]],STOCK[],16,FALSE)*VENTAS[[#This Row],[Cantidad]]+VLOOKUP(VENTAS[[#This Row],[Código del producto Vendido]],STOCK[],19,FALSE)*VENTAS[[#This Row],[Cantidad]],VENTAS[[#This Row],[Total]])</f>
        <v>28</v>
      </c>
      <c r="L1152" s="35">
        <f>VENTAS[[#This Row],[Total]]-VENTAS[[#This Row],[Comisión 10%]]-VENTAS[[#This Row],[Costo SIN Comision]]</f>
        <v>17</v>
      </c>
      <c r="M1152" s="35"/>
    </row>
    <row r="1153" ht="20" customHeight="1" spans="1:13">
      <c r="A1153" s="29">
        <v>45505</v>
      </c>
      <c r="B1153" s="30"/>
      <c r="C1153" s="30" t="s">
        <v>3449</v>
      </c>
      <c r="D1153" s="30"/>
      <c r="E1153" s="30" t="s">
        <v>1580</v>
      </c>
      <c r="F1153" s="34" t="str">
        <f>IFERROR(VLOOKUP(VENTAS[[#This Row],[Código del producto Vendido]],STOCK[],5,FALSE),"-")</f>
        <v>Sandalias Pop</v>
      </c>
      <c r="G1153" s="34">
        <v>1</v>
      </c>
      <c r="H1153" s="35">
        <v>0</v>
      </c>
      <c r="I1153" s="35">
        <f>VENTAS[[#This Row],[Cantidad]]*VENTAS[[#This Row],[Precio Venta]]</f>
        <v>0</v>
      </c>
      <c r="J1153" s="35">
        <f>IF(VENTAS[[#This Row],[Nombre del Gestor]]&gt;1,VENTAS[[#This Row],[Total]]*10%,0)</f>
        <v>0</v>
      </c>
      <c r="K1153" s="35">
        <f>IFERROR(VLOOKUP(VENTAS[[#This Row],[Código del producto Vendido]],STOCK[],16,FALSE)*VENTAS[[#This Row],[Cantidad]]+VLOOKUP(VENTAS[[#This Row],[Código del producto Vendido]],STOCK[],19,FALSE)*VENTAS[[#This Row],[Cantidad]],VENTAS[[#This Row],[Total]])</f>
        <v>28</v>
      </c>
      <c r="L1153" s="35">
        <f>VENTAS[[#This Row],[Total]]-VENTAS[[#This Row],[Comisión 10%]]-VENTAS[[#This Row],[Costo SIN Comision]]</f>
        <v>-28</v>
      </c>
      <c r="M1153" s="35"/>
    </row>
    <row r="1154" ht="20" customHeight="1" spans="1:13">
      <c r="A1154" s="29">
        <v>45506</v>
      </c>
      <c r="B1154" s="30"/>
      <c r="C1154" s="30" t="s">
        <v>3543</v>
      </c>
      <c r="D1154" s="30" t="s">
        <v>3451</v>
      </c>
      <c r="E1154" s="30" t="s">
        <v>2464</v>
      </c>
      <c r="F1154" s="34" t="str">
        <f>IFERROR(VLOOKUP(VENTAS[[#This Row],[Código del producto Vendido]],STOCK[],5,FALSE),"-")</f>
        <v>Sandalias de plataforma en bloque de color</v>
      </c>
      <c r="G1154" s="34">
        <v>1</v>
      </c>
      <c r="H1154" s="35">
        <v>35</v>
      </c>
      <c r="I1154" s="35">
        <f>VENTAS[[#This Row],[Cantidad]]*VENTAS[[#This Row],[Precio Venta]]</f>
        <v>35</v>
      </c>
      <c r="J1154" s="35">
        <f>IF(VENTAS[[#This Row],[Nombre del Gestor]]&gt;1,VENTAS[[#This Row],[Total]]*10%,0)</f>
        <v>3.5</v>
      </c>
      <c r="K1154" s="35">
        <f>IFERROR(VLOOKUP(VENTAS[[#This Row],[Código del producto Vendido]],STOCK[],16,FALSE)*VENTAS[[#This Row],[Cantidad]]+VLOOKUP(VENTAS[[#This Row],[Código del producto Vendido]],STOCK[],19,FALSE)*VENTAS[[#This Row],[Cantidad]],VENTAS[[#This Row],[Total]])</f>
        <v>21.97</v>
      </c>
      <c r="L1154" s="35">
        <f>VENTAS[[#This Row],[Total]]-VENTAS[[#This Row],[Comisión 10%]]-VENTAS[[#This Row],[Costo SIN Comision]]</f>
        <v>9.53</v>
      </c>
      <c r="M1154" s="35"/>
    </row>
    <row r="1155" ht="20" customHeight="1" spans="1:13">
      <c r="A1155" s="29">
        <v>45505</v>
      </c>
      <c r="B1155" s="30"/>
      <c r="C1155" s="30" t="s">
        <v>3544</v>
      </c>
      <c r="D1155" s="30" t="s">
        <v>3451</v>
      </c>
      <c r="E1155" s="30" t="s">
        <v>810</v>
      </c>
      <c r="F1155" s="34" t="str">
        <f>IFERROR(VLOOKUP(VENTAS[[#This Row],[Código del producto Vendido]],STOCK[],5,FALSE),"-")</f>
        <v>Vestido slip de espalda corrida</v>
      </c>
      <c r="G1155" s="34">
        <v>1</v>
      </c>
      <c r="H1155" s="35">
        <v>8</v>
      </c>
      <c r="I1155" s="35">
        <f>VENTAS[[#This Row],[Cantidad]]*VENTAS[[#This Row],[Precio Venta]]</f>
        <v>8</v>
      </c>
      <c r="J1155" s="35">
        <f>IF(VENTAS[[#This Row],[Nombre del Gestor]]&gt;1,VENTAS[[#This Row],[Total]]*10%,0)</f>
        <v>0.8</v>
      </c>
      <c r="K1155" s="35">
        <f>IFERROR(VLOOKUP(VENTAS[[#This Row],[Código del producto Vendido]],STOCK[],16,FALSE)*VENTAS[[#This Row],[Cantidad]]+VLOOKUP(VENTAS[[#This Row],[Código del producto Vendido]],STOCK[],19,FALSE)*VENTAS[[#This Row],[Cantidad]],VENTAS[[#This Row],[Total]])</f>
        <v>6.77777777777778</v>
      </c>
      <c r="L1155" s="35">
        <f>VENTAS[[#This Row],[Total]]-VENTAS[[#This Row],[Comisión 10%]]-VENTAS[[#This Row],[Costo SIN Comision]]</f>
        <v>0.42222222222222</v>
      </c>
      <c r="M1155" s="35"/>
    </row>
    <row r="1156" ht="20" customHeight="1" spans="1:13">
      <c r="A1156" s="29">
        <v>45505</v>
      </c>
      <c r="B1156" s="30"/>
      <c r="C1156" s="30" t="s">
        <v>3544</v>
      </c>
      <c r="D1156" s="30" t="s">
        <v>3451</v>
      </c>
      <c r="E1156" s="30" t="s">
        <v>647</v>
      </c>
      <c r="F1156" s="34" t="str">
        <f>IFERROR(VLOOKUP(VENTAS[[#This Row],[Código del producto Vendido]],STOCK[],5,FALSE),"-")</f>
        <v>Vestido con estampado jungla</v>
      </c>
      <c r="G1156" s="34">
        <v>1</v>
      </c>
      <c r="H1156" s="35">
        <v>13</v>
      </c>
      <c r="I1156" s="35">
        <f>VENTAS[[#This Row],[Cantidad]]*VENTAS[[#This Row],[Precio Venta]]</f>
        <v>13</v>
      </c>
      <c r="J1156" s="35">
        <f>IF(VENTAS[[#This Row],[Nombre del Gestor]]&gt;1,VENTAS[[#This Row],[Total]]*10%,0)</f>
        <v>1.3</v>
      </c>
      <c r="K1156" s="35">
        <f>IFERROR(VLOOKUP(VENTAS[[#This Row],[Código del producto Vendido]],STOCK[],16,FALSE)*VENTAS[[#This Row],[Cantidad]]+VLOOKUP(VENTAS[[#This Row],[Código del producto Vendido]],STOCK[],19,FALSE)*VENTAS[[#This Row],[Cantidad]],VENTAS[[#This Row],[Total]])</f>
        <v>10.7222222222222</v>
      </c>
      <c r="L1156" s="35">
        <f>VENTAS[[#This Row],[Total]]-VENTAS[[#This Row],[Comisión 10%]]-VENTAS[[#This Row],[Costo SIN Comision]]</f>
        <v>0.97777777777778</v>
      </c>
      <c r="M1156" s="35"/>
    </row>
    <row r="1157" ht="20" customHeight="1" spans="1:13">
      <c r="A1157" s="29">
        <v>45514</v>
      </c>
      <c r="B1157" s="30"/>
      <c r="C1157" s="30" t="s">
        <v>3545</v>
      </c>
      <c r="D1157" s="30" t="s">
        <v>3451</v>
      </c>
      <c r="E1157" s="30" t="s">
        <v>1860</v>
      </c>
      <c r="F1157" s="34" t="str">
        <f>IFERROR(VLOOKUP(VENTAS[[#This Row],[Código del producto Vendido]],STOCK[],5,FALSE),"-")</f>
        <v>Bolso Baguette Negro</v>
      </c>
      <c r="G1157" s="34">
        <v>1</v>
      </c>
      <c r="H1157" s="35">
        <v>25</v>
      </c>
      <c r="I1157" s="35">
        <f>VENTAS[[#This Row],[Cantidad]]*VENTAS[[#This Row],[Precio Venta]]</f>
        <v>25</v>
      </c>
      <c r="J1157" s="35">
        <f>IF(VENTAS[[#This Row],[Nombre del Gestor]]&gt;1,VENTAS[[#This Row],[Total]]*10%,0)</f>
        <v>2.5</v>
      </c>
      <c r="K1157" s="35">
        <f>IFERROR(VLOOKUP(VENTAS[[#This Row],[Código del producto Vendido]],STOCK[],16,FALSE)*VENTAS[[#This Row],[Cantidad]]+VLOOKUP(VENTAS[[#This Row],[Código del producto Vendido]],STOCK[],19,FALSE)*VENTAS[[#This Row],[Cantidad]],VENTAS[[#This Row],[Total]])</f>
        <v>15.79</v>
      </c>
      <c r="L1157" s="35">
        <f>VENTAS[[#This Row],[Total]]-VENTAS[[#This Row],[Comisión 10%]]-VENTAS[[#This Row],[Costo SIN Comision]]</f>
        <v>6.71</v>
      </c>
      <c r="M1157" s="35"/>
    </row>
    <row r="1158" ht="20" customHeight="1" spans="1:13">
      <c r="A1158" s="29">
        <v>45508</v>
      </c>
      <c r="B1158" s="30"/>
      <c r="C1158" s="30" t="s">
        <v>3538</v>
      </c>
      <c r="D1158" s="30"/>
      <c r="E1158" s="30" t="s">
        <v>2455</v>
      </c>
      <c r="F1158" s="34" t="str">
        <f>IFERROR(VLOOKUP(VENTAS[[#This Row],[Código del producto Vendido]],STOCK[],5,FALSE),"-")</f>
        <v>Sandalias prácticas Chunky Negras</v>
      </c>
      <c r="G1158" s="34">
        <v>1</v>
      </c>
      <c r="H1158" s="35">
        <v>35</v>
      </c>
      <c r="I1158" s="35">
        <f>VENTAS[[#This Row],[Cantidad]]*VENTAS[[#This Row],[Precio Venta]]</f>
        <v>35</v>
      </c>
      <c r="J1158" s="35">
        <f>IF(VENTAS[[#This Row],[Nombre del Gestor]]&gt;1,VENTAS[[#This Row],[Total]]*10%,0)</f>
        <v>0</v>
      </c>
      <c r="K1158" s="35">
        <f>IFERROR(VLOOKUP(VENTAS[[#This Row],[Código del producto Vendido]],STOCK[],16,FALSE)*VENTAS[[#This Row],[Cantidad]]+VLOOKUP(VENTAS[[#This Row],[Código del producto Vendido]],STOCK[],19,FALSE)*VENTAS[[#This Row],[Cantidad]],VENTAS[[#This Row],[Total]])</f>
        <v>21.97</v>
      </c>
      <c r="L1158" s="35">
        <f>VENTAS[[#This Row],[Total]]-VENTAS[[#This Row],[Comisión 10%]]-VENTAS[[#This Row],[Costo SIN Comision]]</f>
        <v>13.03</v>
      </c>
      <c r="M1158" s="35"/>
    </row>
    <row r="1159" ht="20" customHeight="1" spans="1:13">
      <c r="A1159" s="29">
        <v>45500</v>
      </c>
      <c r="B1159" s="30"/>
      <c r="C1159" s="30"/>
      <c r="D1159" s="30" t="s">
        <v>3506</v>
      </c>
      <c r="E1159" s="30" t="s">
        <v>2160</v>
      </c>
      <c r="F1159" s="34" t="str">
        <f>IFERROR(VLOOKUP(VENTAS[[#This Row],[Código del producto Vendido]],STOCK[],5,FALSE),"-")</f>
        <v>Bañador en color sólido sexy-elegante </v>
      </c>
      <c r="G1159" s="34">
        <v>1</v>
      </c>
      <c r="H1159" s="35">
        <v>20</v>
      </c>
      <c r="I1159" s="35">
        <f>VENTAS[[#This Row],[Cantidad]]*VENTAS[[#This Row],[Precio Venta]]</f>
        <v>20</v>
      </c>
      <c r="J1159" s="35">
        <f>IF(VENTAS[[#This Row],[Nombre del Gestor]]&gt;1,VENTAS[[#This Row],[Total]]*10%,0)</f>
        <v>2</v>
      </c>
      <c r="K1159" s="35">
        <f>IFERROR(VLOOKUP(VENTAS[[#This Row],[Código del producto Vendido]],STOCK[],16,FALSE)*VENTAS[[#This Row],[Cantidad]]+VLOOKUP(VENTAS[[#This Row],[Código del producto Vendido]],STOCK[],19,FALSE)*VENTAS[[#This Row],[Cantidad]],VENTAS[[#This Row],[Total]])</f>
        <v>8.24</v>
      </c>
      <c r="L1159" s="35">
        <f>VENTAS[[#This Row],[Total]]-VENTAS[[#This Row],[Comisión 10%]]-VENTAS[[#This Row],[Costo SIN Comision]]</f>
        <v>9.76</v>
      </c>
      <c r="M1159" s="35"/>
    </row>
    <row r="1160" ht="20" customHeight="1" spans="1:13">
      <c r="A1160" s="29">
        <v>45502</v>
      </c>
      <c r="B1160" s="30"/>
      <c r="C1160" s="30"/>
      <c r="D1160" s="30" t="s">
        <v>3506</v>
      </c>
      <c r="E1160" s="30" t="s">
        <v>2240</v>
      </c>
      <c r="F1160" s="34" t="str">
        <f>IFERROR(VLOOKUP(VENTAS[[#This Row],[Código del producto Vendido]],STOCK[],5,FALSE),"-")</f>
        <v>Set de traje de baño elegante 2 piezas con adorno en forma de V</v>
      </c>
      <c r="G1160" s="34">
        <v>1</v>
      </c>
      <c r="H1160" s="35">
        <v>25</v>
      </c>
      <c r="I1160" s="35">
        <f>VENTAS[[#This Row],[Cantidad]]*VENTAS[[#This Row],[Precio Venta]]</f>
        <v>25</v>
      </c>
      <c r="J1160" s="35">
        <f>IF(VENTAS[[#This Row],[Nombre del Gestor]]&gt;1,VENTAS[[#This Row],[Total]]*10%,0)</f>
        <v>2.5</v>
      </c>
      <c r="K1160" s="35">
        <f>IFERROR(VLOOKUP(VENTAS[[#This Row],[Código del producto Vendido]],STOCK[],16,FALSE)*VENTAS[[#This Row],[Cantidad]]+VLOOKUP(VENTAS[[#This Row],[Código del producto Vendido]],STOCK[],19,FALSE)*VENTAS[[#This Row],[Cantidad]],VENTAS[[#This Row],[Total]])</f>
        <v>10.79</v>
      </c>
      <c r="L1160" s="35">
        <f>VENTAS[[#This Row],[Total]]-VENTAS[[#This Row],[Comisión 10%]]-VENTAS[[#This Row],[Costo SIN Comision]]</f>
        <v>11.71</v>
      </c>
      <c r="M1160" s="35"/>
    </row>
    <row r="1161" ht="20" customHeight="1" spans="1:13">
      <c r="A1161" s="29">
        <v>45503</v>
      </c>
      <c r="B1161" s="30"/>
      <c r="C1161" s="30"/>
      <c r="D1161" s="30" t="s">
        <v>3506</v>
      </c>
      <c r="E1161" s="30" t="s">
        <v>2240</v>
      </c>
      <c r="F1161" s="34" t="str">
        <f>IFERROR(VLOOKUP(VENTAS[[#This Row],[Código del producto Vendido]],STOCK[],5,FALSE),"-")</f>
        <v>Set de traje de baño elegante 2 piezas con adorno en forma de V</v>
      </c>
      <c r="G1161" s="34">
        <v>1</v>
      </c>
      <c r="H1161" s="35">
        <v>25</v>
      </c>
      <c r="I1161" s="35">
        <f>VENTAS[[#This Row],[Cantidad]]*VENTAS[[#This Row],[Precio Venta]]</f>
        <v>25</v>
      </c>
      <c r="J1161" s="35">
        <f>IF(VENTAS[[#This Row],[Nombre del Gestor]]&gt;1,VENTAS[[#This Row],[Total]]*10%,0)</f>
        <v>2.5</v>
      </c>
      <c r="K1161" s="35">
        <f>IFERROR(VLOOKUP(VENTAS[[#This Row],[Código del producto Vendido]],STOCK[],16,FALSE)*VENTAS[[#This Row],[Cantidad]]+VLOOKUP(VENTAS[[#This Row],[Código del producto Vendido]],STOCK[],19,FALSE)*VENTAS[[#This Row],[Cantidad]],VENTAS[[#This Row],[Total]])</f>
        <v>10.79</v>
      </c>
      <c r="L1161" s="35">
        <f>VENTAS[[#This Row],[Total]]-VENTAS[[#This Row],[Comisión 10%]]-VENTAS[[#This Row],[Costo SIN Comision]]</f>
        <v>11.71</v>
      </c>
      <c r="M1161" s="35"/>
    </row>
    <row r="1162" ht="20" customHeight="1" spans="1:13">
      <c r="A1162" s="29">
        <v>45507</v>
      </c>
      <c r="B1162" s="30"/>
      <c r="C1162" s="30"/>
      <c r="D1162" s="30" t="s">
        <v>3506</v>
      </c>
      <c r="E1162" s="30" t="s">
        <v>1907</v>
      </c>
      <c r="F1162" s="34" t="str">
        <f>IFERROR(VLOOKUP(VENTAS[[#This Row],[Código del producto Vendido]],STOCK[],5,FALSE),"-")</f>
        <v>Gafas de Sol Retro Blanco</v>
      </c>
      <c r="G1162" s="34">
        <v>1</v>
      </c>
      <c r="H1162" s="35">
        <v>8</v>
      </c>
      <c r="I1162" s="35">
        <f>VENTAS[[#This Row],[Cantidad]]*VENTAS[[#This Row],[Precio Venta]]</f>
        <v>8</v>
      </c>
      <c r="J1162" s="35">
        <f>IF(VENTAS[[#This Row],[Nombre del Gestor]]&gt;1,VENTAS[[#This Row],[Total]]*10%,0)</f>
        <v>0.8</v>
      </c>
      <c r="K1162" s="35">
        <f>IFERROR(VLOOKUP(VENTAS[[#This Row],[Código del producto Vendido]],STOCK[],16,FALSE)*VENTAS[[#This Row],[Cantidad]]+VLOOKUP(VENTAS[[#This Row],[Código del producto Vendido]],STOCK[],19,FALSE)*VENTAS[[#This Row],[Cantidad]],VENTAS[[#This Row],[Total]])</f>
        <v>4.45</v>
      </c>
      <c r="L1162" s="35">
        <f>VENTAS[[#This Row],[Total]]-VENTAS[[#This Row],[Comisión 10%]]-VENTAS[[#This Row],[Costo SIN Comision]]</f>
        <v>2.75</v>
      </c>
      <c r="M1162" s="35"/>
    </row>
    <row r="1163" ht="20" customHeight="1" spans="1:13">
      <c r="A1163" s="29">
        <v>45507</v>
      </c>
      <c r="B1163" s="30"/>
      <c r="C1163" s="30"/>
      <c r="D1163" s="30" t="s">
        <v>3506</v>
      </c>
      <c r="E1163" s="30" t="s">
        <v>808</v>
      </c>
      <c r="F1163" s="34" t="str">
        <f>IFERROR(VLOOKUP(VENTAS[[#This Row],[Código del producto Vendido]],STOCK[],5,FALSE),"-")</f>
        <v>Bañador estampado en contraste</v>
      </c>
      <c r="G1163" s="34">
        <v>1</v>
      </c>
      <c r="H1163" s="35">
        <v>12</v>
      </c>
      <c r="I1163" s="35">
        <f>VENTAS[[#This Row],[Cantidad]]*VENTAS[[#This Row],[Precio Venta]]</f>
        <v>12</v>
      </c>
      <c r="J1163" s="35">
        <f>IF(VENTAS[[#This Row],[Nombre del Gestor]]&gt;1,VENTAS[[#This Row],[Total]]*10%,0)</f>
        <v>1.2</v>
      </c>
      <c r="K1163" s="35">
        <f>IFERROR(VLOOKUP(VENTAS[[#This Row],[Código del producto Vendido]],STOCK[],16,FALSE)*VENTAS[[#This Row],[Cantidad]]+VLOOKUP(VENTAS[[#This Row],[Código del producto Vendido]],STOCK[],19,FALSE)*VENTAS[[#This Row],[Cantidad]],VENTAS[[#This Row],[Total]])</f>
        <v>7.83333333333333</v>
      </c>
      <c r="L1163" s="35">
        <f>VENTAS[[#This Row],[Total]]-VENTAS[[#This Row],[Comisión 10%]]-VENTAS[[#This Row],[Costo SIN Comision]]</f>
        <v>2.96666666666667</v>
      </c>
      <c r="M1163" s="35"/>
    </row>
    <row r="1164" ht="20" customHeight="1" spans="1:13">
      <c r="A1164" s="29">
        <v>45507</v>
      </c>
      <c r="B1164" s="30"/>
      <c r="C1164" s="30"/>
      <c r="D1164" s="30" t="s">
        <v>3506</v>
      </c>
      <c r="E1164" s="30" t="s">
        <v>2200</v>
      </c>
      <c r="F1164" s="34" t="str">
        <f>IFERROR(VLOOKUP(VENTAS[[#This Row],[Código del producto Vendido]],STOCK[],5,FALSE),"-")</f>
        <v>Vestido Boho de cuello healter</v>
      </c>
      <c r="G1164" s="34">
        <v>1</v>
      </c>
      <c r="H1164" s="35">
        <v>25</v>
      </c>
      <c r="I1164" s="35">
        <f>VENTAS[[#This Row],[Cantidad]]*VENTAS[[#This Row],[Precio Venta]]</f>
        <v>25</v>
      </c>
      <c r="J1164" s="35">
        <f>IF(VENTAS[[#This Row],[Nombre del Gestor]]&gt;1,VENTAS[[#This Row],[Total]]*10%,0)</f>
        <v>2.5</v>
      </c>
      <c r="K1164" s="35">
        <f>IFERROR(VLOOKUP(VENTAS[[#This Row],[Código del producto Vendido]],STOCK[],16,FALSE)*VENTAS[[#This Row],[Cantidad]]+VLOOKUP(VENTAS[[#This Row],[Código del producto Vendido]],STOCK[],19,FALSE)*VENTAS[[#This Row],[Cantidad]],VENTAS[[#This Row],[Total]])</f>
        <v>14.99</v>
      </c>
      <c r="L1164" s="35">
        <f>VENTAS[[#This Row],[Total]]-VENTAS[[#This Row],[Comisión 10%]]-VENTAS[[#This Row],[Costo SIN Comision]]</f>
        <v>7.51</v>
      </c>
      <c r="M1164" s="35"/>
    </row>
    <row r="1165" ht="20" customHeight="1" spans="1:13">
      <c r="A1165" s="29">
        <v>45502</v>
      </c>
      <c r="B1165" s="30"/>
      <c r="C1165" s="30"/>
      <c r="D1165" s="30" t="s">
        <v>3506</v>
      </c>
      <c r="E1165" s="30" t="s">
        <v>410</v>
      </c>
      <c r="F1165" s="34" t="str">
        <f>IFERROR(VLOOKUP(VENTAS[[#This Row],[Código del producto Vendido]],STOCK[],5,FALSE),"-")</f>
        <v>Bikini Floral</v>
      </c>
      <c r="G1165" s="34">
        <v>1</v>
      </c>
      <c r="H1165" s="35">
        <v>25</v>
      </c>
      <c r="I1165" s="35">
        <f>VENTAS[[#This Row],[Cantidad]]*VENTAS[[#This Row],[Precio Venta]]</f>
        <v>25</v>
      </c>
      <c r="J1165" s="35">
        <f>IF(VENTAS[[#This Row],[Nombre del Gestor]]&gt;1,VENTAS[[#This Row],[Total]]*10%,0)</f>
        <v>2.5</v>
      </c>
      <c r="K1165" s="35">
        <f>IFERROR(VLOOKUP(VENTAS[[#This Row],[Código del producto Vendido]],STOCK[],16,FALSE)*VENTAS[[#This Row],[Cantidad]]+VLOOKUP(VENTAS[[#This Row],[Código del producto Vendido]],STOCK[],19,FALSE)*VENTAS[[#This Row],[Cantidad]],VENTAS[[#This Row],[Total]])</f>
        <v>13.9444444444444</v>
      </c>
      <c r="L1165" s="35">
        <f>VENTAS[[#This Row],[Total]]-VENTAS[[#This Row],[Comisión 10%]]-VENTAS[[#This Row],[Costo SIN Comision]]</f>
        <v>8.5555555555556</v>
      </c>
      <c r="M1165" s="35"/>
    </row>
    <row r="1166" ht="20" customHeight="1" spans="1:13">
      <c r="A1166" s="29">
        <v>45504</v>
      </c>
      <c r="B1166" s="30"/>
      <c r="C1166" s="30"/>
      <c r="D1166" s="30" t="s">
        <v>3481</v>
      </c>
      <c r="E1166" s="30" t="s">
        <v>2394</v>
      </c>
      <c r="F1166" s="34" t="str">
        <f>IFERROR(VLOOKUP(VENTAS[[#This Row],[Código del producto Vendido]],STOCK[],5,FALSE),"-")</f>
        <v>Sandalias de tiras con tacón cuadrado</v>
      </c>
      <c r="G1166" s="34">
        <v>1</v>
      </c>
      <c r="H1166" s="35">
        <v>35</v>
      </c>
      <c r="I1166" s="35">
        <f>VENTAS[[#This Row],[Cantidad]]*VENTAS[[#This Row],[Precio Venta]]</f>
        <v>35</v>
      </c>
      <c r="J1166" s="35">
        <f>IF(VENTAS[[#This Row],[Nombre del Gestor]]&gt;1,VENTAS[[#This Row],[Total]]*10%,0)</f>
        <v>3.5</v>
      </c>
      <c r="K1166" s="35">
        <f>IFERROR(VLOOKUP(VENTAS[[#This Row],[Código del producto Vendido]],STOCK[],16,FALSE)*VENTAS[[#This Row],[Cantidad]]+VLOOKUP(VENTAS[[#This Row],[Código del producto Vendido]],STOCK[],19,FALSE)*VENTAS[[#This Row],[Cantidad]],VENTAS[[#This Row],[Total]])</f>
        <v>17.2520211515864</v>
      </c>
      <c r="L1166" s="35">
        <f>VENTAS[[#This Row],[Total]]-VENTAS[[#This Row],[Comisión 10%]]-VENTAS[[#This Row],[Costo SIN Comision]]</f>
        <v>14.2479788484136</v>
      </c>
      <c r="M1166" s="35"/>
    </row>
    <row r="1167" ht="20" customHeight="1" spans="1:13">
      <c r="A1167" s="29">
        <v>45504</v>
      </c>
      <c r="B1167" s="30"/>
      <c r="C1167" s="30"/>
      <c r="D1167" s="30" t="s">
        <v>3512</v>
      </c>
      <c r="E1167" s="30" t="s">
        <v>2472</v>
      </c>
      <c r="F1167" s="34" t="str">
        <f>IFERROR(VLOOKUP(VENTAS[[#This Row],[Código del producto Vendido]],STOCK[],5,FALSE),"-")</f>
        <v>Sandalias espadriles nude</v>
      </c>
      <c r="G1167" s="34">
        <v>1</v>
      </c>
      <c r="H1167" s="35">
        <v>45</v>
      </c>
      <c r="I1167" s="35">
        <f>VENTAS[[#This Row],[Cantidad]]*VENTAS[[#This Row],[Precio Venta]]</f>
        <v>45</v>
      </c>
      <c r="J1167" s="35">
        <f>IF(VENTAS[[#This Row],[Nombre del Gestor]]&gt;1,VENTAS[[#This Row],[Total]]*10%,0)</f>
        <v>4.5</v>
      </c>
      <c r="K1167" s="35">
        <f>IFERROR(VLOOKUP(VENTAS[[#This Row],[Código del producto Vendido]],STOCK[],16,FALSE)*VENTAS[[#This Row],[Cantidad]]+VLOOKUP(VENTAS[[#This Row],[Código del producto Vendido]],STOCK[],19,FALSE)*VENTAS[[#This Row],[Cantidad]],VENTAS[[#This Row],[Total]])</f>
        <v>31.9517</v>
      </c>
      <c r="L1167" s="35">
        <f>VENTAS[[#This Row],[Total]]-VENTAS[[#This Row],[Comisión 10%]]-VENTAS[[#This Row],[Costo SIN Comision]]</f>
        <v>8.5483</v>
      </c>
      <c r="M1167" s="35"/>
    </row>
    <row r="1168" ht="20" customHeight="1" spans="1:13">
      <c r="A1168" s="29">
        <v>45507</v>
      </c>
      <c r="B1168" s="30"/>
      <c r="C1168" s="30"/>
      <c r="D1168" s="30" t="s">
        <v>3524</v>
      </c>
      <c r="E1168" s="30" t="s">
        <v>2454</v>
      </c>
      <c r="F1168" s="34" t="str">
        <f>IFERROR(VLOOKUP(VENTAS[[#This Row],[Código del producto Vendido]],STOCK[],5,FALSE),"-")</f>
        <v>Sandalias prácticas Chunky Negras</v>
      </c>
      <c r="G1168" s="34">
        <v>1</v>
      </c>
      <c r="H1168" s="35">
        <v>35</v>
      </c>
      <c r="I1168" s="35">
        <f>VENTAS[[#This Row],[Cantidad]]*VENTAS[[#This Row],[Precio Venta]]</f>
        <v>35</v>
      </c>
      <c r="J1168" s="35">
        <f>IF(VENTAS[[#This Row],[Nombre del Gestor]]&gt;1,VENTAS[[#This Row],[Total]]*10%,0)</f>
        <v>3.5</v>
      </c>
      <c r="K1168" s="35">
        <f>IFERROR(VLOOKUP(VENTAS[[#This Row],[Código del producto Vendido]],STOCK[],16,FALSE)*VENTAS[[#This Row],[Cantidad]]+VLOOKUP(VENTAS[[#This Row],[Código del producto Vendido]],STOCK[],19,FALSE)*VENTAS[[#This Row],[Cantidad]],VENTAS[[#This Row],[Total]])</f>
        <v>21.97</v>
      </c>
      <c r="L1168" s="35">
        <f>VENTAS[[#This Row],[Total]]-VENTAS[[#This Row],[Comisión 10%]]-VENTAS[[#This Row],[Costo SIN Comision]]</f>
        <v>9.53</v>
      </c>
      <c r="M1168" s="35"/>
    </row>
    <row r="1169" ht="20" customHeight="1" spans="1:13">
      <c r="A1169" s="29">
        <v>45500</v>
      </c>
      <c r="B1169" s="30"/>
      <c r="C1169" s="30"/>
      <c r="D1169" s="30" t="s">
        <v>3462</v>
      </c>
      <c r="E1169" s="30" t="s">
        <v>596</v>
      </c>
      <c r="F1169" s="34" t="str">
        <f>IFERROR(VLOOKUP(VENTAS[[#This Row],[Código del producto Vendido]],STOCK[],5,FALSE),"-")</f>
        <v>Top cruzado naranja</v>
      </c>
      <c r="G1169" s="34">
        <v>1</v>
      </c>
      <c r="H1169" s="35">
        <v>8</v>
      </c>
      <c r="I1169" s="35">
        <f>VENTAS[[#This Row],[Cantidad]]*VENTAS[[#This Row],[Precio Venta]]</f>
        <v>8</v>
      </c>
      <c r="J1169" s="35">
        <f>IF(VENTAS[[#This Row],[Nombre del Gestor]]&gt;1,VENTAS[[#This Row],[Total]]*10%,0)</f>
        <v>0.8</v>
      </c>
      <c r="K1169" s="35">
        <f>IFERROR(VLOOKUP(VENTAS[[#This Row],[Código del producto Vendido]],STOCK[],16,FALSE)*VENTAS[[#This Row],[Cantidad]]+VLOOKUP(VENTAS[[#This Row],[Código del producto Vendido]],STOCK[],19,FALSE)*VENTAS[[#This Row],[Cantidad]],VENTAS[[#This Row],[Total]])</f>
        <v>5.06833333333333</v>
      </c>
      <c r="L1169" s="35">
        <f>VENTAS[[#This Row],[Total]]-VENTAS[[#This Row],[Comisión 10%]]-VENTAS[[#This Row],[Costo SIN Comision]]</f>
        <v>2.13166666666667</v>
      </c>
      <c r="M1169" s="35"/>
    </row>
    <row r="1170" ht="20" customHeight="1" spans="1:13">
      <c r="A1170" s="29">
        <v>45500</v>
      </c>
      <c r="B1170" s="30"/>
      <c r="C1170" s="30"/>
      <c r="D1170" s="30" t="s">
        <v>3462</v>
      </c>
      <c r="E1170" s="30" t="s">
        <v>663</v>
      </c>
      <c r="F1170" s="34" t="str">
        <f>IFERROR(VLOOKUP(VENTAS[[#This Row],[Código del producto Vendido]],STOCK[],5,FALSE),"-")</f>
        <v>Top Cruzado negro</v>
      </c>
      <c r="G1170" s="34">
        <v>1</v>
      </c>
      <c r="H1170" s="35">
        <v>8</v>
      </c>
      <c r="I1170" s="35">
        <f>VENTAS[[#This Row],[Cantidad]]*VENTAS[[#This Row],[Precio Venta]]</f>
        <v>8</v>
      </c>
      <c r="J1170" s="35">
        <f>IF(VENTAS[[#This Row],[Nombre del Gestor]]&gt;1,VENTAS[[#This Row],[Total]]*10%,0)</f>
        <v>0.8</v>
      </c>
      <c r="K1170" s="35">
        <f>IFERROR(VLOOKUP(VENTAS[[#This Row],[Código del producto Vendido]],STOCK[],16,FALSE)*VENTAS[[#This Row],[Cantidad]]+VLOOKUP(VENTAS[[#This Row],[Código del producto Vendido]],STOCK[],19,FALSE)*VENTAS[[#This Row],[Cantidad]],VENTAS[[#This Row],[Total]])</f>
        <v>4.90166666666667</v>
      </c>
      <c r="L1170" s="35">
        <f>VENTAS[[#This Row],[Total]]-VENTAS[[#This Row],[Comisión 10%]]-VENTAS[[#This Row],[Costo SIN Comision]]</f>
        <v>2.29833333333333</v>
      </c>
      <c r="M1170" s="35"/>
    </row>
    <row r="1171" ht="20" customHeight="1" spans="1:13">
      <c r="A1171" s="29">
        <v>45511</v>
      </c>
      <c r="B1171" s="30"/>
      <c r="C1171" s="30" t="s">
        <v>3546</v>
      </c>
      <c r="D1171" s="30"/>
      <c r="E1171" s="30" t="s">
        <v>2463</v>
      </c>
      <c r="F1171" s="34" t="str">
        <f>IFERROR(VLOOKUP(VENTAS[[#This Row],[Código del producto Vendido]],STOCK[],5,FALSE),"-")</f>
        <v>Sandalias de plataforma en bloque de color</v>
      </c>
      <c r="G1171" s="34">
        <v>1</v>
      </c>
      <c r="H1171" s="35">
        <v>0</v>
      </c>
      <c r="I1171" s="35">
        <f>VENTAS[[#This Row],[Cantidad]]*VENTAS[[#This Row],[Precio Venta]]</f>
        <v>0</v>
      </c>
      <c r="J1171" s="35">
        <f>IF(VENTAS[[#This Row],[Nombre del Gestor]]&gt;1,VENTAS[[#This Row],[Total]]*10%,0)</f>
        <v>0</v>
      </c>
      <c r="K1171" s="35">
        <f>IFERROR(VLOOKUP(VENTAS[[#This Row],[Código del producto Vendido]],STOCK[],16,FALSE)*VENTAS[[#This Row],[Cantidad]]+VLOOKUP(VENTAS[[#This Row],[Código del producto Vendido]],STOCK[],19,FALSE)*VENTAS[[#This Row],[Cantidad]],VENTAS[[#This Row],[Total]])</f>
        <v>21.97</v>
      </c>
      <c r="L1171" s="35">
        <f>VENTAS[[#This Row],[Total]]-VENTAS[[#This Row],[Comisión 10%]]-VENTAS[[#This Row],[Costo SIN Comision]]</f>
        <v>-21.97</v>
      </c>
      <c r="M1171" s="35"/>
    </row>
    <row r="1172" ht="20" customHeight="1" spans="1:13">
      <c r="A1172" s="29">
        <v>45446</v>
      </c>
      <c r="B1172" s="30"/>
      <c r="C1172" s="30"/>
      <c r="D1172" s="30"/>
      <c r="E1172" s="30" t="s">
        <v>1823</v>
      </c>
      <c r="F1172" s="34" t="str">
        <f>IFERROR(VLOOKUP(VENTAS[[#This Row],[Código del producto Vendido]],STOCK[],5,FALSE),"-")</f>
        <v>Vestido Midi Elegante</v>
      </c>
      <c r="G1172" s="34">
        <v>1</v>
      </c>
      <c r="H1172" s="35">
        <v>22</v>
      </c>
      <c r="I1172" s="35">
        <f>VENTAS[[#This Row],[Cantidad]]*VENTAS[[#This Row],[Precio Venta]]</f>
        <v>22</v>
      </c>
      <c r="J1172" s="35">
        <f>IF(VENTAS[[#This Row],[Nombre del Gestor]]&gt;1,VENTAS[[#This Row],[Total]]*10%,0)</f>
        <v>0</v>
      </c>
      <c r="K1172" s="35">
        <f>IFERROR(VLOOKUP(VENTAS[[#This Row],[Código del producto Vendido]],STOCK[],16,FALSE)*VENTAS[[#This Row],[Cantidad]]+VLOOKUP(VENTAS[[#This Row],[Código del producto Vendido]],STOCK[],19,FALSE)*VENTAS[[#This Row],[Cantidad]],VENTAS[[#This Row],[Total]])</f>
        <v>10.79</v>
      </c>
      <c r="L1172" s="35">
        <f>VENTAS[[#This Row],[Total]]-VENTAS[[#This Row],[Comisión 10%]]-VENTAS[[#This Row],[Costo SIN Comision]]</f>
        <v>11.21</v>
      </c>
      <c r="M1172" s="35"/>
    </row>
    <row r="1173" ht="20" customHeight="1" spans="1:13">
      <c r="A1173" s="29">
        <v>45491</v>
      </c>
      <c r="B1173" s="30"/>
      <c r="C1173" s="30"/>
      <c r="D1173" s="30" t="s">
        <v>3481</v>
      </c>
      <c r="E1173" s="30" t="s">
        <v>1841</v>
      </c>
      <c r="F1173" s="34" t="str">
        <f>IFERROR(VLOOKUP(VENTAS[[#This Row],[Código del producto Vendido]],STOCK[],5,FALSE),"-")</f>
        <v>Maxi Vestido Bodycon </v>
      </c>
      <c r="G1173" s="34">
        <v>1</v>
      </c>
      <c r="H1173" s="35">
        <v>13</v>
      </c>
      <c r="I1173" s="35">
        <f>VENTAS[[#This Row],[Cantidad]]*VENTAS[[#This Row],[Precio Venta]]</f>
        <v>13</v>
      </c>
      <c r="J1173" s="35">
        <f>IF(VENTAS[[#This Row],[Nombre del Gestor]]&gt;1,VENTAS[[#This Row],[Total]]*10%,0)</f>
        <v>1.3</v>
      </c>
      <c r="K1173" s="35">
        <f>IFERROR(VLOOKUP(VENTAS[[#This Row],[Código del producto Vendido]],STOCK[],16,FALSE)*VENTAS[[#This Row],[Cantidad]]+VLOOKUP(VENTAS[[#This Row],[Código del producto Vendido]],STOCK[],19,FALSE)*VENTAS[[#This Row],[Cantidad]],VENTAS[[#This Row],[Total]])</f>
        <v>11.79</v>
      </c>
      <c r="L1173" s="35">
        <f>VENTAS[[#This Row],[Total]]-VENTAS[[#This Row],[Comisión 10%]]-VENTAS[[#This Row],[Costo SIN Comision]]</f>
        <v>-0.0900000000000016</v>
      </c>
      <c r="M1173" s="35"/>
    </row>
    <row r="1174" ht="20" customHeight="1" spans="1:13">
      <c r="A1174" s="29">
        <v>45491</v>
      </c>
      <c r="B1174" s="30"/>
      <c r="C1174" s="30"/>
      <c r="D1174" s="30" t="s">
        <v>3506</v>
      </c>
      <c r="E1174" s="30" t="s">
        <v>2130</v>
      </c>
      <c r="F1174" s="34" t="str">
        <f>IFERROR(VLOOKUP(VENTAS[[#This Row],[Código del producto Vendido]],STOCK[],5,FALSE),"-")</f>
        <v>Set Chic de conjunto de 2 piezas </v>
      </c>
      <c r="G1174" s="34">
        <v>1</v>
      </c>
      <c r="H1174" s="35">
        <v>25</v>
      </c>
      <c r="I1174" s="35">
        <f>VENTAS[[#This Row],[Cantidad]]*VENTAS[[#This Row],[Precio Venta]]</f>
        <v>25</v>
      </c>
      <c r="J1174" s="35">
        <f>IF(VENTAS[[#This Row],[Nombre del Gestor]]&gt;1,VENTAS[[#This Row],[Total]]*10%,0)</f>
        <v>2.5</v>
      </c>
      <c r="K1174" s="35">
        <f>IFERROR(VLOOKUP(VENTAS[[#This Row],[Código del producto Vendido]],STOCK[],16,FALSE)*VENTAS[[#This Row],[Cantidad]]+VLOOKUP(VENTAS[[#This Row],[Código del producto Vendido]],STOCK[],19,FALSE)*VENTAS[[#This Row],[Cantidad]],VENTAS[[#This Row],[Total]])</f>
        <v>11.79</v>
      </c>
      <c r="L1174" s="35">
        <f>VENTAS[[#This Row],[Total]]-VENTAS[[#This Row],[Comisión 10%]]-VENTAS[[#This Row],[Costo SIN Comision]]</f>
        <v>10.71</v>
      </c>
      <c r="M1174" s="35"/>
    </row>
    <row r="1175" ht="20" customHeight="1" spans="1:13">
      <c r="A1175" s="29">
        <v>45491</v>
      </c>
      <c r="B1175" s="30"/>
      <c r="C1175" s="30"/>
      <c r="D1175" s="30" t="s">
        <v>3506</v>
      </c>
      <c r="E1175" s="30" t="s">
        <v>2427</v>
      </c>
      <c r="F1175" s="34" t="str">
        <f>IFERROR(VLOOKUP(VENTAS[[#This Row],[Código del producto Vendido]],STOCK[],5,FALSE),"-")</f>
        <v>Pantalón ancho con cordón ajustable</v>
      </c>
      <c r="G1175" s="34">
        <v>1</v>
      </c>
      <c r="H1175" s="35">
        <v>23</v>
      </c>
      <c r="I1175" s="35">
        <f>VENTAS[[#This Row],[Cantidad]]*VENTAS[[#This Row],[Precio Venta]]</f>
        <v>23</v>
      </c>
      <c r="J1175" s="35">
        <f>IF(VENTAS[[#This Row],[Nombre del Gestor]]&gt;1,VENTAS[[#This Row],[Total]]*10%,0)</f>
        <v>2.3</v>
      </c>
      <c r="K1175" s="35">
        <f>IFERROR(VLOOKUP(VENTAS[[#This Row],[Código del producto Vendido]],STOCK[],16,FALSE)*VENTAS[[#This Row],[Cantidad]]+VLOOKUP(VENTAS[[#This Row],[Código del producto Vendido]],STOCK[],19,FALSE)*VENTAS[[#This Row],[Cantidad]],VENTAS[[#This Row],[Total]])</f>
        <v>11.4353349001175</v>
      </c>
      <c r="L1175" s="35">
        <f>VENTAS[[#This Row],[Total]]-VENTAS[[#This Row],[Comisión 10%]]-VENTAS[[#This Row],[Costo SIN Comision]]</f>
        <v>9.26466509988249</v>
      </c>
      <c r="M1175" s="35"/>
    </row>
    <row r="1176" ht="20" customHeight="1" spans="1:13">
      <c r="A1176" s="29">
        <v>45491</v>
      </c>
      <c r="B1176" s="30"/>
      <c r="C1176" s="30"/>
      <c r="D1176" s="30" t="s">
        <v>3506</v>
      </c>
      <c r="E1176" s="30" t="s">
        <v>586</v>
      </c>
      <c r="F1176" s="34" t="str">
        <f>IFERROR(VLOOKUP(VENTAS[[#This Row],[Código del producto Vendido]],STOCK[],5,FALSE),"-")</f>
        <v>Top cruzado blanco</v>
      </c>
      <c r="G1176" s="34">
        <v>2</v>
      </c>
      <c r="H1176" s="35">
        <v>8</v>
      </c>
      <c r="I1176" s="35">
        <f>VENTAS[[#This Row],[Cantidad]]*VENTAS[[#This Row],[Precio Venta]]</f>
        <v>16</v>
      </c>
      <c r="J1176" s="35">
        <f>IF(VENTAS[[#This Row],[Nombre del Gestor]]&gt;1,VENTAS[[#This Row],[Total]]*10%,0)</f>
        <v>1.6</v>
      </c>
      <c r="K1176" s="35">
        <f>IFERROR(VLOOKUP(VENTAS[[#This Row],[Código del producto Vendido]],STOCK[],16,FALSE)*VENTAS[[#This Row],[Cantidad]]+VLOOKUP(VENTAS[[#This Row],[Código del producto Vendido]],STOCK[],19,FALSE)*VENTAS[[#This Row],[Cantidad]],VENTAS[[#This Row],[Total]])</f>
        <v>10.3866666666667</v>
      </c>
      <c r="L1176" s="35">
        <f>VENTAS[[#This Row],[Total]]-VENTAS[[#This Row],[Comisión 10%]]-VENTAS[[#This Row],[Costo SIN Comision]]</f>
        <v>4.01333333333334</v>
      </c>
      <c r="M1176" s="35"/>
    </row>
    <row r="1177" ht="20" customHeight="1" spans="1:13">
      <c r="A1177" s="29">
        <v>45491</v>
      </c>
      <c r="B1177" s="30"/>
      <c r="C1177" s="30"/>
      <c r="D1177" s="30" t="s">
        <v>3506</v>
      </c>
      <c r="E1177" s="30" t="s">
        <v>678</v>
      </c>
      <c r="F1177" s="34" t="str">
        <f>IFERROR(VLOOKUP(VENTAS[[#This Row],[Código del producto Vendido]],STOCK[],5,FALSE),"-")</f>
        <v>Blusa corta de manga farol</v>
      </c>
      <c r="G1177" s="34">
        <v>1</v>
      </c>
      <c r="H1177" s="35">
        <v>9</v>
      </c>
      <c r="I1177" s="35">
        <f>VENTAS[[#This Row],[Cantidad]]*VENTAS[[#This Row],[Precio Venta]]</f>
        <v>9</v>
      </c>
      <c r="J1177" s="35">
        <f>IF(VENTAS[[#This Row],[Nombre del Gestor]]&gt;1,VENTAS[[#This Row],[Total]]*10%,0)</f>
        <v>0.9</v>
      </c>
      <c r="K1177" s="35">
        <f>IFERROR(VLOOKUP(VENTAS[[#This Row],[Código del producto Vendido]],STOCK[],16,FALSE)*VENTAS[[#This Row],[Cantidad]]+VLOOKUP(VENTAS[[#This Row],[Código del producto Vendido]],STOCK[],19,FALSE)*VENTAS[[#This Row],[Cantidad]],VENTAS[[#This Row],[Total]])</f>
        <v>7.52666666666667</v>
      </c>
      <c r="L1177" s="35">
        <f>VENTAS[[#This Row],[Total]]-VENTAS[[#This Row],[Comisión 10%]]-VENTAS[[#This Row],[Costo SIN Comision]]</f>
        <v>0.57333333333333</v>
      </c>
      <c r="M1177" s="35"/>
    </row>
    <row r="1178" ht="20" customHeight="1" spans="1:13">
      <c r="A1178" s="29">
        <v>45493</v>
      </c>
      <c r="B1178" s="30"/>
      <c r="C1178" s="30"/>
      <c r="D1178" s="30" t="s">
        <v>3506</v>
      </c>
      <c r="E1178" s="30" t="s">
        <v>1288</v>
      </c>
      <c r="F1178" s="34" t="str">
        <f>IFERROR(VLOOKUP(VENTAS[[#This Row],[Código del producto Vendido]],STOCK[],5,FALSE),"-")</f>
        <v>Top corto asimétrico </v>
      </c>
      <c r="G1178" s="34">
        <v>1</v>
      </c>
      <c r="H1178" s="35">
        <v>10</v>
      </c>
      <c r="I1178" s="35">
        <f>VENTAS[[#This Row],[Cantidad]]*VENTAS[[#This Row],[Precio Venta]]</f>
        <v>10</v>
      </c>
      <c r="J1178" s="35">
        <f>IF(VENTAS[[#This Row],[Nombre del Gestor]]&gt;1,VENTAS[[#This Row],[Total]]*10%,0)</f>
        <v>1</v>
      </c>
      <c r="K1178" s="35">
        <f>IFERROR(VLOOKUP(VENTAS[[#This Row],[Código del producto Vendido]],STOCK[],16,FALSE)*VENTAS[[#This Row],[Cantidad]]+VLOOKUP(VENTAS[[#This Row],[Código del producto Vendido]],STOCK[],19,FALSE)*VENTAS[[#This Row],[Cantidad]],VENTAS[[#This Row],[Total]])</f>
        <v>6.73</v>
      </c>
      <c r="L1178" s="35">
        <f>VENTAS[[#This Row],[Total]]-VENTAS[[#This Row],[Comisión 10%]]-VENTAS[[#This Row],[Costo SIN Comision]]</f>
        <v>2.27</v>
      </c>
      <c r="M1178" s="35"/>
    </row>
    <row r="1179" ht="20" customHeight="1" spans="1:13">
      <c r="A1179" s="29">
        <v>45494</v>
      </c>
      <c r="B1179" s="30"/>
      <c r="C1179" s="30"/>
      <c r="D1179" s="30" t="s">
        <v>3506</v>
      </c>
      <c r="E1179" s="30" t="s">
        <v>1636</v>
      </c>
      <c r="F1179" s="34" t="str">
        <f>IFERROR(VLOOKUP(VENTAS[[#This Row],[Código del producto Vendido]],STOCK[],5,FALSE),"-")</f>
        <v>Vestido Privé</v>
      </c>
      <c r="G1179" s="34">
        <v>1</v>
      </c>
      <c r="H1179" s="35">
        <v>15</v>
      </c>
      <c r="I1179" s="35">
        <f>VENTAS[[#This Row],[Cantidad]]*VENTAS[[#This Row],[Precio Venta]]</f>
        <v>15</v>
      </c>
      <c r="J1179" s="35">
        <f>IF(VENTAS[[#This Row],[Nombre del Gestor]]&gt;1,VENTAS[[#This Row],[Total]]*10%,0)</f>
        <v>1.5</v>
      </c>
      <c r="K1179" s="35">
        <f>IFERROR(VLOOKUP(VENTAS[[#This Row],[Código del producto Vendido]],STOCK[],16,FALSE)*VENTAS[[#This Row],[Cantidad]]+VLOOKUP(VENTAS[[#This Row],[Código del producto Vendido]],STOCK[],19,FALSE)*VENTAS[[#This Row],[Cantidad]],VENTAS[[#This Row],[Total]])</f>
        <v>11.1</v>
      </c>
      <c r="L1179" s="35">
        <f>VENTAS[[#This Row],[Total]]-VENTAS[[#This Row],[Comisión 10%]]-VENTAS[[#This Row],[Costo SIN Comision]]</f>
        <v>2.4</v>
      </c>
      <c r="M1179" s="35"/>
    </row>
    <row r="1180" ht="20" customHeight="1" spans="1:13">
      <c r="A1180" s="29">
        <v>203</v>
      </c>
      <c r="B1180" s="30"/>
      <c r="C1180" s="30"/>
      <c r="D1180" s="30" t="s">
        <v>3506</v>
      </c>
      <c r="E1180" s="30" t="s">
        <v>1712</v>
      </c>
      <c r="F1180" s="34" t="str">
        <f>IFERROR(VLOOKUP(VENTAS[[#This Row],[Código del producto Vendido]],STOCK[],5,FALSE),"-")</f>
        <v>Vestido Asimétrico con cuerdas</v>
      </c>
      <c r="G1180" s="34">
        <v>1</v>
      </c>
      <c r="H1180" s="35">
        <v>13</v>
      </c>
      <c r="I1180" s="35">
        <f>VENTAS[[#This Row],[Cantidad]]*VENTAS[[#This Row],[Precio Venta]]</f>
        <v>13</v>
      </c>
      <c r="J1180" s="35">
        <f>IF(VENTAS[[#This Row],[Nombre del Gestor]]&gt;1,VENTAS[[#This Row],[Total]]*10%,0)</f>
        <v>1.3</v>
      </c>
      <c r="K1180" s="35">
        <f>IFERROR(VLOOKUP(VENTAS[[#This Row],[Código del producto Vendido]],STOCK[],16,FALSE)*VENTAS[[#This Row],[Cantidad]]+VLOOKUP(VENTAS[[#This Row],[Código del producto Vendido]],STOCK[],19,FALSE)*VENTAS[[#This Row],[Cantidad]],VENTAS[[#This Row],[Total]])</f>
        <v>12</v>
      </c>
      <c r="L1180" s="35">
        <f>VENTAS[[#This Row],[Total]]-VENTAS[[#This Row],[Comisión 10%]]-VENTAS[[#This Row],[Costo SIN Comision]]</f>
        <v>-0.300000000000001</v>
      </c>
      <c r="M1180" s="35"/>
    </row>
    <row r="1181" ht="20" customHeight="1" spans="1:13">
      <c r="A1181" s="29">
        <v>45490</v>
      </c>
      <c r="B1181" s="30"/>
      <c r="C1181" s="30"/>
      <c r="D1181" s="30" t="s">
        <v>3506</v>
      </c>
      <c r="E1181" s="30" t="s">
        <v>1202</v>
      </c>
      <c r="F1181" s="34" t="str">
        <f>IFERROR(VLOOKUP(VENTAS[[#This Row],[Código del producto Vendido]],STOCK[],5,FALSE),"-")</f>
        <v>Camisa Blanca</v>
      </c>
      <c r="G1181" s="34">
        <v>1</v>
      </c>
      <c r="H1181" s="35">
        <v>22</v>
      </c>
      <c r="I1181" s="35">
        <f>VENTAS[[#This Row],[Cantidad]]*VENTAS[[#This Row],[Precio Venta]]</f>
        <v>22</v>
      </c>
      <c r="J1181" s="35">
        <f>IF(VENTAS[[#This Row],[Nombre del Gestor]]&gt;1,VENTAS[[#This Row],[Total]]*10%,0)</f>
        <v>2.2</v>
      </c>
      <c r="K1181" s="35">
        <f>IFERROR(VLOOKUP(VENTAS[[#This Row],[Código del producto Vendido]],STOCK[],16,FALSE)*VENTAS[[#This Row],[Cantidad]]+VLOOKUP(VENTAS[[#This Row],[Código del producto Vendido]],STOCK[],19,FALSE)*VENTAS[[#This Row],[Cantidad]],VENTAS[[#This Row],[Total]])</f>
        <v>12.9</v>
      </c>
      <c r="L1181" s="35">
        <f>VENTAS[[#This Row],[Total]]-VENTAS[[#This Row],[Comisión 10%]]-VENTAS[[#This Row],[Costo SIN Comision]]</f>
        <v>6.9</v>
      </c>
      <c r="M1181" s="35"/>
    </row>
    <row r="1182" ht="20" customHeight="1" spans="1:13">
      <c r="A1182" s="29">
        <v>45490</v>
      </c>
      <c r="B1182" s="30"/>
      <c r="C1182" s="30"/>
      <c r="D1182" s="30" t="s">
        <v>3506</v>
      </c>
      <c r="E1182" s="30" t="s">
        <v>799</v>
      </c>
      <c r="F1182" s="34" t="str">
        <f>IFERROR(VLOOKUP(VENTAS[[#This Row],[Código del producto Vendido]],STOCK[],5,FALSE),"-")</f>
        <v>Short de cordón lateral</v>
      </c>
      <c r="G1182" s="34">
        <v>1</v>
      </c>
      <c r="H1182" s="35">
        <v>15</v>
      </c>
      <c r="I1182" s="35">
        <f>VENTAS[[#This Row],[Cantidad]]*VENTAS[[#This Row],[Precio Venta]]</f>
        <v>15</v>
      </c>
      <c r="J1182" s="35">
        <f>IF(VENTAS[[#This Row],[Nombre del Gestor]]&gt;1,VENTAS[[#This Row],[Total]]*10%,0)</f>
        <v>1.5</v>
      </c>
      <c r="K1182" s="35">
        <f>IFERROR(VLOOKUP(VENTAS[[#This Row],[Código del producto Vendido]],STOCK[],16,FALSE)*VENTAS[[#This Row],[Cantidad]]+VLOOKUP(VENTAS[[#This Row],[Código del producto Vendido]],STOCK[],19,FALSE)*VENTAS[[#This Row],[Cantidad]],VENTAS[[#This Row],[Total]])</f>
        <v>8.94444444444444</v>
      </c>
      <c r="L1182" s="35">
        <f>VENTAS[[#This Row],[Total]]-VENTAS[[#This Row],[Comisión 10%]]-VENTAS[[#This Row],[Costo SIN Comision]]</f>
        <v>4.55555555555556</v>
      </c>
      <c r="M1182" s="35"/>
    </row>
    <row r="1183" ht="20" customHeight="1" spans="1:13">
      <c r="A1183" s="29">
        <v>45490</v>
      </c>
      <c r="B1183" s="30"/>
      <c r="C1183" s="30"/>
      <c r="D1183" s="30" t="s">
        <v>3506</v>
      </c>
      <c r="E1183" s="30" t="s">
        <v>676</v>
      </c>
      <c r="F1183" s="34" t="str">
        <f>IFERROR(VLOOKUP(VENTAS[[#This Row],[Código del producto Vendido]],STOCK[],5,FALSE),"-")</f>
        <v>Blusa corta de manga farol</v>
      </c>
      <c r="G1183" s="34">
        <v>1</v>
      </c>
      <c r="H1183" s="35">
        <v>9</v>
      </c>
      <c r="I1183" s="35">
        <f>VENTAS[[#This Row],[Cantidad]]*VENTAS[[#This Row],[Precio Venta]]</f>
        <v>9</v>
      </c>
      <c r="J1183" s="35">
        <f>IF(VENTAS[[#This Row],[Nombre del Gestor]]&gt;1,VENTAS[[#This Row],[Total]]*10%,0)</f>
        <v>0.9</v>
      </c>
      <c r="K1183" s="35">
        <f>IFERROR(VLOOKUP(VENTAS[[#This Row],[Código del producto Vendido]],STOCK[],16,FALSE)*VENTAS[[#This Row],[Cantidad]]+VLOOKUP(VENTAS[[#This Row],[Código del producto Vendido]],STOCK[],19,FALSE)*VENTAS[[#This Row],[Cantidad]],VENTAS[[#This Row],[Total]])</f>
        <v>7.52666666666667</v>
      </c>
      <c r="L1183" s="35">
        <f>VENTAS[[#This Row],[Total]]-VENTAS[[#This Row],[Comisión 10%]]-VENTAS[[#This Row],[Costo SIN Comision]]</f>
        <v>0.57333333333333</v>
      </c>
      <c r="M1183" s="35"/>
    </row>
    <row r="1184" ht="20" customHeight="1" spans="1:13">
      <c r="A1184" s="29">
        <v>45480</v>
      </c>
      <c r="B1184" s="30"/>
      <c r="C1184" s="30"/>
      <c r="D1184" s="30" t="s">
        <v>3481</v>
      </c>
      <c r="E1184" s="30" t="s">
        <v>1190</v>
      </c>
      <c r="F1184" s="34" t="str">
        <f>IFERROR(VLOOKUP(VENTAS[[#This Row],[Código del producto Vendido]],STOCK[],5,FALSE),"-")</f>
        <v>Vestido ajustado con adorno de plumas</v>
      </c>
      <c r="G1184" s="34">
        <v>1</v>
      </c>
      <c r="H1184" s="35"/>
      <c r="I1184" s="35">
        <f>VENTAS[[#This Row],[Cantidad]]*VENTAS[[#This Row],[Precio Venta]]</f>
        <v>0</v>
      </c>
      <c r="J1184" s="35">
        <f>IF(VENTAS[[#This Row],[Nombre del Gestor]]&gt;1,VENTAS[[#This Row],[Total]]*10%,0)</f>
        <v>0</v>
      </c>
      <c r="K1184" s="35">
        <f>IFERROR(VLOOKUP(VENTAS[[#This Row],[Código del producto Vendido]],STOCK[],16,FALSE)*VENTAS[[#This Row],[Cantidad]]+VLOOKUP(VENTAS[[#This Row],[Código del producto Vendido]],STOCK[],19,FALSE)*VENTAS[[#This Row],[Cantidad]],VENTAS[[#This Row],[Total]])</f>
        <v>14.91</v>
      </c>
      <c r="L1184" s="35">
        <f>VENTAS[[#This Row],[Total]]-VENTAS[[#This Row],[Comisión 10%]]-VENTAS[[#This Row],[Costo SIN Comision]]</f>
        <v>-14.91</v>
      </c>
      <c r="M1184" s="35"/>
    </row>
    <row r="1185" ht="20" customHeight="1" spans="1:13">
      <c r="A1185" s="29">
        <v>45490</v>
      </c>
      <c r="B1185" s="30"/>
      <c r="C1185" s="30"/>
      <c r="D1185" s="30" t="s">
        <v>3506</v>
      </c>
      <c r="E1185" s="30" t="s">
        <v>595</v>
      </c>
      <c r="F1185" s="34" t="str">
        <f>IFERROR(VLOOKUP(VENTAS[[#This Row],[Código del producto Vendido]],STOCK[],5,FALSE),"-")</f>
        <v>Top cruzado naranja</v>
      </c>
      <c r="G1185" s="34">
        <v>2</v>
      </c>
      <c r="H1185" s="35">
        <v>8</v>
      </c>
      <c r="I1185" s="35">
        <f>VENTAS[[#This Row],[Cantidad]]*VENTAS[[#This Row],[Precio Venta]]</f>
        <v>16</v>
      </c>
      <c r="J1185" s="35">
        <f>IF(VENTAS[[#This Row],[Nombre del Gestor]]&gt;1,VENTAS[[#This Row],[Total]]*10%,0)</f>
        <v>1.6</v>
      </c>
      <c r="K1185" s="35">
        <f>IFERROR(VLOOKUP(VENTAS[[#This Row],[Código del producto Vendido]],STOCK[],16,FALSE)*VENTAS[[#This Row],[Cantidad]]+VLOOKUP(VENTAS[[#This Row],[Código del producto Vendido]],STOCK[],19,FALSE)*VENTAS[[#This Row],[Cantidad]],VENTAS[[#This Row],[Total]])</f>
        <v>10.1366666666667</v>
      </c>
      <c r="L1185" s="35">
        <f>VENTAS[[#This Row],[Total]]-VENTAS[[#This Row],[Comisión 10%]]-VENTAS[[#This Row],[Costo SIN Comision]]</f>
        <v>4.26333333333334</v>
      </c>
      <c r="M1185" s="35"/>
    </row>
    <row r="1186" ht="20" customHeight="1" spans="1:13">
      <c r="A1186" s="29">
        <v>45492</v>
      </c>
      <c r="B1186" s="30"/>
      <c r="C1186" s="30"/>
      <c r="D1186" s="30" t="s">
        <v>3481</v>
      </c>
      <c r="E1186" s="30" t="s">
        <v>2219</v>
      </c>
      <c r="F1186" s="34" t="str">
        <f>IFERROR(VLOOKUP(VENTAS[[#This Row],[Código del producto Vendido]],STOCK[],5,FALSE),"-")</f>
        <v>Set de bikini con cobertor de playa</v>
      </c>
      <c r="G1186" s="34">
        <v>1</v>
      </c>
      <c r="H1186" s="35">
        <v>25</v>
      </c>
      <c r="I1186" s="35">
        <f>VENTAS[[#This Row],[Cantidad]]*VENTAS[[#This Row],[Precio Venta]]</f>
        <v>25</v>
      </c>
      <c r="J1186" s="35">
        <f>IF(VENTAS[[#This Row],[Nombre del Gestor]]&gt;1,VENTAS[[#This Row],[Total]]*10%,0)</f>
        <v>2.5</v>
      </c>
      <c r="K1186" s="35">
        <f>IFERROR(VLOOKUP(VENTAS[[#This Row],[Código del producto Vendido]],STOCK[],16,FALSE)*VENTAS[[#This Row],[Cantidad]]+VLOOKUP(VENTAS[[#This Row],[Código del producto Vendido]],STOCK[],19,FALSE)*VENTAS[[#This Row],[Cantidad]],VENTAS[[#This Row],[Total]])</f>
        <v>11.65</v>
      </c>
      <c r="L1186" s="35">
        <f>VENTAS[[#This Row],[Total]]-VENTAS[[#This Row],[Comisión 10%]]-VENTAS[[#This Row],[Costo SIN Comision]]</f>
        <v>10.85</v>
      </c>
      <c r="M1186" s="35"/>
    </row>
    <row r="1187" ht="20" customHeight="1" spans="1:13">
      <c r="A1187" s="29">
        <v>45492</v>
      </c>
      <c r="B1187" s="30"/>
      <c r="C1187" s="30"/>
      <c r="D1187" s="30" t="s">
        <v>3481</v>
      </c>
      <c r="E1187" s="30" t="s">
        <v>2172</v>
      </c>
      <c r="F1187" s="34" t="str">
        <f>IFERROR(VLOOKUP(VENTAS[[#This Row],[Código del producto Vendido]],STOCK[],5,FALSE),"-")</f>
        <v>Bañador clásico cuello V</v>
      </c>
      <c r="G1187" s="34">
        <v>1</v>
      </c>
      <c r="H1187" s="35">
        <v>18</v>
      </c>
      <c r="I1187" s="35">
        <f>VENTAS[[#This Row],[Cantidad]]*VENTAS[[#This Row],[Precio Venta]]</f>
        <v>18</v>
      </c>
      <c r="J1187" s="35">
        <f>IF(VENTAS[[#This Row],[Nombre del Gestor]]&gt;1,VENTAS[[#This Row],[Total]]*10%,0)</f>
        <v>1.8</v>
      </c>
      <c r="K1187" s="35">
        <f>IFERROR(VLOOKUP(VENTAS[[#This Row],[Código del producto Vendido]],STOCK[],16,FALSE)*VENTAS[[#This Row],[Cantidad]]+VLOOKUP(VENTAS[[#This Row],[Código del producto Vendido]],STOCK[],19,FALSE)*VENTAS[[#This Row],[Cantidad]],VENTAS[[#This Row],[Total]])</f>
        <v>6.11</v>
      </c>
      <c r="L1187" s="35">
        <f>VENTAS[[#This Row],[Total]]-VENTAS[[#This Row],[Comisión 10%]]-VENTAS[[#This Row],[Costo SIN Comision]]</f>
        <v>10.09</v>
      </c>
      <c r="M1187" s="35"/>
    </row>
    <row r="1188" ht="20" customHeight="1" spans="1:13">
      <c r="A1188" s="29">
        <v>45492</v>
      </c>
      <c r="B1188" s="30"/>
      <c r="C1188" s="30"/>
      <c r="D1188" s="30" t="s">
        <v>3481</v>
      </c>
      <c r="E1188" s="30" t="s">
        <v>1748</v>
      </c>
      <c r="F1188" s="34" t="str">
        <f>IFERROR(VLOOKUP(VENTAS[[#This Row],[Código del producto Vendido]],STOCK[],5,FALSE),"-")</f>
        <v>Traje de baño de mangas estampadas</v>
      </c>
      <c r="G1188" s="34">
        <v>1</v>
      </c>
      <c r="H1188" s="35">
        <v>25</v>
      </c>
      <c r="I1188" s="35">
        <f>VENTAS[[#This Row],[Cantidad]]*VENTAS[[#This Row],[Precio Venta]]</f>
        <v>25</v>
      </c>
      <c r="J1188" s="35">
        <f>IF(VENTAS[[#This Row],[Nombre del Gestor]]&gt;1,VENTAS[[#This Row],[Total]]*10%,0)</f>
        <v>2.5</v>
      </c>
      <c r="K1188" s="35">
        <f>IFERROR(VLOOKUP(VENTAS[[#This Row],[Código del producto Vendido]],STOCK[],16,FALSE)*VENTAS[[#This Row],[Cantidad]]+VLOOKUP(VENTAS[[#This Row],[Código del producto Vendido]],STOCK[],19,FALSE)*VENTAS[[#This Row],[Cantidad]],VENTAS[[#This Row],[Total]])</f>
        <v>12.4117647058824</v>
      </c>
      <c r="L1188" s="35">
        <f>VENTAS[[#This Row],[Total]]-VENTAS[[#This Row],[Comisión 10%]]-VENTAS[[#This Row],[Costo SIN Comision]]</f>
        <v>10.0882352941176</v>
      </c>
      <c r="M1188" s="35"/>
    </row>
    <row r="1189" ht="20" customHeight="1" spans="1:13">
      <c r="A1189" s="29">
        <v>45509</v>
      </c>
      <c r="B1189" s="30"/>
      <c r="C1189" s="30" t="s">
        <v>3547</v>
      </c>
      <c r="D1189" s="30" t="s">
        <v>3451</v>
      </c>
      <c r="E1189" s="30" t="s">
        <v>2422</v>
      </c>
      <c r="F1189" s="34" t="str">
        <f>IFERROR(VLOOKUP(VENTAS[[#This Row],[Código del producto Vendido]],STOCK[],5,FALSE),"-")</f>
        <v>Pantalón ancho con cordón ajustable</v>
      </c>
      <c r="G1189" s="34">
        <v>1</v>
      </c>
      <c r="H1189" s="35">
        <v>23</v>
      </c>
      <c r="I1189" s="35">
        <f>VENTAS[[#This Row],[Cantidad]]*VENTAS[[#This Row],[Precio Venta]]</f>
        <v>23</v>
      </c>
      <c r="J1189" s="35">
        <f>IF(VENTAS[[#This Row],[Nombre del Gestor]]&gt;1,VENTAS[[#This Row],[Total]]*10%,0)</f>
        <v>2.3</v>
      </c>
      <c r="K1189" s="35">
        <f>IFERROR(VLOOKUP(VENTAS[[#This Row],[Código del producto Vendido]],STOCK[],16,FALSE)*VENTAS[[#This Row],[Cantidad]]+VLOOKUP(VENTAS[[#This Row],[Código del producto Vendido]],STOCK[],19,FALSE)*VENTAS[[#This Row],[Cantidad]],VENTAS[[#This Row],[Total]])</f>
        <v>11.4353349001175</v>
      </c>
      <c r="L1189" s="35">
        <f>VENTAS[[#This Row],[Total]]-VENTAS[[#This Row],[Comisión 10%]]-VENTAS[[#This Row],[Costo SIN Comision]]</f>
        <v>9.26466509988249</v>
      </c>
      <c r="M1189" s="35"/>
    </row>
    <row r="1190" ht="20" customHeight="1" spans="1:13">
      <c r="A1190" s="29">
        <v>45509</v>
      </c>
      <c r="B1190" s="30"/>
      <c r="C1190" s="30" t="s">
        <v>3548</v>
      </c>
      <c r="D1190" s="30" t="s">
        <v>3451</v>
      </c>
      <c r="E1190" s="30" t="s">
        <v>2493</v>
      </c>
      <c r="F1190" s="34" t="str">
        <f>IFERROR(VLOOKUP(VENTAS[[#This Row],[Código del producto Vendido]],STOCK[],5,FALSE),"-")</f>
        <v>Bolso bandolera de rafia rígido de tamaño pequeño</v>
      </c>
      <c r="G1190" s="34">
        <v>1</v>
      </c>
      <c r="H1190" s="35">
        <v>25</v>
      </c>
      <c r="I1190" s="35">
        <f>VENTAS[[#This Row],[Cantidad]]*VENTAS[[#This Row],[Precio Venta]]</f>
        <v>25</v>
      </c>
      <c r="J1190" s="35">
        <f>IF(VENTAS[[#This Row],[Nombre del Gestor]]&gt;1,VENTAS[[#This Row],[Total]]*10%,0)</f>
        <v>2.5</v>
      </c>
      <c r="K1190" s="35">
        <f>IFERROR(VLOOKUP(VENTAS[[#This Row],[Código del producto Vendido]],STOCK[],16,FALSE)*VENTAS[[#This Row],[Cantidad]]+VLOOKUP(VENTAS[[#This Row],[Código del producto Vendido]],STOCK[],19,FALSE)*VENTAS[[#This Row],[Cantidad]],VENTAS[[#This Row],[Total]])</f>
        <v>11.39</v>
      </c>
      <c r="L1190" s="35">
        <f>VENTAS[[#This Row],[Total]]-VENTAS[[#This Row],[Comisión 10%]]-VENTAS[[#This Row],[Costo SIN Comision]]</f>
        <v>11.11</v>
      </c>
      <c r="M1190" s="35"/>
    </row>
    <row r="1191" ht="20" customHeight="1" spans="1:13">
      <c r="A1191" s="29">
        <v>45509</v>
      </c>
      <c r="B1191" s="30"/>
      <c r="C1191" s="30"/>
      <c r="D1191" s="30" t="s">
        <v>3481</v>
      </c>
      <c r="E1191" s="30" t="s">
        <v>2580</v>
      </c>
      <c r="F1191" s="34" t="str">
        <f>IFERROR(VLOOKUP(VENTAS[[#This Row],[Código del producto Vendido]],STOCK[],5,FALSE),"-")</f>
        <v>Vestido largo con cuello Healter</v>
      </c>
      <c r="G1191" s="34">
        <v>1</v>
      </c>
      <c r="H1191" s="35">
        <v>30</v>
      </c>
      <c r="I1191" s="35">
        <f>VENTAS[[#This Row],[Cantidad]]*VENTAS[[#This Row],[Precio Venta]]</f>
        <v>30</v>
      </c>
      <c r="J1191" s="35">
        <f>IF(VENTAS[[#This Row],[Nombre del Gestor]]&gt;1,VENTAS[[#This Row],[Total]]*10%,0)</f>
        <v>3</v>
      </c>
      <c r="K1191" s="35">
        <f>IFERROR(VLOOKUP(VENTAS[[#This Row],[Código del producto Vendido]],STOCK[],16,FALSE)*VENTAS[[#This Row],[Cantidad]]+VLOOKUP(VENTAS[[#This Row],[Código del producto Vendido]],STOCK[],19,FALSE)*VENTAS[[#This Row],[Cantidad]],VENTAS[[#This Row],[Total]])</f>
        <v>9.64</v>
      </c>
      <c r="L1191" s="35">
        <f>VENTAS[[#This Row],[Total]]-VENTAS[[#This Row],[Comisión 10%]]-VENTAS[[#This Row],[Costo SIN Comision]]</f>
        <v>17.36</v>
      </c>
      <c r="M1191" s="35"/>
    </row>
    <row r="1192" ht="20" customHeight="1" spans="1:13">
      <c r="A1192" s="29">
        <v>45509</v>
      </c>
      <c r="B1192" s="30"/>
      <c r="C1192" s="30" t="s">
        <v>3549</v>
      </c>
      <c r="D1192" s="30" t="s">
        <v>3481</v>
      </c>
      <c r="E1192" s="30" t="s">
        <v>2460</v>
      </c>
      <c r="F1192" s="34" t="str">
        <f>IFERROR(VLOOKUP(VENTAS[[#This Row],[Código del producto Vendido]],STOCK[],5,FALSE),"-")</f>
        <v>Sandalias de plataforma en bloque de color</v>
      </c>
      <c r="G1192" s="34">
        <v>1</v>
      </c>
      <c r="H1192" s="35">
        <v>35</v>
      </c>
      <c r="I1192" s="35">
        <f>VENTAS[[#This Row],[Cantidad]]*VENTAS[[#This Row],[Precio Venta]]</f>
        <v>35</v>
      </c>
      <c r="J1192" s="35">
        <f>IF(VENTAS[[#This Row],[Nombre del Gestor]]&gt;1,VENTAS[[#This Row],[Total]]*10%,0)</f>
        <v>3.5</v>
      </c>
      <c r="K1192" s="35">
        <f>IFERROR(VLOOKUP(VENTAS[[#This Row],[Código del producto Vendido]],STOCK[],16,FALSE)*VENTAS[[#This Row],[Cantidad]]+VLOOKUP(VENTAS[[#This Row],[Código del producto Vendido]],STOCK[],19,FALSE)*VENTAS[[#This Row],[Cantidad]],VENTAS[[#This Row],[Total]])</f>
        <v>21.97</v>
      </c>
      <c r="L1192" s="35">
        <f>VENTAS[[#This Row],[Total]]-VENTAS[[#This Row],[Comisión 10%]]-VENTAS[[#This Row],[Costo SIN Comision]]</f>
        <v>9.53</v>
      </c>
      <c r="M1192" s="35"/>
    </row>
    <row r="1193" ht="20" customHeight="1" spans="1:13">
      <c r="A1193" s="29">
        <v>45509</v>
      </c>
      <c r="B1193" s="30"/>
      <c r="C1193" s="30"/>
      <c r="D1193" s="30" t="s">
        <v>3481</v>
      </c>
      <c r="E1193" s="30" t="s">
        <v>2330</v>
      </c>
      <c r="F1193" s="34" t="str">
        <f>IFERROR(VLOOKUP(VENTAS[[#This Row],[Código del producto Vendido]],STOCK[],5,FALSE),"-")</f>
        <v>Set de 3 piezas bikini con estampado floral</v>
      </c>
      <c r="G1193" s="34">
        <v>1</v>
      </c>
      <c r="H1193" s="35">
        <v>20</v>
      </c>
      <c r="I1193" s="35">
        <f>VENTAS[[#This Row],[Cantidad]]*VENTAS[[#This Row],[Precio Venta]]</f>
        <v>20</v>
      </c>
      <c r="J1193" s="35">
        <f>IF(VENTAS[[#This Row],[Nombre del Gestor]]&gt;1,VENTAS[[#This Row],[Total]]*10%,0)</f>
        <v>2</v>
      </c>
      <c r="K1193" s="35">
        <f>IFERROR(VLOOKUP(VENTAS[[#This Row],[Código del producto Vendido]],STOCK[],16,FALSE)*VENTAS[[#This Row],[Cantidad]]+VLOOKUP(VENTAS[[#This Row],[Código del producto Vendido]],STOCK[],19,FALSE)*VENTAS[[#This Row],[Cantidad]],VENTAS[[#This Row],[Total]])</f>
        <v>13.409375</v>
      </c>
      <c r="L1193" s="35">
        <f>VENTAS[[#This Row],[Total]]-VENTAS[[#This Row],[Comisión 10%]]-VENTAS[[#This Row],[Costo SIN Comision]]</f>
        <v>4.590625</v>
      </c>
      <c r="M1193" s="35"/>
    </row>
    <row r="1194" ht="20" customHeight="1" spans="1:13">
      <c r="A1194" s="29">
        <v>45509</v>
      </c>
      <c r="B1194" s="30"/>
      <c r="C1194" s="30"/>
      <c r="D1194" s="30" t="s">
        <v>3481</v>
      </c>
      <c r="E1194" s="30" t="s">
        <v>2450</v>
      </c>
      <c r="F1194" s="34" t="str">
        <f>IFERROR(VLOOKUP(VENTAS[[#This Row],[Código del producto Vendido]],STOCK[],5,FALSE),"-")</f>
        <v>Sandalias carmelitas de moda con correa de velcro</v>
      </c>
      <c r="G1194" s="34">
        <v>1</v>
      </c>
      <c r="H1194" s="35">
        <v>35</v>
      </c>
      <c r="I1194" s="35">
        <f>VENTAS[[#This Row],[Cantidad]]*VENTAS[[#This Row],[Precio Venta]]</f>
        <v>35</v>
      </c>
      <c r="J1194" s="35">
        <f>IF(VENTAS[[#This Row],[Nombre del Gestor]]&gt;1,VENTAS[[#This Row],[Total]]*10%,0)</f>
        <v>3.5</v>
      </c>
      <c r="K1194" s="35">
        <f>IFERROR(VLOOKUP(VENTAS[[#This Row],[Código del producto Vendido]],STOCK[],16,FALSE)*VENTAS[[#This Row],[Cantidad]]+VLOOKUP(VENTAS[[#This Row],[Código del producto Vendido]],STOCK[],19,FALSE)*VENTAS[[#This Row],[Cantidad]],VENTAS[[#This Row],[Total]])</f>
        <v>19.47</v>
      </c>
      <c r="L1194" s="35">
        <f>VENTAS[[#This Row],[Total]]-VENTAS[[#This Row],[Comisión 10%]]-VENTAS[[#This Row],[Costo SIN Comision]]</f>
        <v>12.03</v>
      </c>
      <c r="M1194" s="35"/>
    </row>
    <row r="1195" ht="20" customHeight="1" spans="1:13">
      <c r="A1195" s="29">
        <v>45509</v>
      </c>
      <c r="B1195" s="30"/>
      <c r="C1195" s="30"/>
      <c r="D1195" s="30" t="s">
        <v>3481</v>
      </c>
      <c r="E1195" s="30" t="s">
        <v>3550</v>
      </c>
      <c r="F1195" s="34" t="str">
        <f>IFERROR(VLOOKUP(VENTAS[[#This Row],[Código del producto Vendido]],STOCK[],5,FALSE),"-")</f>
        <v>-</v>
      </c>
      <c r="G1195" s="34">
        <v>1</v>
      </c>
      <c r="H1195" s="35">
        <v>45</v>
      </c>
      <c r="I1195" s="35">
        <f>VENTAS[[#This Row],[Cantidad]]*VENTAS[[#This Row],[Precio Venta]]</f>
        <v>45</v>
      </c>
      <c r="J1195" s="35">
        <f>IF(VENTAS[[#This Row],[Nombre del Gestor]]&gt;1,VENTAS[[#This Row],[Total]]*10%,0)</f>
        <v>4.5</v>
      </c>
      <c r="K1195" s="35">
        <f>IFERROR(VLOOKUP(VENTAS[[#This Row],[Código del producto Vendido]],STOCK[],16,FALSE)*VENTAS[[#This Row],[Cantidad]]+VLOOKUP(VENTAS[[#This Row],[Código del producto Vendido]],STOCK[],19,FALSE)*VENTAS[[#This Row],[Cantidad]],VENTAS[[#This Row],[Total]])</f>
        <v>45</v>
      </c>
      <c r="L1195" s="35">
        <f>VENTAS[[#This Row],[Total]]-VENTAS[[#This Row],[Comisión 10%]]-VENTAS[[#This Row],[Costo SIN Comision]]</f>
        <v>-4.5</v>
      </c>
      <c r="M1195" s="35"/>
    </row>
    <row r="1196" ht="20" customHeight="1" spans="1:13">
      <c r="A1196" s="29">
        <v>45509</v>
      </c>
      <c r="B1196" s="30"/>
      <c r="C1196" s="30"/>
      <c r="D1196" s="30" t="s">
        <v>3481</v>
      </c>
      <c r="E1196" s="30" t="s">
        <v>2573</v>
      </c>
      <c r="F1196" s="34" t="str">
        <f>IFERROR(VLOOKUP(VENTAS[[#This Row],[Código del producto Vendido]],STOCK[],5,FALSE),"-")</f>
        <v>Vestido Largo con cinturón fruncido</v>
      </c>
      <c r="G1196" s="34">
        <v>1</v>
      </c>
      <c r="H1196" s="35">
        <v>30</v>
      </c>
      <c r="I1196" s="35">
        <f>VENTAS[[#This Row],[Cantidad]]*VENTAS[[#This Row],[Precio Venta]]</f>
        <v>30</v>
      </c>
      <c r="J1196" s="35">
        <f>IF(VENTAS[[#This Row],[Nombre del Gestor]]&gt;1,VENTAS[[#This Row],[Total]]*10%,0)</f>
        <v>3</v>
      </c>
      <c r="K1196" s="35">
        <f>IFERROR(VLOOKUP(VENTAS[[#This Row],[Código del producto Vendido]],STOCK[],16,FALSE)*VENTAS[[#This Row],[Cantidad]]+VLOOKUP(VENTAS[[#This Row],[Código del producto Vendido]],STOCK[],19,FALSE)*VENTAS[[#This Row],[Cantidad]],VENTAS[[#This Row],[Total]])</f>
        <v>13.66</v>
      </c>
      <c r="L1196" s="35">
        <f>VENTAS[[#This Row],[Total]]-VENTAS[[#This Row],[Comisión 10%]]-VENTAS[[#This Row],[Costo SIN Comision]]</f>
        <v>13.34</v>
      </c>
      <c r="M1196" s="35"/>
    </row>
    <row r="1197" ht="20" customHeight="1" spans="1:13">
      <c r="A1197" s="29">
        <v>45510</v>
      </c>
      <c r="B1197" s="30"/>
      <c r="C1197" s="30" t="s">
        <v>3539</v>
      </c>
      <c r="D1197" s="30" t="s">
        <v>3481</v>
      </c>
      <c r="E1197" s="30" t="s">
        <v>2512</v>
      </c>
      <c r="F1197" s="34" t="str">
        <f>IFERROR(VLOOKUP(VENTAS[[#This Row],[Código del producto Vendido]],STOCK[],5,FALSE),"-")</f>
        <v>Bolso pequeño estilo old money</v>
      </c>
      <c r="G1197" s="34">
        <v>1</v>
      </c>
      <c r="H1197" s="35">
        <v>20</v>
      </c>
      <c r="I1197" s="35">
        <f>VENTAS[[#This Row],[Cantidad]]*VENTAS[[#This Row],[Precio Venta]]</f>
        <v>20</v>
      </c>
      <c r="J1197" s="35">
        <f>IF(VENTAS[[#This Row],[Nombre del Gestor]]&gt;1,VENTAS[[#This Row],[Total]]*10%,0)</f>
        <v>2</v>
      </c>
      <c r="K1197" s="35">
        <f>IFERROR(VLOOKUP(VENTAS[[#This Row],[Código del producto Vendido]],STOCK[],16,FALSE)*VENTAS[[#This Row],[Cantidad]]+VLOOKUP(VENTAS[[#This Row],[Código del producto Vendido]],STOCK[],19,FALSE)*VENTAS[[#This Row],[Cantidad]],VENTAS[[#This Row],[Total]])</f>
        <v>11.49</v>
      </c>
      <c r="L1197" s="35">
        <f>VENTAS[[#This Row],[Total]]-VENTAS[[#This Row],[Comisión 10%]]-VENTAS[[#This Row],[Costo SIN Comision]]</f>
        <v>6.51</v>
      </c>
      <c r="M1197" s="35"/>
    </row>
    <row r="1198" ht="20" customHeight="1" spans="1:13">
      <c r="A1198" s="29">
        <v>45511</v>
      </c>
      <c r="B1198" s="30"/>
      <c r="C1198" s="30" t="s">
        <v>3551</v>
      </c>
      <c r="D1198" s="30" t="s">
        <v>3481</v>
      </c>
      <c r="E1198" s="30" t="s">
        <v>1467</v>
      </c>
      <c r="F1198" s="34" t="str">
        <f>IFERROR(VLOOKUP(VENTAS[[#This Row],[Código del producto Vendido]],STOCK[],5,FALSE),"-")</f>
        <v>Sandalias de tacón triangular</v>
      </c>
      <c r="G1198" s="34">
        <v>1</v>
      </c>
      <c r="H1198" s="35">
        <v>35</v>
      </c>
      <c r="I1198" s="35">
        <f>VENTAS[[#This Row],[Cantidad]]*VENTAS[[#This Row],[Precio Venta]]</f>
        <v>35</v>
      </c>
      <c r="J1198" s="35">
        <f>IF(VENTAS[[#This Row],[Nombre del Gestor]]&gt;1,VENTAS[[#This Row],[Total]]*10%,0)</f>
        <v>3.5</v>
      </c>
      <c r="K1198" s="35">
        <f>IFERROR(VLOOKUP(VENTAS[[#This Row],[Código del producto Vendido]],STOCK[],16,FALSE)*VENTAS[[#This Row],[Cantidad]]+VLOOKUP(VENTAS[[#This Row],[Código del producto Vendido]],STOCK[],19,FALSE)*VENTAS[[#This Row],[Cantidad]],VENTAS[[#This Row],[Total]])</f>
        <v>24</v>
      </c>
      <c r="L1198" s="35">
        <f>VENTAS[[#This Row],[Total]]-VENTAS[[#This Row],[Comisión 10%]]-VENTAS[[#This Row],[Costo SIN Comision]]</f>
        <v>7.5</v>
      </c>
      <c r="M1198" s="35"/>
    </row>
    <row r="1199" ht="20" customHeight="1" spans="1:13">
      <c r="A1199" s="29">
        <v>45510</v>
      </c>
      <c r="B1199" s="30"/>
      <c r="C1199" s="30" t="s">
        <v>3552</v>
      </c>
      <c r="D1199" s="30" t="s">
        <v>3481</v>
      </c>
      <c r="E1199" s="30" t="s">
        <v>1053</v>
      </c>
      <c r="F1199" s="34" t="str">
        <f>IFERROR(VLOOKUP(VENTAS[[#This Row],[Código del producto Vendido]],STOCK[],5,FALSE),"-")</f>
        <v>Vestido en punto Rosa</v>
      </c>
      <c r="G1199" s="34">
        <v>1</v>
      </c>
      <c r="H1199" s="35">
        <v>25</v>
      </c>
      <c r="I1199" s="35">
        <f>VENTAS[[#This Row],[Cantidad]]*VENTAS[[#This Row],[Precio Venta]]</f>
        <v>25</v>
      </c>
      <c r="J1199" s="35">
        <f>IF(VENTAS[[#This Row],[Nombre del Gestor]]&gt;1,VENTAS[[#This Row],[Total]]*10%,0)</f>
        <v>2.5</v>
      </c>
      <c r="K1199" s="35">
        <f>IFERROR(VLOOKUP(VENTAS[[#This Row],[Código del producto Vendido]],STOCK[],16,FALSE)*VENTAS[[#This Row],[Cantidad]]+VLOOKUP(VENTAS[[#This Row],[Código del producto Vendido]],STOCK[],19,FALSE)*VENTAS[[#This Row],[Cantidad]],VENTAS[[#This Row],[Total]])</f>
        <v>21.4704545454545</v>
      </c>
      <c r="L1199" s="35">
        <f>VENTAS[[#This Row],[Total]]-VENTAS[[#This Row],[Comisión 10%]]-VENTAS[[#This Row],[Costo SIN Comision]]</f>
        <v>1.0295454545455</v>
      </c>
      <c r="M1199" s="35"/>
    </row>
    <row r="1200" ht="20" customHeight="1" spans="1:13">
      <c r="A1200" s="29">
        <v>45510</v>
      </c>
      <c r="B1200" s="30"/>
      <c r="C1200" s="30" t="s">
        <v>3553</v>
      </c>
      <c r="D1200" s="30" t="s">
        <v>3481</v>
      </c>
      <c r="E1200" s="30" t="s">
        <v>2639</v>
      </c>
      <c r="F1200" s="34" t="str">
        <f>IFERROR(VLOOKUP(VENTAS[[#This Row],[Código del producto Vendido]],STOCK[],5,FALSE),"-")</f>
        <v>Top de punto y cuello elegante negro H&amp;M</v>
      </c>
      <c r="G1200" s="34">
        <v>1</v>
      </c>
      <c r="H1200" s="35">
        <v>20</v>
      </c>
      <c r="I1200" s="35">
        <f>VENTAS[[#This Row],[Cantidad]]*VENTAS[[#This Row],[Precio Venta]]</f>
        <v>20</v>
      </c>
      <c r="J1200" s="35">
        <f>IF(VENTAS[[#This Row],[Nombre del Gestor]]&gt;1,VENTAS[[#This Row],[Total]]*10%,0)</f>
        <v>2</v>
      </c>
      <c r="K1200" s="35">
        <f>IFERROR(VLOOKUP(VENTAS[[#This Row],[Código del producto Vendido]],STOCK[],16,FALSE)*VENTAS[[#This Row],[Cantidad]]+VLOOKUP(VENTAS[[#This Row],[Código del producto Vendido]],STOCK[],19,FALSE)*VENTAS[[#This Row],[Cantidad]],VENTAS[[#This Row],[Total]])</f>
        <v>10.96</v>
      </c>
      <c r="L1200" s="35">
        <f>VENTAS[[#This Row],[Total]]-VENTAS[[#This Row],[Comisión 10%]]-VENTAS[[#This Row],[Costo SIN Comision]]</f>
        <v>7.04</v>
      </c>
      <c r="M1200" s="35"/>
    </row>
    <row r="1201" ht="20" customHeight="1" spans="1:13">
      <c r="A1201" s="29">
        <v>45510</v>
      </c>
      <c r="B1201" s="30"/>
      <c r="C1201" s="30" t="s">
        <v>3553</v>
      </c>
      <c r="D1201" s="30" t="s">
        <v>3481</v>
      </c>
      <c r="E1201" s="30" t="s">
        <v>2642</v>
      </c>
      <c r="F1201" s="34" t="str">
        <f>IFERROR(VLOOKUP(VENTAS[[#This Row],[Código del producto Vendido]],STOCK[],5,FALSE),"-")</f>
        <v>Top de punto y cuello elegante blanco H&amp;M</v>
      </c>
      <c r="G1201" s="34">
        <v>1</v>
      </c>
      <c r="H1201" s="35">
        <v>20</v>
      </c>
      <c r="I1201" s="35">
        <f>VENTAS[[#This Row],[Cantidad]]*VENTAS[[#This Row],[Precio Venta]]</f>
        <v>20</v>
      </c>
      <c r="J1201" s="35">
        <f>IF(VENTAS[[#This Row],[Nombre del Gestor]]&gt;1,VENTAS[[#This Row],[Total]]*10%,0)</f>
        <v>2</v>
      </c>
      <c r="K1201" s="35">
        <f>IFERROR(VLOOKUP(VENTAS[[#This Row],[Código del producto Vendido]],STOCK[],16,FALSE)*VENTAS[[#This Row],[Cantidad]]+VLOOKUP(VENTAS[[#This Row],[Código del producto Vendido]],STOCK[],19,FALSE)*VENTAS[[#This Row],[Cantidad]],VENTAS[[#This Row],[Total]])</f>
        <v>10.96</v>
      </c>
      <c r="L1201" s="35">
        <f>VENTAS[[#This Row],[Total]]-VENTAS[[#This Row],[Comisión 10%]]-VENTAS[[#This Row],[Costo SIN Comision]]</f>
        <v>7.04</v>
      </c>
      <c r="M1201" s="35"/>
    </row>
    <row r="1202" ht="20" customHeight="1" spans="1:13">
      <c r="A1202" s="29">
        <v>45511</v>
      </c>
      <c r="B1202" s="30"/>
      <c r="C1202" s="30" t="s">
        <v>3554</v>
      </c>
      <c r="D1202" s="30" t="s">
        <v>3481</v>
      </c>
      <c r="E1202" s="30" t="s">
        <v>1894</v>
      </c>
      <c r="F1202" s="34" t="str">
        <f>IFERROR(VLOOKUP(VENTAS[[#This Row],[Código del producto Vendido]],STOCK[],5,FALSE),"-")</f>
        <v>Set de bolso minimalista amarillo</v>
      </c>
      <c r="G1202" s="34">
        <v>1</v>
      </c>
      <c r="H1202" s="35">
        <v>20</v>
      </c>
      <c r="I1202" s="35">
        <f>VENTAS[[#This Row],[Cantidad]]*VENTAS[[#This Row],[Precio Venta]]</f>
        <v>20</v>
      </c>
      <c r="J1202" s="35">
        <f>IF(VENTAS[[#This Row],[Nombre del Gestor]]&gt;1,VENTAS[[#This Row],[Total]]*10%,0)</f>
        <v>2</v>
      </c>
      <c r="K1202" s="35">
        <f>IFERROR(VLOOKUP(VENTAS[[#This Row],[Código del producto Vendido]],STOCK[],16,FALSE)*VENTAS[[#This Row],[Cantidad]]+VLOOKUP(VENTAS[[#This Row],[Código del producto Vendido]],STOCK[],19,FALSE)*VENTAS[[#This Row],[Cantidad]],VENTAS[[#This Row],[Total]])</f>
        <v>12.75</v>
      </c>
      <c r="L1202" s="35">
        <f>VENTAS[[#This Row],[Total]]-VENTAS[[#This Row],[Comisión 10%]]-VENTAS[[#This Row],[Costo SIN Comision]]</f>
        <v>5.25</v>
      </c>
      <c r="M1202" s="35"/>
    </row>
    <row r="1203" ht="20" customHeight="1" spans="1:13">
      <c r="A1203" s="29">
        <v>45511</v>
      </c>
      <c r="B1203" s="30"/>
      <c r="C1203" s="30" t="s">
        <v>3554</v>
      </c>
      <c r="D1203" s="30" t="s">
        <v>3481</v>
      </c>
      <c r="E1203" s="30" t="s">
        <v>2496</v>
      </c>
      <c r="F1203" s="34" t="str">
        <f>IFERROR(VLOOKUP(VENTAS[[#This Row],[Código del producto Vendido]],STOCK[],5,FALSE),"-")</f>
        <v>Bolso tejido redondo de gran capidad </v>
      </c>
      <c r="G1203" s="34">
        <v>1</v>
      </c>
      <c r="H1203" s="35">
        <v>25</v>
      </c>
      <c r="I1203" s="35">
        <f>VENTAS[[#This Row],[Cantidad]]*VENTAS[[#This Row],[Precio Venta]]</f>
        <v>25</v>
      </c>
      <c r="J1203" s="35">
        <f>IF(VENTAS[[#This Row],[Nombre del Gestor]]&gt;1,VENTAS[[#This Row],[Total]]*10%,0)</f>
        <v>2.5</v>
      </c>
      <c r="K1203" s="35">
        <f>IFERROR(VLOOKUP(VENTAS[[#This Row],[Código del producto Vendido]],STOCK[],16,FALSE)*VENTAS[[#This Row],[Cantidad]]+VLOOKUP(VENTAS[[#This Row],[Código del producto Vendido]],STOCK[],19,FALSE)*VENTAS[[#This Row],[Cantidad]],VENTAS[[#This Row],[Total]])</f>
        <v>11.67</v>
      </c>
      <c r="L1203" s="35">
        <f>VENTAS[[#This Row],[Total]]-VENTAS[[#This Row],[Comisión 10%]]-VENTAS[[#This Row],[Costo SIN Comision]]</f>
        <v>10.83</v>
      </c>
      <c r="M1203" s="35"/>
    </row>
    <row r="1204" ht="20" customHeight="1" spans="1:13">
      <c r="A1204" s="29">
        <v>45511</v>
      </c>
      <c r="B1204" s="30"/>
      <c r="C1204" s="30" t="s">
        <v>3555</v>
      </c>
      <c r="D1204" s="30" t="s">
        <v>3481</v>
      </c>
      <c r="E1204" s="30" t="s">
        <v>2454</v>
      </c>
      <c r="F1204" s="34" t="str">
        <f>IFERROR(VLOOKUP(VENTAS[[#This Row],[Código del producto Vendido]],STOCK[],5,FALSE),"-")</f>
        <v>Sandalias prácticas Chunky Negras</v>
      </c>
      <c r="G1204" s="34">
        <v>1</v>
      </c>
      <c r="H1204" s="35">
        <v>35</v>
      </c>
      <c r="I1204" s="35">
        <f>VENTAS[[#This Row],[Cantidad]]*VENTAS[[#This Row],[Precio Venta]]</f>
        <v>35</v>
      </c>
      <c r="J1204" s="35">
        <f>IF(VENTAS[[#This Row],[Nombre del Gestor]]&gt;1,VENTAS[[#This Row],[Total]]*10%,0)</f>
        <v>3.5</v>
      </c>
      <c r="K1204" s="35">
        <f>IFERROR(VLOOKUP(VENTAS[[#This Row],[Código del producto Vendido]],STOCK[],16,FALSE)*VENTAS[[#This Row],[Cantidad]]+VLOOKUP(VENTAS[[#This Row],[Código del producto Vendido]],STOCK[],19,FALSE)*VENTAS[[#This Row],[Cantidad]],VENTAS[[#This Row],[Total]])</f>
        <v>21.97</v>
      </c>
      <c r="L1204" s="35">
        <f>VENTAS[[#This Row],[Total]]-VENTAS[[#This Row],[Comisión 10%]]-VENTAS[[#This Row],[Costo SIN Comision]]</f>
        <v>9.53</v>
      </c>
      <c r="M1204" s="35"/>
    </row>
    <row r="1205" ht="20" customHeight="1" spans="1:13">
      <c r="A1205" s="29">
        <v>45511</v>
      </c>
      <c r="B1205" s="30"/>
      <c r="C1205" s="30" t="s">
        <v>3556</v>
      </c>
      <c r="D1205" s="30" t="s">
        <v>3481</v>
      </c>
      <c r="E1205" s="30" t="s">
        <v>2590</v>
      </c>
      <c r="F1205" s="34" t="str">
        <f>IFERROR(VLOOKUP(VENTAS[[#This Row],[Código del producto Vendido]],STOCK[],5,FALSE),"-")</f>
        <v>Vestido crochet playero de tirantes</v>
      </c>
      <c r="G1205" s="34">
        <v>1</v>
      </c>
      <c r="H1205" s="35">
        <v>30</v>
      </c>
      <c r="I1205" s="35">
        <f>VENTAS[[#This Row],[Cantidad]]*VENTAS[[#This Row],[Precio Venta]]</f>
        <v>30</v>
      </c>
      <c r="J1205" s="35">
        <f>IF(VENTAS[[#This Row],[Nombre del Gestor]]&gt;1,VENTAS[[#This Row],[Total]]*10%,0)</f>
        <v>3</v>
      </c>
      <c r="K1205" s="35">
        <f>IFERROR(VLOOKUP(VENTAS[[#This Row],[Código del producto Vendido]],STOCK[],16,FALSE)*VENTAS[[#This Row],[Cantidad]]+VLOOKUP(VENTAS[[#This Row],[Código del producto Vendido]],STOCK[],19,FALSE)*VENTAS[[#This Row],[Cantidad]],VENTAS[[#This Row],[Total]])</f>
        <v>13.56</v>
      </c>
      <c r="L1205" s="35">
        <f>VENTAS[[#This Row],[Total]]-VENTAS[[#This Row],[Comisión 10%]]-VENTAS[[#This Row],[Costo SIN Comision]]</f>
        <v>13.44</v>
      </c>
      <c r="M1205" s="35"/>
    </row>
    <row r="1206" ht="20" customHeight="1" spans="1:13">
      <c r="A1206" s="29">
        <v>45512</v>
      </c>
      <c r="B1206" s="30"/>
      <c r="C1206" s="30" t="s">
        <v>3557</v>
      </c>
      <c r="D1206" s="30" t="s">
        <v>3481</v>
      </c>
      <c r="E1206" s="30" t="s">
        <v>2600</v>
      </c>
      <c r="F1206" s="34" t="str">
        <f>IFERROR(VLOOKUP(VENTAS[[#This Row],[Código del producto Vendido]],STOCK[],5,FALSE),"-")</f>
        <v>Conjunto falda y top</v>
      </c>
      <c r="G1206" s="34">
        <v>1</v>
      </c>
      <c r="H1206" s="35">
        <v>35</v>
      </c>
      <c r="I1206" s="35">
        <f>VENTAS[[#This Row],[Cantidad]]*VENTAS[[#This Row],[Precio Venta]]</f>
        <v>35</v>
      </c>
      <c r="J1206" s="35">
        <f>IF(VENTAS[[#This Row],[Nombre del Gestor]]&gt;1,VENTAS[[#This Row],[Total]]*10%,0)</f>
        <v>3.5</v>
      </c>
      <c r="K1206" s="35">
        <f>IFERROR(VLOOKUP(VENTAS[[#This Row],[Código del producto Vendido]],STOCK[],16,FALSE)*VENTAS[[#This Row],[Cantidad]]+VLOOKUP(VENTAS[[#This Row],[Código del producto Vendido]],STOCK[],19,FALSE)*VENTAS[[#This Row],[Cantidad]],VENTAS[[#This Row],[Total]])</f>
        <v>13.56</v>
      </c>
      <c r="L1206" s="35">
        <f>VENTAS[[#This Row],[Total]]-VENTAS[[#This Row],[Comisión 10%]]-VENTAS[[#This Row],[Costo SIN Comision]]</f>
        <v>17.94</v>
      </c>
      <c r="M1206" s="35"/>
    </row>
    <row r="1207" ht="20" customHeight="1" spans="1:13">
      <c r="A1207" s="29">
        <v>45517</v>
      </c>
      <c r="B1207" s="30"/>
      <c r="C1207" s="30" t="s">
        <v>3558</v>
      </c>
      <c r="D1207" s="30" t="s">
        <v>3481</v>
      </c>
      <c r="E1207" s="30" t="s">
        <v>2657</v>
      </c>
      <c r="F1207" s="34" t="str">
        <f>IFERROR(VLOOKUP(VENTAS[[#This Row],[Código del producto Vendido]],STOCK[],5,FALSE),"-")</f>
        <v>Pullover blanco de algodón PRIMARK</v>
      </c>
      <c r="G1207" s="34">
        <v>1</v>
      </c>
      <c r="H1207" s="35">
        <v>12</v>
      </c>
      <c r="I1207" s="35">
        <f>VENTAS[[#This Row],[Cantidad]]*VENTAS[[#This Row],[Precio Venta]]</f>
        <v>12</v>
      </c>
      <c r="J1207" s="35">
        <f>IF(VENTAS[[#This Row],[Nombre del Gestor]]&gt;1,VENTAS[[#This Row],[Total]]*10%,0)</f>
        <v>1.2</v>
      </c>
      <c r="K1207" s="35">
        <f>IFERROR(VLOOKUP(VENTAS[[#This Row],[Código del producto Vendido]],STOCK[],16,FALSE)*VENTAS[[#This Row],[Cantidad]]+VLOOKUP(VENTAS[[#This Row],[Código del producto Vendido]],STOCK[],19,FALSE)*VENTAS[[#This Row],[Cantidad]],VENTAS[[#This Row],[Total]])</f>
        <v>8.97</v>
      </c>
      <c r="L1207" s="35">
        <f>VENTAS[[#This Row],[Total]]-VENTAS[[#This Row],[Comisión 10%]]-VENTAS[[#This Row],[Costo SIN Comision]]</f>
        <v>1.83</v>
      </c>
      <c r="M1207" s="35"/>
    </row>
    <row r="1208" ht="20" customHeight="1" spans="1:13">
      <c r="A1208" s="29">
        <v>45517</v>
      </c>
      <c r="B1208" s="30"/>
      <c r="C1208" s="30" t="s">
        <v>3558</v>
      </c>
      <c r="D1208" s="30" t="s">
        <v>3481</v>
      </c>
      <c r="E1208" s="30" t="s">
        <v>2659</v>
      </c>
      <c r="F1208" s="34" t="str">
        <f>IFERROR(VLOOKUP(VENTAS[[#This Row],[Código del producto Vendido]],STOCK[],5,FALSE),"-")</f>
        <v>Pullover blanco de algodón PRIMARK</v>
      </c>
      <c r="G1208" s="34">
        <v>1</v>
      </c>
      <c r="H1208" s="35">
        <v>12</v>
      </c>
      <c r="I1208" s="35">
        <f>VENTAS[[#This Row],[Cantidad]]*VENTAS[[#This Row],[Precio Venta]]</f>
        <v>12</v>
      </c>
      <c r="J1208" s="35">
        <f>IF(VENTAS[[#This Row],[Nombre del Gestor]]&gt;1,VENTAS[[#This Row],[Total]]*10%,0)</f>
        <v>1.2</v>
      </c>
      <c r="K1208" s="35">
        <f>IFERROR(VLOOKUP(VENTAS[[#This Row],[Código del producto Vendido]],STOCK[],16,FALSE)*VENTAS[[#This Row],[Cantidad]]+VLOOKUP(VENTAS[[#This Row],[Código del producto Vendido]],STOCK[],19,FALSE)*VENTAS[[#This Row],[Cantidad]],VENTAS[[#This Row],[Total]])</f>
        <v>8.97</v>
      </c>
      <c r="L1208" s="35">
        <f>VENTAS[[#This Row],[Total]]-VENTAS[[#This Row],[Comisión 10%]]-VENTAS[[#This Row],[Costo SIN Comision]]</f>
        <v>1.83</v>
      </c>
      <c r="M1208" s="35"/>
    </row>
    <row r="1209" ht="20" customHeight="1" spans="1:13">
      <c r="A1209" s="29">
        <v>45517</v>
      </c>
      <c r="B1209" s="30"/>
      <c r="C1209" s="30" t="s">
        <v>3559</v>
      </c>
      <c r="D1209" s="30" t="s">
        <v>3481</v>
      </c>
      <c r="E1209" s="30" t="s">
        <v>2588</v>
      </c>
      <c r="F1209" s="34" t="str">
        <f>IFERROR(VLOOKUP(VENTAS[[#This Row],[Código del producto Vendido]],STOCK[],5,FALSE),"-")</f>
        <v>Vestido crochet Playero espalda descubierta</v>
      </c>
      <c r="G1209" s="34">
        <v>1</v>
      </c>
      <c r="H1209" s="35">
        <v>30</v>
      </c>
      <c r="I1209" s="35">
        <f>VENTAS[[#This Row],[Cantidad]]*VENTAS[[#This Row],[Precio Venta]]</f>
        <v>30</v>
      </c>
      <c r="J1209" s="35">
        <f>IF(VENTAS[[#This Row],[Nombre del Gestor]]&gt;1,VENTAS[[#This Row],[Total]]*10%,0)</f>
        <v>3</v>
      </c>
      <c r="K1209" s="35">
        <f>IFERROR(VLOOKUP(VENTAS[[#This Row],[Código del producto Vendido]],STOCK[],16,FALSE)*VENTAS[[#This Row],[Cantidad]]+VLOOKUP(VENTAS[[#This Row],[Código del producto Vendido]],STOCK[],19,FALSE)*VENTAS[[#This Row],[Cantidad]],VENTAS[[#This Row],[Total]])</f>
        <v>14.02</v>
      </c>
      <c r="L1209" s="35">
        <f>VENTAS[[#This Row],[Total]]-VENTAS[[#This Row],[Comisión 10%]]-VENTAS[[#This Row],[Costo SIN Comision]]</f>
        <v>12.98</v>
      </c>
      <c r="M1209" s="35"/>
    </row>
    <row r="1210" ht="20" customHeight="1" spans="1:13">
      <c r="A1210" s="29">
        <v>45517</v>
      </c>
      <c r="B1210" s="30"/>
      <c r="C1210" s="30" t="s">
        <v>3559</v>
      </c>
      <c r="D1210" s="30" t="s">
        <v>3481</v>
      </c>
      <c r="E1210" s="30" t="s">
        <v>2104</v>
      </c>
      <c r="F1210" s="34" t="str">
        <f>IFERROR(VLOOKUP(VENTAS[[#This Row],[Código del producto Vendido]],STOCK[],5,FALSE),"-")</f>
        <v>Fashion TOTE bag tamaño de gran capacidad</v>
      </c>
      <c r="G1210" s="34">
        <v>1</v>
      </c>
      <c r="H1210" s="35">
        <v>18</v>
      </c>
      <c r="I1210" s="35">
        <f>VENTAS[[#This Row],[Cantidad]]*VENTAS[[#This Row],[Precio Venta]]</f>
        <v>18</v>
      </c>
      <c r="J1210" s="35">
        <f>IF(VENTAS[[#This Row],[Nombre del Gestor]]&gt;1,VENTAS[[#This Row],[Total]]*10%,0)</f>
        <v>1.8</v>
      </c>
      <c r="K1210" s="35">
        <f>IFERROR(VLOOKUP(VENTAS[[#This Row],[Código del producto Vendido]],STOCK[],16,FALSE)*VENTAS[[#This Row],[Cantidad]]+VLOOKUP(VENTAS[[#This Row],[Código del producto Vendido]],STOCK[],19,FALSE)*VENTAS[[#This Row],[Cantidad]],VENTAS[[#This Row],[Total]])</f>
        <v>7.59</v>
      </c>
      <c r="L1210" s="35">
        <f>VENTAS[[#This Row],[Total]]-VENTAS[[#This Row],[Comisión 10%]]-VENTAS[[#This Row],[Costo SIN Comision]]</f>
        <v>8.61</v>
      </c>
      <c r="M1210" s="35"/>
    </row>
    <row r="1211" ht="20" customHeight="1" spans="1:13">
      <c r="A1211" s="29">
        <v>45520</v>
      </c>
      <c r="B1211" s="30"/>
      <c r="C1211" s="30" t="s">
        <v>3560</v>
      </c>
      <c r="D1211" s="30" t="s">
        <v>3481</v>
      </c>
      <c r="E1211" s="30" t="s">
        <v>2484</v>
      </c>
      <c r="F1211" s="34" t="str">
        <f>IFERROR(VLOOKUP(VENTAS[[#This Row],[Código del producto Vendido]],STOCK[],5,FALSE),"-")</f>
        <v>Sandalias prácticas chunky blanco crema</v>
      </c>
      <c r="G1211" s="34">
        <v>1</v>
      </c>
      <c r="H1211" s="35">
        <v>35</v>
      </c>
      <c r="I1211" s="35">
        <f>VENTAS[[#This Row],[Cantidad]]*VENTAS[[#This Row],[Precio Venta]]</f>
        <v>35</v>
      </c>
      <c r="J1211" s="35">
        <f>IF(VENTAS[[#This Row],[Nombre del Gestor]]&gt;1,VENTAS[[#This Row],[Total]]*10%,0)</f>
        <v>3.5</v>
      </c>
      <c r="K1211" s="35">
        <f>IFERROR(VLOOKUP(VENTAS[[#This Row],[Código del producto Vendido]],STOCK[],16,FALSE)*VENTAS[[#This Row],[Cantidad]]+VLOOKUP(VENTAS[[#This Row],[Código del producto Vendido]],STOCK[],19,FALSE)*VENTAS[[#This Row],[Cantidad]],VENTAS[[#This Row],[Total]])</f>
        <v>24.2174</v>
      </c>
      <c r="L1211" s="35">
        <f>VENTAS[[#This Row],[Total]]-VENTAS[[#This Row],[Comisión 10%]]-VENTAS[[#This Row],[Costo SIN Comision]]</f>
        <v>7.2826</v>
      </c>
      <c r="M1211" s="35"/>
    </row>
    <row r="1212" ht="20" customHeight="1" spans="1:13">
      <c r="A1212" s="29">
        <v>45523</v>
      </c>
      <c r="B1212" s="30"/>
      <c r="C1212" s="30" t="s">
        <v>3561</v>
      </c>
      <c r="D1212" s="30" t="s">
        <v>3481</v>
      </c>
      <c r="E1212" s="30" t="s">
        <v>2456</v>
      </c>
      <c r="F1212" s="34" t="str">
        <f>IFERROR(VLOOKUP(VENTAS[[#This Row],[Código del producto Vendido]],STOCK[],5,FALSE),"-")</f>
        <v>Sandalias prácticas Chunky Negras</v>
      </c>
      <c r="G1212" s="34">
        <v>1</v>
      </c>
      <c r="H1212" s="35">
        <v>35</v>
      </c>
      <c r="I1212" s="35">
        <f>VENTAS[[#This Row],[Cantidad]]*VENTAS[[#This Row],[Precio Venta]]</f>
        <v>35</v>
      </c>
      <c r="J1212" s="35">
        <f>IF(VENTAS[[#This Row],[Nombre del Gestor]]&gt;1,VENTAS[[#This Row],[Total]]*10%,0)</f>
        <v>3.5</v>
      </c>
      <c r="K1212" s="35">
        <f>IFERROR(VLOOKUP(VENTAS[[#This Row],[Código del producto Vendido]],STOCK[],16,FALSE)*VENTAS[[#This Row],[Cantidad]]+VLOOKUP(VENTAS[[#This Row],[Código del producto Vendido]],STOCK[],19,FALSE)*VENTAS[[#This Row],[Cantidad]],VENTAS[[#This Row],[Total]])</f>
        <v>21.97</v>
      </c>
      <c r="L1212" s="35">
        <f>VENTAS[[#This Row],[Total]]-VENTAS[[#This Row],[Comisión 10%]]-VENTAS[[#This Row],[Costo SIN Comision]]</f>
        <v>9.53</v>
      </c>
      <c r="M1212" s="35"/>
    </row>
    <row r="1213" ht="20" customHeight="1" spans="1:13">
      <c r="A1213" s="29">
        <v>45526</v>
      </c>
      <c r="B1213" s="30"/>
      <c r="C1213" s="30" t="s">
        <v>3562</v>
      </c>
      <c r="D1213" s="30" t="s">
        <v>3481</v>
      </c>
      <c r="E1213" s="30" t="s">
        <v>1847</v>
      </c>
      <c r="F1213" s="34" t="str">
        <f>IFERROR(VLOOKUP(VENTAS[[#This Row],[Código del producto Vendido]],STOCK[],5,FALSE),"-")</f>
        <v>Crossbody Bag </v>
      </c>
      <c r="G1213" s="34">
        <v>1</v>
      </c>
      <c r="H1213" s="35">
        <v>18</v>
      </c>
      <c r="I1213" s="35">
        <f>VENTAS[[#This Row],[Cantidad]]*VENTAS[[#This Row],[Precio Venta]]</f>
        <v>18</v>
      </c>
      <c r="J1213" s="35">
        <f>IF(VENTAS[[#This Row],[Nombre del Gestor]]&gt;1,VENTAS[[#This Row],[Total]]*10%,0)</f>
        <v>1.8</v>
      </c>
      <c r="K1213" s="35">
        <f>IFERROR(VLOOKUP(VENTAS[[#This Row],[Código del producto Vendido]],STOCK[],16,FALSE)*VENTAS[[#This Row],[Cantidad]]+VLOOKUP(VENTAS[[#This Row],[Código del producto Vendido]],STOCK[],19,FALSE)*VENTAS[[#This Row],[Cantidad]],VENTAS[[#This Row],[Total]])</f>
        <v>10.79</v>
      </c>
      <c r="L1213" s="35">
        <f>VENTAS[[#This Row],[Total]]-VENTAS[[#This Row],[Comisión 10%]]-VENTAS[[#This Row],[Costo SIN Comision]]</f>
        <v>5.41</v>
      </c>
      <c r="M1213" s="35"/>
    </row>
    <row r="1214" ht="20" customHeight="1" spans="1:13">
      <c r="A1214" s="29">
        <v>45526</v>
      </c>
      <c r="B1214" s="30"/>
      <c r="C1214" s="30" t="s">
        <v>3563</v>
      </c>
      <c r="D1214" s="30" t="s">
        <v>3481</v>
      </c>
      <c r="E1214" s="30" t="s">
        <v>1851</v>
      </c>
      <c r="F1214" s="34" t="str">
        <f>IFERROR(VLOOKUP(VENTAS[[#This Row],[Código del producto Vendido]],STOCK[],5,FALSE),"-")</f>
        <v>Crossbody Bag Negro Lacado</v>
      </c>
      <c r="G1214" s="34">
        <v>1</v>
      </c>
      <c r="H1214" s="35">
        <v>20</v>
      </c>
      <c r="I1214" s="35">
        <f>VENTAS[[#This Row],[Cantidad]]*VENTAS[[#This Row],[Precio Venta]]</f>
        <v>20</v>
      </c>
      <c r="J1214" s="35">
        <f>IF(VENTAS[[#This Row],[Nombre del Gestor]]&gt;1,VENTAS[[#This Row],[Total]]*10%,0)</f>
        <v>2</v>
      </c>
      <c r="K1214" s="35">
        <f>IFERROR(VLOOKUP(VENTAS[[#This Row],[Código del producto Vendido]],STOCK[],16,FALSE)*VENTAS[[#This Row],[Cantidad]]+VLOOKUP(VENTAS[[#This Row],[Código del producto Vendido]],STOCK[],19,FALSE)*VENTAS[[#This Row],[Cantidad]],VENTAS[[#This Row],[Total]])</f>
        <v>10.79</v>
      </c>
      <c r="L1214" s="35">
        <f>VENTAS[[#This Row],[Total]]-VENTAS[[#This Row],[Comisión 10%]]-VENTAS[[#This Row],[Costo SIN Comision]]</f>
        <v>7.21</v>
      </c>
      <c r="M1214" s="35"/>
    </row>
    <row r="1215" ht="20" customHeight="1" spans="1:13">
      <c r="A1215" s="29">
        <v>45527</v>
      </c>
      <c r="B1215" s="30"/>
      <c r="C1215" s="30" t="s">
        <v>3564</v>
      </c>
      <c r="D1215" s="30" t="s">
        <v>3481</v>
      </c>
      <c r="E1215" s="30" t="s">
        <v>2674</v>
      </c>
      <c r="F1215" s="34" t="str">
        <f>IFERROR(VLOOKUP(VENTAS[[#This Row],[Código del producto Vendido]],STOCK[],5,FALSE),"-")</f>
        <v>Traje de baño clásico en bloque de color de talle alto</v>
      </c>
      <c r="G1215" s="34">
        <v>1</v>
      </c>
      <c r="H1215" s="35">
        <v>28</v>
      </c>
      <c r="I1215" s="35">
        <f>VENTAS[[#This Row],[Cantidad]]*VENTAS[[#This Row],[Precio Venta]]</f>
        <v>28</v>
      </c>
      <c r="J1215" s="35">
        <f>IF(VENTAS[[#This Row],[Nombre del Gestor]]&gt;1,VENTAS[[#This Row],[Total]]*10%,0)</f>
        <v>2.8</v>
      </c>
      <c r="K1215" s="35">
        <f>IFERROR(VLOOKUP(VENTAS[[#This Row],[Código del producto Vendido]],STOCK[],16,FALSE)*VENTAS[[#This Row],[Cantidad]]+VLOOKUP(VENTAS[[#This Row],[Código del producto Vendido]],STOCK[],19,FALSE)*VENTAS[[#This Row],[Cantidad]],VENTAS[[#This Row],[Total]])</f>
        <v>10.4</v>
      </c>
      <c r="L1215" s="35">
        <f>VENTAS[[#This Row],[Total]]-VENTAS[[#This Row],[Comisión 10%]]-VENTAS[[#This Row],[Costo SIN Comision]]</f>
        <v>14.8</v>
      </c>
      <c r="M1215" s="35"/>
    </row>
    <row r="1216" ht="20" customHeight="1" spans="1:13">
      <c r="A1216" s="29">
        <v>45518</v>
      </c>
      <c r="B1216" s="30"/>
      <c r="C1216" s="30" t="s">
        <v>3565</v>
      </c>
      <c r="D1216" s="30" t="s">
        <v>3481</v>
      </c>
      <c r="E1216" s="30" t="s">
        <v>2598</v>
      </c>
      <c r="F1216" s="34" t="str">
        <f>IFERROR(VLOOKUP(VENTAS[[#This Row],[Código del producto Vendido]],STOCK[],5,FALSE),"-")</f>
        <v>Bolso verano de rafia en bloque de color</v>
      </c>
      <c r="G1216" s="34">
        <v>1</v>
      </c>
      <c r="H1216" s="35">
        <v>20</v>
      </c>
      <c r="I1216" s="35">
        <f>VENTAS[[#This Row],[Cantidad]]*VENTAS[[#This Row],[Precio Venta]]</f>
        <v>20</v>
      </c>
      <c r="J1216" s="35">
        <f>IF(VENTAS[[#This Row],[Nombre del Gestor]]&gt;1,VENTAS[[#This Row],[Total]]*10%,0)</f>
        <v>2</v>
      </c>
      <c r="K1216" s="35">
        <f>IFERROR(VLOOKUP(VENTAS[[#This Row],[Código del producto Vendido]],STOCK[],16,FALSE)*VENTAS[[#This Row],[Cantidad]]+VLOOKUP(VENTAS[[#This Row],[Código del producto Vendido]],STOCK[],19,FALSE)*VENTAS[[#This Row],[Cantidad]],VENTAS[[#This Row],[Total]])</f>
        <v>5.96</v>
      </c>
      <c r="L1216" s="35">
        <f>VENTAS[[#This Row],[Total]]-VENTAS[[#This Row],[Comisión 10%]]-VENTAS[[#This Row],[Costo SIN Comision]]</f>
        <v>12.04</v>
      </c>
      <c r="M1216" s="35"/>
    </row>
    <row r="1217" ht="20" customHeight="1" spans="1:13">
      <c r="A1217" s="29">
        <v>45518</v>
      </c>
      <c r="B1217" s="30"/>
      <c r="C1217" s="30" t="s">
        <v>3565</v>
      </c>
      <c r="D1217" s="30" t="s">
        <v>3481</v>
      </c>
      <c r="E1217" s="30" t="s">
        <v>2585</v>
      </c>
      <c r="F1217" s="34" t="str">
        <f>IFERROR(VLOOKUP(VENTAS[[#This Row],[Código del producto Vendido]],STOCK[],5,FALSE),"-")</f>
        <v>Vestido blanco espalda cruzada</v>
      </c>
      <c r="G1217" s="34">
        <v>1</v>
      </c>
      <c r="H1217" s="35">
        <v>30</v>
      </c>
      <c r="I1217" s="35">
        <f>VENTAS[[#This Row],[Cantidad]]*VENTAS[[#This Row],[Precio Venta]]</f>
        <v>30</v>
      </c>
      <c r="J1217" s="35">
        <f>IF(VENTAS[[#This Row],[Nombre del Gestor]]&gt;1,VENTAS[[#This Row],[Total]]*10%,0)</f>
        <v>3</v>
      </c>
      <c r="K1217" s="35">
        <f>IFERROR(VLOOKUP(VENTAS[[#This Row],[Código del producto Vendido]],STOCK[],16,FALSE)*VENTAS[[#This Row],[Cantidad]]+VLOOKUP(VENTAS[[#This Row],[Código del producto Vendido]],STOCK[],19,FALSE)*VENTAS[[#This Row],[Cantidad]],VENTAS[[#This Row],[Total]])</f>
        <v>15.44</v>
      </c>
      <c r="L1217" s="35">
        <f>VENTAS[[#This Row],[Total]]-VENTAS[[#This Row],[Comisión 10%]]-VENTAS[[#This Row],[Costo SIN Comision]]</f>
        <v>11.56</v>
      </c>
      <c r="M1217" s="35"/>
    </row>
    <row r="1218" ht="20" customHeight="1" spans="1:13">
      <c r="A1218" s="29">
        <v>45518</v>
      </c>
      <c r="B1218" s="30"/>
      <c r="C1218" s="30" t="s">
        <v>3565</v>
      </c>
      <c r="D1218" s="30" t="s">
        <v>3481</v>
      </c>
      <c r="E1218" s="30" t="s">
        <v>2582</v>
      </c>
      <c r="F1218" s="34" t="str">
        <f>IFERROR(VLOOKUP(VENTAS[[#This Row],[Código del producto Vendido]],STOCK[],5,FALSE),"-")</f>
        <v>Vestido negro espalda cruzada</v>
      </c>
      <c r="G1218" s="34">
        <v>1</v>
      </c>
      <c r="H1218" s="35">
        <v>30</v>
      </c>
      <c r="I1218" s="35">
        <f>VENTAS[[#This Row],[Cantidad]]*VENTAS[[#This Row],[Precio Venta]]</f>
        <v>30</v>
      </c>
      <c r="J1218" s="35">
        <f>IF(VENTAS[[#This Row],[Nombre del Gestor]]&gt;1,VENTAS[[#This Row],[Total]]*10%,0)</f>
        <v>3</v>
      </c>
      <c r="K1218" s="35">
        <f>IFERROR(VLOOKUP(VENTAS[[#This Row],[Código del producto Vendido]],STOCK[],16,FALSE)*VENTAS[[#This Row],[Cantidad]]+VLOOKUP(VENTAS[[#This Row],[Código del producto Vendido]],STOCK[],19,FALSE)*VENTAS[[#This Row],[Cantidad]],VENTAS[[#This Row],[Total]])</f>
        <v>15.44</v>
      </c>
      <c r="L1218" s="35">
        <f>VENTAS[[#This Row],[Total]]-VENTAS[[#This Row],[Comisión 10%]]-VENTAS[[#This Row],[Costo SIN Comision]]</f>
        <v>11.56</v>
      </c>
      <c r="M1218" s="35"/>
    </row>
    <row r="1219" ht="20" customHeight="1" spans="1:13">
      <c r="A1219" s="29">
        <v>45518</v>
      </c>
      <c r="B1219" s="30"/>
      <c r="C1219" s="30" t="s">
        <v>3565</v>
      </c>
      <c r="D1219" s="30" t="s">
        <v>3481</v>
      </c>
      <c r="E1219" s="30" t="s">
        <v>2314</v>
      </c>
      <c r="F1219" s="34" t="str">
        <f>IFERROR(VLOOKUP(VENTAS[[#This Row],[Código del producto Vendido]],STOCK[],5,FALSE),"-")</f>
        <v>Vestido color block  bohemio</v>
      </c>
      <c r="G1219" s="34">
        <v>1</v>
      </c>
      <c r="H1219" s="35">
        <v>30</v>
      </c>
      <c r="I1219" s="35">
        <f>VENTAS[[#This Row],[Cantidad]]*VENTAS[[#This Row],[Precio Venta]]</f>
        <v>30</v>
      </c>
      <c r="J1219" s="35">
        <f>IF(VENTAS[[#This Row],[Nombre del Gestor]]&gt;1,VENTAS[[#This Row],[Total]]*10%,0)</f>
        <v>3</v>
      </c>
      <c r="K1219" s="35">
        <f>IFERROR(VLOOKUP(VENTAS[[#This Row],[Código del producto Vendido]],STOCK[],16,FALSE)*VENTAS[[#This Row],[Cantidad]]+VLOOKUP(VENTAS[[#This Row],[Código del producto Vendido]],STOCK[],19,FALSE)*VENTAS[[#This Row],[Cantidad]],VENTAS[[#This Row],[Total]])</f>
        <v>14.684375</v>
      </c>
      <c r="L1219" s="35">
        <f>VENTAS[[#This Row],[Total]]-VENTAS[[#This Row],[Comisión 10%]]-VENTAS[[#This Row],[Costo SIN Comision]]</f>
        <v>12.315625</v>
      </c>
      <c r="M1219" s="35"/>
    </row>
    <row r="1220" ht="20" customHeight="1" spans="1:13">
      <c r="A1220" s="29">
        <v>45518</v>
      </c>
      <c r="B1220" s="30"/>
      <c r="C1220" s="30" t="s">
        <v>3565</v>
      </c>
      <c r="D1220" s="30" t="s">
        <v>3481</v>
      </c>
      <c r="E1220" s="30" t="s">
        <v>2456</v>
      </c>
      <c r="F1220" s="34" t="str">
        <f>IFERROR(VLOOKUP(VENTAS[[#This Row],[Código del producto Vendido]],STOCK[],5,FALSE),"-")</f>
        <v>Sandalias prácticas Chunky Negras</v>
      </c>
      <c r="G1220" s="34">
        <v>1</v>
      </c>
      <c r="H1220" s="35">
        <v>35</v>
      </c>
      <c r="I1220" s="35">
        <f>VENTAS[[#This Row],[Cantidad]]*VENTAS[[#This Row],[Precio Venta]]</f>
        <v>35</v>
      </c>
      <c r="J1220" s="35">
        <f>IF(VENTAS[[#This Row],[Nombre del Gestor]]&gt;1,VENTAS[[#This Row],[Total]]*10%,0)</f>
        <v>3.5</v>
      </c>
      <c r="K1220" s="35">
        <f>IFERROR(VLOOKUP(VENTAS[[#This Row],[Código del producto Vendido]],STOCK[],16,FALSE)*VENTAS[[#This Row],[Cantidad]]+VLOOKUP(VENTAS[[#This Row],[Código del producto Vendido]],STOCK[],19,FALSE)*VENTAS[[#This Row],[Cantidad]],VENTAS[[#This Row],[Total]])</f>
        <v>21.97</v>
      </c>
      <c r="L1220" s="35">
        <f>VENTAS[[#This Row],[Total]]-VENTAS[[#This Row],[Comisión 10%]]-VENTAS[[#This Row],[Costo SIN Comision]]</f>
        <v>9.53</v>
      </c>
      <c r="M1220" s="35"/>
    </row>
    <row r="1221" ht="20" customHeight="1" spans="1:13">
      <c r="A1221" s="29">
        <v>45518</v>
      </c>
      <c r="B1221" s="30"/>
      <c r="C1221" s="30" t="s">
        <v>3565</v>
      </c>
      <c r="D1221" s="30" t="s">
        <v>3481</v>
      </c>
      <c r="E1221" s="30" t="s">
        <v>2638</v>
      </c>
      <c r="F1221" s="34" t="str">
        <f>IFERROR(VLOOKUP(VENTAS[[#This Row],[Código del producto Vendido]],STOCK[],5,FALSE),"-")</f>
        <v>Top de punto y cuello elegante negro H&amp;M</v>
      </c>
      <c r="G1221" s="34">
        <v>1</v>
      </c>
      <c r="H1221" s="35">
        <v>20</v>
      </c>
      <c r="I1221" s="35">
        <f>VENTAS[[#This Row],[Cantidad]]*VENTAS[[#This Row],[Precio Venta]]</f>
        <v>20</v>
      </c>
      <c r="J1221" s="35">
        <f>IF(VENTAS[[#This Row],[Nombre del Gestor]]&gt;1,VENTAS[[#This Row],[Total]]*10%,0)</f>
        <v>2</v>
      </c>
      <c r="K1221" s="35">
        <f>IFERROR(VLOOKUP(VENTAS[[#This Row],[Código del producto Vendido]],STOCK[],16,FALSE)*VENTAS[[#This Row],[Cantidad]]+VLOOKUP(VENTAS[[#This Row],[Código del producto Vendido]],STOCK[],19,FALSE)*VENTAS[[#This Row],[Cantidad]],VENTAS[[#This Row],[Total]])</f>
        <v>10.96</v>
      </c>
      <c r="L1221" s="35">
        <f>VENTAS[[#This Row],[Total]]-VENTAS[[#This Row],[Comisión 10%]]-VENTAS[[#This Row],[Costo SIN Comision]]</f>
        <v>7.04</v>
      </c>
      <c r="M1221" s="35"/>
    </row>
    <row r="1222" ht="20" customHeight="1" spans="1:13">
      <c r="A1222" s="29">
        <v>45518</v>
      </c>
      <c r="B1222" s="30"/>
      <c r="C1222" s="30" t="s">
        <v>3565</v>
      </c>
      <c r="D1222" s="30" t="s">
        <v>3481</v>
      </c>
      <c r="E1222" s="30" t="s">
        <v>2640</v>
      </c>
      <c r="F1222" s="34" t="str">
        <f>IFERROR(VLOOKUP(VENTAS[[#This Row],[Código del producto Vendido]],STOCK[],5,FALSE),"-")</f>
        <v>Top de punto y cuello elegante blanco H&amp;M</v>
      </c>
      <c r="G1222" s="34">
        <v>1</v>
      </c>
      <c r="H1222" s="35">
        <v>20</v>
      </c>
      <c r="I1222" s="35">
        <f>VENTAS[[#This Row],[Cantidad]]*VENTAS[[#This Row],[Precio Venta]]</f>
        <v>20</v>
      </c>
      <c r="J1222" s="35">
        <f>IF(VENTAS[[#This Row],[Nombre del Gestor]]&gt;1,VENTAS[[#This Row],[Total]]*10%,0)</f>
        <v>2</v>
      </c>
      <c r="K1222" s="35">
        <f>IFERROR(VLOOKUP(VENTAS[[#This Row],[Código del producto Vendido]],STOCK[],16,FALSE)*VENTAS[[#This Row],[Cantidad]]+VLOOKUP(VENTAS[[#This Row],[Código del producto Vendido]],STOCK[],19,FALSE)*VENTAS[[#This Row],[Cantidad]],VENTAS[[#This Row],[Total]])</f>
        <v>10.96</v>
      </c>
      <c r="L1222" s="35">
        <f>VENTAS[[#This Row],[Total]]-VENTAS[[#This Row],[Comisión 10%]]-VENTAS[[#This Row],[Costo SIN Comision]]</f>
        <v>7.04</v>
      </c>
      <c r="M1222" s="35"/>
    </row>
    <row r="1223" ht="20" customHeight="1" spans="1:13">
      <c r="A1223" s="29">
        <v>45518</v>
      </c>
      <c r="B1223" s="30"/>
      <c r="C1223" s="30" t="s">
        <v>3566</v>
      </c>
      <c r="D1223" s="30"/>
      <c r="E1223" s="30" t="s">
        <v>2642</v>
      </c>
      <c r="F1223" s="34" t="str">
        <f>IFERROR(VLOOKUP(VENTAS[[#This Row],[Código del producto Vendido]],STOCK[],5,FALSE),"-")</f>
        <v>Top de punto y cuello elegante blanco H&amp;M</v>
      </c>
      <c r="G1223" s="34">
        <v>1</v>
      </c>
      <c r="H1223" s="35">
        <v>0</v>
      </c>
      <c r="I1223" s="35">
        <f>VENTAS[[#This Row],[Cantidad]]*VENTAS[[#This Row],[Precio Venta]]</f>
        <v>0</v>
      </c>
      <c r="J1223" s="35">
        <f>IF(VENTAS[[#This Row],[Nombre del Gestor]]&gt;1,VENTAS[[#This Row],[Total]]*10%,0)</f>
        <v>0</v>
      </c>
      <c r="K1223" s="35">
        <f>IFERROR(VLOOKUP(VENTAS[[#This Row],[Código del producto Vendido]],STOCK[],16,FALSE)*VENTAS[[#This Row],[Cantidad]]+VLOOKUP(VENTAS[[#This Row],[Código del producto Vendido]],STOCK[],19,FALSE)*VENTAS[[#This Row],[Cantidad]],VENTAS[[#This Row],[Total]])</f>
        <v>10.96</v>
      </c>
      <c r="L1223" s="35">
        <f>VENTAS[[#This Row],[Total]]-VENTAS[[#This Row],[Comisión 10%]]-VENTAS[[#This Row],[Costo SIN Comision]]</f>
        <v>-10.96</v>
      </c>
      <c r="M1223" s="35"/>
    </row>
    <row r="1224" ht="20" customHeight="1" spans="1:13">
      <c r="A1224" s="29">
        <v>45512</v>
      </c>
      <c r="B1224" s="30"/>
      <c r="C1224" s="30" t="s">
        <v>3567</v>
      </c>
      <c r="D1224" s="30" t="s">
        <v>3540</v>
      </c>
      <c r="E1224" s="30" t="s">
        <v>2460</v>
      </c>
      <c r="F1224" s="34" t="str">
        <f>IFERROR(VLOOKUP(VENTAS[[#This Row],[Código del producto Vendido]],STOCK[],5,FALSE),"-")</f>
        <v>Sandalias de plataforma en bloque de color</v>
      </c>
      <c r="G1224" s="34">
        <v>1</v>
      </c>
      <c r="H1224" s="35">
        <v>35</v>
      </c>
      <c r="I1224" s="35">
        <f>VENTAS[[#This Row],[Cantidad]]*VENTAS[[#This Row],[Precio Venta]]</f>
        <v>35</v>
      </c>
      <c r="J1224" s="35">
        <f>IF(VENTAS[[#This Row],[Nombre del Gestor]]&gt;1,VENTAS[[#This Row],[Total]]*10%,0)</f>
        <v>3.5</v>
      </c>
      <c r="K1224" s="35">
        <f>IFERROR(VLOOKUP(VENTAS[[#This Row],[Código del producto Vendido]],STOCK[],16,FALSE)*VENTAS[[#This Row],[Cantidad]]+VLOOKUP(VENTAS[[#This Row],[Código del producto Vendido]],STOCK[],19,FALSE)*VENTAS[[#This Row],[Cantidad]],VENTAS[[#This Row],[Total]])</f>
        <v>21.97</v>
      </c>
      <c r="L1224" s="35">
        <f>VENTAS[[#This Row],[Total]]-VENTAS[[#This Row],[Comisión 10%]]-VENTAS[[#This Row],[Costo SIN Comision]]</f>
        <v>9.53</v>
      </c>
      <c r="M1224" s="35"/>
    </row>
    <row r="1225" ht="20" customHeight="1" spans="1:13">
      <c r="A1225" s="29">
        <v>45518</v>
      </c>
      <c r="B1225" s="30"/>
      <c r="C1225" s="30" t="s">
        <v>3560</v>
      </c>
      <c r="D1225" s="30" t="s">
        <v>3540</v>
      </c>
      <c r="E1225" s="30" t="s">
        <v>2498</v>
      </c>
      <c r="F1225" s="34" t="str">
        <f>IFERROR(VLOOKUP(VENTAS[[#This Row],[Código del producto Vendido]],STOCK[],5,FALSE),"-")</f>
        <v>Bolso de playa con diseño de rayas tamaño mediano</v>
      </c>
      <c r="G1225" s="34">
        <v>1</v>
      </c>
      <c r="H1225" s="35">
        <v>22</v>
      </c>
      <c r="I1225" s="35">
        <f>VENTAS[[#This Row],[Cantidad]]*VENTAS[[#This Row],[Precio Venta]]</f>
        <v>22</v>
      </c>
      <c r="J1225" s="35">
        <f>IF(VENTAS[[#This Row],[Nombre del Gestor]]&gt;1,VENTAS[[#This Row],[Total]]*10%,0)</f>
        <v>2.2</v>
      </c>
      <c r="K1225" s="35">
        <f>IFERROR(VLOOKUP(VENTAS[[#This Row],[Código del producto Vendido]],STOCK[],16,FALSE)*VENTAS[[#This Row],[Cantidad]]+VLOOKUP(VENTAS[[#This Row],[Código del producto Vendido]],STOCK[],19,FALSE)*VENTAS[[#This Row],[Cantidad]],VENTAS[[#This Row],[Total]])</f>
        <v>11.3</v>
      </c>
      <c r="L1225" s="35">
        <f>VENTAS[[#This Row],[Total]]-VENTAS[[#This Row],[Comisión 10%]]-VENTAS[[#This Row],[Costo SIN Comision]]</f>
        <v>8.5</v>
      </c>
      <c r="M1225" s="35"/>
    </row>
    <row r="1226" ht="20" customHeight="1" spans="1:13">
      <c r="A1226" s="29">
        <v>45520</v>
      </c>
      <c r="B1226" s="30"/>
      <c r="C1226" s="30" t="s">
        <v>3568</v>
      </c>
      <c r="D1226" s="30" t="s">
        <v>3540</v>
      </c>
      <c r="E1226" s="30" t="s">
        <v>2527</v>
      </c>
      <c r="F1226" s="34" t="str">
        <f>IFERROR(VLOOKUP(VENTAS[[#This Row],[Código del producto Vendido]],STOCK[],5,FALSE),"-")</f>
        <v>Blusa de lazos color negro</v>
      </c>
      <c r="G1226" s="34">
        <v>1</v>
      </c>
      <c r="H1226" s="35">
        <v>18</v>
      </c>
      <c r="I1226" s="35">
        <f>VENTAS[[#This Row],[Cantidad]]*VENTAS[[#This Row],[Precio Venta]]</f>
        <v>18</v>
      </c>
      <c r="J1226" s="35">
        <f>IF(VENTAS[[#This Row],[Nombre del Gestor]]&gt;1,VENTAS[[#This Row],[Total]]*10%,0)</f>
        <v>1.8</v>
      </c>
      <c r="K1226" s="35">
        <f>IFERROR(VLOOKUP(VENTAS[[#This Row],[Código del producto Vendido]],STOCK[],16,FALSE)*VENTAS[[#This Row],[Cantidad]]+VLOOKUP(VENTAS[[#This Row],[Código del producto Vendido]],STOCK[],19,FALSE)*VENTAS[[#This Row],[Cantidad]],VENTAS[[#This Row],[Total]])</f>
        <v>10.22</v>
      </c>
      <c r="L1226" s="35">
        <f>VENTAS[[#This Row],[Total]]-VENTAS[[#This Row],[Comisión 10%]]-VENTAS[[#This Row],[Costo SIN Comision]]</f>
        <v>5.98</v>
      </c>
      <c r="M1226" s="35"/>
    </row>
    <row r="1227" ht="20" customHeight="1" spans="1:13">
      <c r="A1227" s="29">
        <v>45520</v>
      </c>
      <c r="B1227" s="30"/>
      <c r="C1227" s="30" t="s">
        <v>3569</v>
      </c>
      <c r="D1227" s="30" t="s">
        <v>3540</v>
      </c>
      <c r="E1227" s="30" t="s">
        <v>2462</v>
      </c>
      <c r="F1227" s="34" t="str">
        <f>IFERROR(VLOOKUP(VENTAS[[#This Row],[Código del producto Vendido]],STOCK[],5,FALSE),"-")</f>
        <v>Sandalias de plataforma en bloque de color</v>
      </c>
      <c r="G1227" s="34">
        <v>1</v>
      </c>
      <c r="H1227" s="35">
        <v>35</v>
      </c>
      <c r="I1227" s="35">
        <f>VENTAS[[#This Row],[Cantidad]]*VENTAS[[#This Row],[Precio Venta]]</f>
        <v>35</v>
      </c>
      <c r="J1227" s="35">
        <f>IF(VENTAS[[#This Row],[Nombre del Gestor]]&gt;1,VENTAS[[#This Row],[Total]]*10%,0)</f>
        <v>3.5</v>
      </c>
      <c r="K1227" s="35">
        <f>IFERROR(VLOOKUP(VENTAS[[#This Row],[Código del producto Vendido]],STOCK[],16,FALSE)*VENTAS[[#This Row],[Cantidad]]+VLOOKUP(VENTAS[[#This Row],[Código del producto Vendido]],STOCK[],19,FALSE)*VENTAS[[#This Row],[Cantidad]],VENTAS[[#This Row],[Total]])</f>
        <v>21.97</v>
      </c>
      <c r="L1227" s="35">
        <f>VENTAS[[#This Row],[Total]]-VENTAS[[#This Row],[Comisión 10%]]-VENTAS[[#This Row],[Costo SIN Comision]]</f>
        <v>9.53</v>
      </c>
      <c r="M1227" s="35"/>
    </row>
    <row r="1228" ht="20" customHeight="1" spans="1:13">
      <c r="A1228" s="29">
        <v>45520</v>
      </c>
      <c r="B1228" s="30"/>
      <c r="C1228" s="30" t="s">
        <v>3570</v>
      </c>
      <c r="D1228" s="30" t="s">
        <v>3540</v>
      </c>
      <c r="E1228" s="30" t="s">
        <v>2674</v>
      </c>
      <c r="F1228" s="34" t="str">
        <f>IFERROR(VLOOKUP(VENTAS[[#This Row],[Código del producto Vendido]],STOCK[],5,FALSE),"-")</f>
        <v>Traje de baño clásico en bloque de color de talle alto</v>
      </c>
      <c r="G1228" s="34">
        <v>1</v>
      </c>
      <c r="H1228" s="35">
        <v>28</v>
      </c>
      <c r="I1228" s="35">
        <f>VENTAS[[#This Row],[Cantidad]]*VENTAS[[#This Row],[Precio Venta]]</f>
        <v>28</v>
      </c>
      <c r="J1228" s="35">
        <f>IF(VENTAS[[#This Row],[Nombre del Gestor]]&gt;1,VENTAS[[#This Row],[Total]]*10%,0)</f>
        <v>2.8</v>
      </c>
      <c r="K1228" s="35">
        <f>IFERROR(VLOOKUP(VENTAS[[#This Row],[Código del producto Vendido]],STOCK[],16,FALSE)*VENTAS[[#This Row],[Cantidad]]+VLOOKUP(VENTAS[[#This Row],[Código del producto Vendido]],STOCK[],19,FALSE)*VENTAS[[#This Row],[Cantidad]],VENTAS[[#This Row],[Total]])</f>
        <v>10.4</v>
      </c>
      <c r="L1228" s="35">
        <f>VENTAS[[#This Row],[Total]]-VENTAS[[#This Row],[Comisión 10%]]-VENTAS[[#This Row],[Costo SIN Comision]]</f>
        <v>14.8</v>
      </c>
      <c r="M1228" s="35"/>
    </row>
    <row r="1229" ht="20" customHeight="1" spans="1:13">
      <c r="A1229" s="29">
        <v>45521</v>
      </c>
      <c r="B1229" s="30"/>
      <c r="C1229" s="30" t="s">
        <v>3555</v>
      </c>
      <c r="D1229" s="30" t="s">
        <v>3540</v>
      </c>
      <c r="E1229" s="30" t="s">
        <v>1839</v>
      </c>
      <c r="F1229" s="34" t="str">
        <f>IFERROR(VLOOKUP(VENTAS[[#This Row],[Código del producto Vendido]],STOCK[],5,FALSE),"-")</f>
        <v>Maxi Vestido Bodycon </v>
      </c>
      <c r="G1229" s="34">
        <v>1</v>
      </c>
      <c r="H1229" s="35">
        <v>20</v>
      </c>
      <c r="I1229" s="35">
        <f>VENTAS[[#This Row],[Cantidad]]*VENTAS[[#This Row],[Precio Venta]]</f>
        <v>20</v>
      </c>
      <c r="J1229" s="35">
        <f>IF(VENTAS[[#This Row],[Nombre del Gestor]]&gt;1,VENTAS[[#This Row],[Total]]*10%,0)</f>
        <v>2</v>
      </c>
      <c r="K1229" s="35">
        <f>IFERROR(VLOOKUP(VENTAS[[#This Row],[Código del producto Vendido]],STOCK[],16,FALSE)*VENTAS[[#This Row],[Cantidad]]+VLOOKUP(VENTAS[[#This Row],[Código del producto Vendido]],STOCK[],19,FALSE)*VENTAS[[#This Row],[Cantidad]],VENTAS[[#This Row],[Total]])</f>
        <v>11.79</v>
      </c>
      <c r="L1229" s="35">
        <f>VENTAS[[#This Row],[Total]]-VENTAS[[#This Row],[Comisión 10%]]-VENTAS[[#This Row],[Costo SIN Comision]]</f>
        <v>6.21</v>
      </c>
      <c r="M1229" s="35"/>
    </row>
    <row r="1230" ht="20" customHeight="1" spans="1:13">
      <c r="A1230" s="29">
        <v>45521</v>
      </c>
      <c r="B1230" s="30"/>
      <c r="C1230" s="30" t="s">
        <v>3555</v>
      </c>
      <c r="D1230" s="30" t="s">
        <v>3540</v>
      </c>
      <c r="E1230" s="30" t="s">
        <v>1037</v>
      </c>
      <c r="F1230" s="34" t="str">
        <f>IFERROR(VLOOKUP(VENTAS[[#This Row],[Código del producto Vendido]],STOCK[],5,FALSE),"-")</f>
        <v>Falda plisada</v>
      </c>
      <c r="G1230" s="34">
        <v>1</v>
      </c>
      <c r="H1230" s="35">
        <v>25</v>
      </c>
      <c r="I1230" s="35">
        <f>VENTAS[[#This Row],[Cantidad]]*VENTAS[[#This Row],[Precio Venta]]</f>
        <v>25</v>
      </c>
      <c r="J1230" s="35">
        <f>IF(VENTAS[[#This Row],[Nombre del Gestor]]&gt;1,VENTAS[[#This Row],[Total]]*10%,0)</f>
        <v>2.5</v>
      </c>
      <c r="K1230" s="35">
        <f>IFERROR(VLOOKUP(VENTAS[[#This Row],[Código del producto Vendido]],STOCK[],16,FALSE)*VENTAS[[#This Row],[Cantidad]]+VLOOKUP(VENTAS[[#This Row],[Código del producto Vendido]],STOCK[],19,FALSE)*VENTAS[[#This Row],[Cantidad]],VENTAS[[#This Row],[Total]])</f>
        <v>14.625</v>
      </c>
      <c r="L1230" s="35">
        <f>VENTAS[[#This Row],[Total]]-VENTAS[[#This Row],[Comisión 10%]]-VENTAS[[#This Row],[Costo SIN Comision]]</f>
        <v>7.875</v>
      </c>
      <c r="M1230" s="35"/>
    </row>
    <row r="1231" ht="20" customHeight="1" spans="1:13">
      <c r="A1231" s="29">
        <v>45528</v>
      </c>
      <c r="B1231" s="30"/>
      <c r="C1231" s="30" t="s">
        <v>3571</v>
      </c>
      <c r="D1231" s="30" t="s">
        <v>3540</v>
      </c>
      <c r="E1231" s="30" t="s">
        <v>1124</v>
      </c>
      <c r="F1231" s="34" t="str">
        <f>IFERROR(VLOOKUP(VENTAS[[#This Row],[Código del producto Vendido]],STOCK[],5,FALSE),"-")</f>
        <v>Blusa elegante de cuello negro</v>
      </c>
      <c r="G1231" s="34">
        <v>1</v>
      </c>
      <c r="H1231" s="35">
        <v>15</v>
      </c>
      <c r="I1231" s="35">
        <f>VENTAS[[#This Row],[Cantidad]]*VENTAS[[#This Row],[Precio Venta]]</f>
        <v>15</v>
      </c>
      <c r="J1231" s="35">
        <f>IF(VENTAS[[#This Row],[Nombre del Gestor]]&gt;1,VENTAS[[#This Row],[Total]]*10%,0)</f>
        <v>1.5</v>
      </c>
      <c r="K1231" s="35">
        <f>IFERROR(VLOOKUP(VENTAS[[#This Row],[Código del producto Vendido]],STOCK[],16,FALSE)*VENTAS[[#This Row],[Cantidad]]+VLOOKUP(VENTAS[[#This Row],[Código del producto Vendido]],STOCK[],19,FALSE)*VENTAS[[#This Row],[Cantidad]],VENTAS[[#This Row],[Total]])</f>
        <v>12.0941176470588</v>
      </c>
      <c r="L1231" s="35">
        <f>VENTAS[[#This Row],[Total]]-VENTAS[[#This Row],[Comisión 10%]]-VENTAS[[#This Row],[Costo SIN Comision]]</f>
        <v>1.40588235294118</v>
      </c>
      <c r="M1231" s="35"/>
    </row>
    <row r="1232" ht="20" customHeight="1" spans="1:13">
      <c r="A1232" s="29">
        <v>45528</v>
      </c>
      <c r="B1232" s="30"/>
      <c r="C1232" s="30" t="s">
        <v>3571</v>
      </c>
      <c r="D1232" s="30" t="s">
        <v>3540</v>
      </c>
      <c r="E1232" s="30" t="s">
        <v>184</v>
      </c>
      <c r="F1232" s="34" t="str">
        <f>IFERROR(VLOOKUP(VENTAS[[#This Row],[Código del producto Vendido]],STOCK[],5,FALSE),"-")</f>
        <v>Blusa espalda cruzada color rosa</v>
      </c>
      <c r="G1232" s="34">
        <v>1</v>
      </c>
      <c r="H1232" s="35">
        <v>12</v>
      </c>
      <c r="I1232" s="35">
        <f>VENTAS[[#This Row],[Cantidad]]*VENTAS[[#This Row],[Precio Venta]]</f>
        <v>12</v>
      </c>
      <c r="J1232" s="35">
        <f>IF(VENTAS[[#This Row],[Nombre del Gestor]]&gt;1,VENTAS[[#This Row],[Total]]*10%,0)</f>
        <v>1.2</v>
      </c>
      <c r="K1232" s="35">
        <f>IFERROR(VLOOKUP(VENTAS[[#This Row],[Código del producto Vendido]],STOCK[],16,FALSE)*VENTAS[[#This Row],[Cantidad]]+VLOOKUP(VENTAS[[#This Row],[Código del producto Vendido]],STOCK[],19,FALSE)*VENTAS[[#This Row],[Cantidad]],VENTAS[[#This Row],[Total]])</f>
        <v>8.65777777777778</v>
      </c>
      <c r="L1232" s="35">
        <f>VENTAS[[#This Row],[Total]]-VENTAS[[#This Row],[Comisión 10%]]-VENTAS[[#This Row],[Costo SIN Comision]]</f>
        <v>2.14222222222222</v>
      </c>
      <c r="M1232" s="35"/>
    </row>
    <row r="1233" ht="20" customHeight="1" spans="1:13">
      <c r="A1233" s="29">
        <v>45528</v>
      </c>
      <c r="B1233" s="30"/>
      <c r="C1233" s="30" t="s">
        <v>3572</v>
      </c>
      <c r="D1233" s="30" t="s">
        <v>3481</v>
      </c>
      <c r="E1233" s="30" t="s">
        <v>911</v>
      </c>
      <c r="F1233" s="34" t="str">
        <f>IFERROR(VLOOKUP(VENTAS[[#This Row],[Código del producto Vendido]],STOCK[],5,FALSE),"-")</f>
        <v>Bañador de pierna alta</v>
      </c>
      <c r="G1233" s="34">
        <v>1</v>
      </c>
      <c r="H1233" s="35">
        <v>25</v>
      </c>
      <c r="I1233" s="35">
        <f>VENTAS[[#This Row],[Cantidad]]*VENTAS[[#This Row],[Precio Venta]]</f>
        <v>25</v>
      </c>
      <c r="J1233" s="35">
        <f>IF(VENTAS[[#This Row],[Nombre del Gestor]]&gt;1,VENTAS[[#This Row],[Total]]*10%,0)</f>
        <v>2.5</v>
      </c>
      <c r="K1233" s="35">
        <f>IFERROR(VLOOKUP(VENTAS[[#This Row],[Código del producto Vendido]],STOCK[],16,FALSE)*VENTAS[[#This Row],[Cantidad]]+VLOOKUP(VENTAS[[#This Row],[Código del producto Vendido]],STOCK[],19,FALSE)*VENTAS[[#This Row],[Cantidad]],VENTAS[[#This Row],[Total]])</f>
        <v>15.8931818181818</v>
      </c>
      <c r="L1233" s="35">
        <f>VENTAS[[#This Row],[Total]]-VENTAS[[#This Row],[Comisión 10%]]-VENTAS[[#This Row],[Costo SIN Comision]]</f>
        <v>6.60681818181818</v>
      </c>
      <c r="M1233" s="35"/>
    </row>
    <row r="1234" ht="20" customHeight="1" spans="1:13">
      <c r="A1234" s="29">
        <v>45527</v>
      </c>
      <c r="B1234" s="30"/>
      <c r="C1234" s="30" t="s">
        <v>3573</v>
      </c>
      <c r="D1234" s="30"/>
      <c r="E1234" s="30" t="s">
        <v>1113</v>
      </c>
      <c r="F1234" s="34" t="str">
        <f>IFERROR(VLOOKUP(VENTAS[[#This Row],[Código del producto Vendido]],STOCK[],5,FALSE),"-")</f>
        <v>Set de lencería </v>
      </c>
      <c r="G1234" s="34">
        <v>1</v>
      </c>
      <c r="H1234" s="35">
        <v>0</v>
      </c>
      <c r="I1234" s="35">
        <f>VENTAS[[#This Row],[Cantidad]]*VENTAS[[#This Row],[Precio Venta]]</f>
        <v>0</v>
      </c>
      <c r="J1234" s="35">
        <f>IF(VENTAS[[#This Row],[Nombre del Gestor]]&gt;1,VENTAS[[#This Row],[Total]]*10%,0)</f>
        <v>0</v>
      </c>
      <c r="K1234" s="35">
        <f>IFERROR(VLOOKUP(VENTAS[[#This Row],[Código del producto Vendido]],STOCK[],16,FALSE)*VENTAS[[#This Row],[Cantidad]]+VLOOKUP(VENTAS[[#This Row],[Código del producto Vendido]],STOCK[],19,FALSE)*VENTAS[[#This Row],[Cantidad]],VENTAS[[#This Row],[Total]])</f>
        <v>6.43014705882353</v>
      </c>
      <c r="L1234" s="35">
        <f>VENTAS[[#This Row],[Total]]-VENTAS[[#This Row],[Comisión 10%]]-VENTAS[[#This Row],[Costo SIN Comision]]</f>
        <v>-6.43014705882353</v>
      </c>
      <c r="M1234" s="35"/>
    </row>
    <row r="1235" ht="20" customHeight="1" spans="1:13">
      <c r="A1235" s="29">
        <v>45527</v>
      </c>
      <c r="B1235" s="30"/>
      <c r="C1235" s="30" t="s">
        <v>3478</v>
      </c>
      <c r="D1235" s="30"/>
      <c r="E1235" s="30" t="s">
        <v>1231</v>
      </c>
      <c r="F1235" s="34" t="str">
        <f>IFERROR(VLOOKUP(VENTAS[[#This Row],[Código del producto Vendido]],STOCK[],5,FALSE),"-")</f>
        <v>Short elegante de pierna ancha con doblez </v>
      </c>
      <c r="G1235" s="34">
        <v>1</v>
      </c>
      <c r="H1235" s="35">
        <v>15</v>
      </c>
      <c r="I1235" s="35">
        <f>VENTAS[[#This Row],[Cantidad]]*VENTAS[[#This Row],[Precio Venta]]</f>
        <v>15</v>
      </c>
      <c r="J1235" s="35">
        <f>IF(VENTAS[[#This Row],[Nombre del Gestor]]&gt;1,VENTAS[[#This Row],[Total]]*10%,0)</f>
        <v>0</v>
      </c>
      <c r="K1235" s="35">
        <f>IFERROR(VLOOKUP(VENTAS[[#This Row],[Código del producto Vendido]],STOCK[],16,FALSE)*VENTAS[[#This Row],[Cantidad]]+VLOOKUP(VENTAS[[#This Row],[Código del producto Vendido]],STOCK[],19,FALSE)*VENTAS[[#This Row],[Cantidad]],VENTAS[[#This Row],[Total]])</f>
        <v>14.37</v>
      </c>
      <c r="L1235" s="35">
        <f>VENTAS[[#This Row],[Total]]-VENTAS[[#This Row],[Comisión 10%]]-VENTAS[[#This Row],[Costo SIN Comision]]</f>
        <v>0.630000000000001</v>
      </c>
      <c r="M1235" s="35"/>
    </row>
    <row r="1236" ht="20" customHeight="1" spans="1:13">
      <c r="A1236" s="29">
        <v>45527</v>
      </c>
      <c r="B1236" s="30"/>
      <c r="C1236" s="30" t="s">
        <v>3574</v>
      </c>
      <c r="D1236" s="30"/>
      <c r="E1236" s="30" t="s">
        <v>1464</v>
      </c>
      <c r="F1236" s="34" t="str">
        <f>IFERROR(VLOOKUP(VENTAS[[#This Row],[Código del producto Vendido]],STOCK[],5,FALSE),"-")</f>
        <v>Bermuda negra denim</v>
      </c>
      <c r="G1236" s="34">
        <v>1</v>
      </c>
      <c r="H1236" s="35">
        <v>20</v>
      </c>
      <c r="I1236" s="35">
        <f>VENTAS[[#This Row],[Cantidad]]*VENTAS[[#This Row],[Precio Venta]]</f>
        <v>20</v>
      </c>
      <c r="J1236" s="35">
        <f>IF(VENTAS[[#This Row],[Nombre del Gestor]]&gt;1,VENTAS[[#This Row],[Total]]*10%,0)</f>
        <v>0</v>
      </c>
      <c r="K1236" s="35">
        <f>IFERROR(VLOOKUP(VENTAS[[#This Row],[Código del producto Vendido]],STOCK[],16,FALSE)*VENTAS[[#This Row],[Cantidad]]+VLOOKUP(VENTAS[[#This Row],[Código del producto Vendido]],STOCK[],19,FALSE)*VENTAS[[#This Row],[Cantidad]],VENTAS[[#This Row],[Total]])</f>
        <v>17</v>
      </c>
      <c r="L1236" s="35">
        <f>VENTAS[[#This Row],[Total]]-VENTAS[[#This Row],[Comisión 10%]]-VENTAS[[#This Row],[Costo SIN Comision]]</f>
        <v>3</v>
      </c>
      <c r="M1236" s="35"/>
    </row>
    <row r="1237" ht="20" customHeight="1" spans="1:13">
      <c r="A1237" s="29">
        <v>45527</v>
      </c>
      <c r="B1237" s="30"/>
      <c r="C1237" s="30"/>
      <c r="D1237" s="30" t="s">
        <v>3456</v>
      </c>
      <c r="E1237" s="30" t="s">
        <v>1497</v>
      </c>
      <c r="F1237" s="34" t="str">
        <f>IFERROR(VLOOKUP(VENTAS[[#This Row],[Código del producto Vendido]],STOCK[],5,FALSE),"-")</f>
        <v>Pullover Dazy cuello redondo Negro</v>
      </c>
      <c r="G1237" s="34">
        <v>1</v>
      </c>
      <c r="H1237" s="35">
        <v>13</v>
      </c>
      <c r="I1237" s="35">
        <f>VENTAS[[#This Row],[Cantidad]]*VENTAS[[#This Row],[Precio Venta]]</f>
        <v>13</v>
      </c>
      <c r="J1237" s="35">
        <f>IF(VENTAS[[#This Row],[Nombre del Gestor]]&gt;1,VENTAS[[#This Row],[Total]]*10%,0)</f>
        <v>1.3</v>
      </c>
      <c r="K1237" s="35">
        <f>IFERROR(VLOOKUP(VENTAS[[#This Row],[Código del producto Vendido]],STOCK[],16,FALSE)*VENTAS[[#This Row],[Cantidad]]+VLOOKUP(VENTAS[[#This Row],[Código del producto Vendido]],STOCK[],19,FALSE)*VENTAS[[#This Row],[Cantidad]],VENTAS[[#This Row],[Total]])</f>
        <v>7.5</v>
      </c>
      <c r="L1237" s="35">
        <f>VENTAS[[#This Row],[Total]]-VENTAS[[#This Row],[Comisión 10%]]-VENTAS[[#This Row],[Costo SIN Comision]]</f>
        <v>4.2</v>
      </c>
      <c r="M1237" s="35"/>
    </row>
    <row r="1238" ht="20" customHeight="1" spans="1:13">
      <c r="A1238" s="29">
        <v>45527</v>
      </c>
      <c r="B1238" s="30"/>
      <c r="C1238" s="30" t="s">
        <v>3538</v>
      </c>
      <c r="D1238" s="30"/>
      <c r="E1238" s="30" t="s">
        <v>1811</v>
      </c>
      <c r="F1238" s="34" t="str">
        <f>IFERROR(VLOOKUP(VENTAS[[#This Row],[Código del producto Vendido]],STOCK[],5,FALSE),"-")</f>
        <v>Vestido chaleco blazer </v>
      </c>
      <c r="G1238" s="34">
        <v>1</v>
      </c>
      <c r="H1238" s="35">
        <v>35</v>
      </c>
      <c r="I1238" s="35">
        <f>VENTAS[[#This Row],[Cantidad]]*VENTAS[[#This Row],[Precio Venta]]</f>
        <v>35</v>
      </c>
      <c r="J1238" s="35">
        <f>IF(VENTAS[[#This Row],[Nombre del Gestor]]&gt;1,VENTAS[[#This Row],[Total]]*10%,0)</f>
        <v>0</v>
      </c>
      <c r="K1238" s="35">
        <f>IFERROR(VLOOKUP(VENTAS[[#This Row],[Código del producto Vendido]],STOCK[],16,FALSE)*VENTAS[[#This Row],[Cantidad]]+VLOOKUP(VENTAS[[#This Row],[Código del producto Vendido]],STOCK[],19,FALSE)*VENTAS[[#This Row],[Cantidad]],VENTAS[[#This Row],[Total]])</f>
        <v>22.9411764705882</v>
      </c>
      <c r="L1238" s="35">
        <f>VENTAS[[#This Row],[Total]]-VENTAS[[#This Row],[Comisión 10%]]-VENTAS[[#This Row],[Costo SIN Comision]]</f>
        <v>12.0588235294118</v>
      </c>
      <c r="M1238" s="35"/>
    </row>
    <row r="1239" ht="20" customHeight="1" spans="1:13">
      <c r="A1239" s="29">
        <v>45508</v>
      </c>
      <c r="B1239" s="30"/>
      <c r="C1239" s="30" t="s">
        <v>3575</v>
      </c>
      <c r="D1239" s="30" t="s">
        <v>3506</v>
      </c>
      <c r="E1239" s="30" t="s">
        <v>1754</v>
      </c>
      <c r="F1239" s="34" t="str">
        <f>IFERROR(VLOOKUP(VENTAS[[#This Row],[Código del producto Vendido]],STOCK[],5,FALSE),"-")</f>
        <v>Zapatillas blanco casual</v>
      </c>
      <c r="G1239" s="34">
        <v>1</v>
      </c>
      <c r="H1239" s="35">
        <v>32</v>
      </c>
      <c r="I1239" s="35">
        <f>VENTAS[[#This Row],[Cantidad]]*VENTAS[[#This Row],[Precio Venta]]</f>
        <v>32</v>
      </c>
      <c r="J1239" s="35">
        <f>IF(VENTAS[[#This Row],[Nombre del Gestor]]&gt;1,VENTAS[[#This Row],[Total]]*10%,0)</f>
        <v>3.2</v>
      </c>
      <c r="K1239" s="35">
        <f>IFERROR(VLOOKUP(VENTAS[[#This Row],[Código del producto Vendido]],STOCK[],16,FALSE)*VENTAS[[#This Row],[Cantidad]]+VLOOKUP(VENTAS[[#This Row],[Código del producto Vendido]],STOCK[],19,FALSE)*VENTAS[[#This Row],[Cantidad]],VENTAS[[#This Row],[Total]])</f>
        <v>24.4705882352941</v>
      </c>
      <c r="L1239" s="35">
        <f>VENTAS[[#This Row],[Total]]-VENTAS[[#This Row],[Comisión 10%]]-VENTAS[[#This Row],[Costo SIN Comision]]</f>
        <v>4.3294117647059</v>
      </c>
      <c r="M1239" s="35"/>
    </row>
    <row r="1240" ht="20" customHeight="1" spans="1:13">
      <c r="A1240" s="29">
        <v>45508</v>
      </c>
      <c r="B1240" s="30"/>
      <c r="C1240" s="30" t="s">
        <v>3576</v>
      </c>
      <c r="D1240" s="30" t="s">
        <v>3506</v>
      </c>
      <c r="E1240" s="30" t="s">
        <v>2445</v>
      </c>
      <c r="F1240" s="34" t="str">
        <f>IFERROR(VLOOKUP(VENTAS[[#This Row],[Código del producto Vendido]],STOCK[],5,FALSE),"-")</f>
        <v>Sandalias carmelitas de moda con correa de velcro</v>
      </c>
      <c r="G1240" s="34">
        <v>1</v>
      </c>
      <c r="H1240" s="35">
        <v>35</v>
      </c>
      <c r="I1240" s="35">
        <f>VENTAS[[#This Row],[Cantidad]]*VENTAS[[#This Row],[Precio Venta]]</f>
        <v>35</v>
      </c>
      <c r="J1240" s="35">
        <f>IF(VENTAS[[#This Row],[Nombre del Gestor]]&gt;1,VENTAS[[#This Row],[Total]]*10%,0)</f>
        <v>3.5</v>
      </c>
      <c r="K1240" s="35">
        <f>IFERROR(VLOOKUP(VENTAS[[#This Row],[Código del producto Vendido]],STOCK[],16,FALSE)*VENTAS[[#This Row],[Cantidad]]+VLOOKUP(VENTAS[[#This Row],[Código del producto Vendido]],STOCK[],19,FALSE)*VENTAS[[#This Row],[Cantidad]],VENTAS[[#This Row],[Total]])</f>
        <v>19.47</v>
      </c>
      <c r="L1240" s="35">
        <f>VENTAS[[#This Row],[Total]]-VENTAS[[#This Row],[Comisión 10%]]-VENTAS[[#This Row],[Costo SIN Comision]]</f>
        <v>12.03</v>
      </c>
      <c r="M1240" s="35"/>
    </row>
    <row r="1241" ht="20" customHeight="1" spans="1:13">
      <c r="A1241" s="29">
        <v>45509</v>
      </c>
      <c r="B1241" s="30"/>
      <c r="C1241" s="30" t="s">
        <v>3577</v>
      </c>
      <c r="D1241" s="30" t="s">
        <v>3506</v>
      </c>
      <c r="E1241" s="30" t="s">
        <v>604</v>
      </c>
      <c r="F1241" s="34" t="str">
        <f>IFERROR(VLOOKUP(VENTAS[[#This Row],[Código del producto Vendido]],STOCK[],5,FALSE),"-")</f>
        <v>Vestido floral de mangas farol</v>
      </c>
      <c r="G1241" s="34">
        <v>1</v>
      </c>
      <c r="H1241" s="35">
        <v>20</v>
      </c>
      <c r="I1241" s="35">
        <f>VENTAS[[#This Row],[Cantidad]]*VENTAS[[#This Row],[Precio Venta]]</f>
        <v>20</v>
      </c>
      <c r="J1241" s="35">
        <f>IF(VENTAS[[#This Row],[Nombre del Gestor]]&gt;1,VENTAS[[#This Row],[Total]]*10%,0)</f>
        <v>2</v>
      </c>
      <c r="K1241" s="35">
        <f>IFERROR(VLOOKUP(VENTAS[[#This Row],[Código del producto Vendido]],STOCK[],16,FALSE)*VENTAS[[#This Row],[Cantidad]]+VLOOKUP(VENTAS[[#This Row],[Código del producto Vendido]],STOCK[],19,FALSE)*VENTAS[[#This Row],[Cantidad]],VENTAS[[#This Row],[Total]])</f>
        <v>10.7222222222222</v>
      </c>
      <c r="L1241" s="35">
        <f>VENTAS[[#This Row],[Total]]-VENTAS[[#This Row],[Comisión 10%]]-VENTAS[[#This Row],[Costo SIN Comision]]</f>
        <v>7.27777777777778</v>
      </c>
      <c r="M1241" s="35"/>
    </row>
    <row r="1242" ht="20" customHeight="1" spans="1:13">
      <c r="A1242" s="29">
        <v>45509</v>
      </c>
      <c r="B1242" s="30"/>
      <c r="C1242" s="30" t="s">
        <v>3578</v>
      </c>
      <c r="D1242" s="30" t="s">
        <v>3506</v>
      </c>
      <c r="E1242" s="30" t="s">
        <v>1706</v>
      </c>
      <c r="F1242" s="34" t="str">
        <f>IFERROR(VLOOKUP(VENTAS[[#This Row],[Código del producto Vendido]],STOCK[],5,FALSE),"-")</f>
        <v>Vestido acanalado de manga larga</v>
      </c>
      <c r="G1242" s="34">
        <v>1</v>
      </c>
      <c r="H1242" s="35">
        <v>25</v>
      </c>
      <c r="I1242" s="35">
        <f>VENTAS[[#This Row],[Cantidad]]*VENTAS[[#This Row],[Precio Venta]]</f>
        <v>25</v>
      </c>
      <c r="J1242" s="35">
        <f>IF(VENTAS[[#This Row],[Nombre del Gestor]]&gt;1,VENTAS[[#This Row],[Total]]*10%,0)</f>
        <v>2.5</v>
      </c>
      <c r="K1242" s="35">
        <f>IFERROR(VLOOKUP(VENTAS[[#This Row],[Código del producto Vendido]],STOCK[],16,FALSE)*VENTAS[[#This Row],[Cantidad]]+VLOOKUP(VENTAS[[#This Row],[Código del producto Vendido]],STOCK[],19,FALSE)*VENTAS[[#This Row],[Cantidad]],VENTAS[[#This Row],[Total]])</f>
        <v>18.1</v>
      </c>
      <c r="L1242" s="35">
        <f>VENTAS[[#This Row],[Total]]-VENTAS[[#This Row],[Comisión 10%]]-VENTAS[[#This Row],[Costo SIN Comision]]</f>
        <v>4.4</v>
      </c>
      <c r="M1242" s="35"/>
    </row>
    <row r="1243" ht="20" customHeight="1" spans="1:13">
      <c r="A1243" s="29">
        <v>45510</v>
      </c>
      <c r="B1243" s="30"/>
      <c r="C1243" s="30" t="s">
        <v>3579</v>
      </c>
      <c r="D1243" s="30" t="s">
        <v>3506</v>
      </c>
      <c r="E1243" s="30" t="s">
        <v>2558</v>
      </c>
      <c r="F1243" s="34" t="str">
        <f>IFERROR(VLOOKUP(VENTAS[[#This Row],[Código del producto Vendido]],STOCK[],5,FALSE),"-")</f>
        <v>Sombrero Visera de Verano</v>
      </c>
      <c r="G1243" s="34">
        <v>1</v>
      </c>
      <c r="H1243" s="35">
        <v>15</v>
      </c>
      <c r="I1243" s="35">
        <f>VENTAS[[#This Row],[Cantidad]]*VENTAS[[#This Row],[Precio Venta]]</f>
        <v>15</v>
      </c>
      <c r="J1243" s="35">
        <f>IF(VENTAS[[#This Row],[Nombre del Gestor]]&gt;1,VENTAS[[#This Row],[Total]]*10%,0)</f>
        <v>1.5</v>
      </c>
      <c r="K1243" s="35">
        <f>IFERROR(VLOOKUP(VENTAS[[#This Row],[Código del producto Vendido]],STOCK[],16,FALSE)*VENTAS[[#This Row],[Cantidad]]+VLOOKUP(VENTAS[[#This Row],[Código del producto Vendido]],STOCK[],19,FALSE)*VENTAS[[#This Row],[Cantidad]],VENTAS[[#This Row],[Total]])</f>
        <v>6.36</v>
      </c>
      <c r="L1243" s="35">
        <f>VENTAS[[#This Row],[Total]]-VENTAS[[#This Row],[Comisión 10%]]-VENTAS[[#This Row],[Costo SIN Comision]]</f>
        <v>7.14</v>
      </c>
      <c r="M1243" s="35"/>
    </row>
    <row r="1244" ht="20" customHeight="1" spans="1:13">
      <c r="A1244" s="29">
        <v>45510</v>
      </c>
      <c r="B1244" s="30"/>
      <c r="C1244" s="30" t="s">
        <v>3579</v>
      </c>
      <c r="D1244" s="30" t="s">
        <v>3506</v>
      </c>
      <c r="E1244" s="30" t="s">
        <v>2282</v>
      </c>
      <c r="F1244" s="34" t="str">
        <f>IFERROR(VLOOKUP(VENTAS[[#This Row],[Código del producto Vendido]],STOCK[],5,FALSE),"-")</f>
        <v>Bolso de lienzo estampado de corazón</v>
      </c>
      <c r="G1244" s="34">
        <v>1</v>
      </c>
      <c r="H1244" s="35">
        <v>12</v>
      </c>
      <c r="I1244" s="35">
        <f>VENTAS[[#This Row],[Cantidad]]*VENTAS[[#This Row],[Precio Venta]]</f>
        <v>12</v>
      </c>
      <c r="J1244" s="35">
        <f>IF(VENTAS[[#This Row],[Nombre del Gestor]]&gt;1,VENTAS[[#This Row],[Total]]*10%,0)</f>
        <v>1.2</v>
      </c>
      <c r="K1244" s="35">
        <f>IFERROR(VLOOKUP(VENTAS[[#This Row],[Código del producto Vendido]],STOCK[],16,FALSE)*VENTAS[[#This Row],[Cantidad]]+VLOOKUP(VENTAS[[#This Row],[Código del producto Vendido]],STOCK[],19,FALSE)*VENTAS[[#This Row],[Cantidad]],VENTAS[[#This Row],[Total]])</f>
        <v>4.23</v>
      </c>
      <c r="L1244" s="35">
        <f>VENTAS[[#This Row],[Total]]-VENTAS[[#This Row],[Comisión 10%]]-VENTAS[[#This Row],[Costo SIN Comision]]</f>
        <v>6.57</v>
      </c>
      <c r="M1244" s="35"/>
    </row>
    <row r="1245" ht="20" customHeight="1" spans="1:13">
      <c r="A1245" s="29">
        <v>45511</v>
      </c>
      <c r="B1245" s="30"/>
      <c r="C1245" s="30" t="s">
        <v>3580</v>
      </c>
      <c r="D1245" s="30" t="s">
        <v>3506</v>
      </c>
      <c r="E1245" s="30" t="s">
        <v>2530</v>
      </c>
      <c r="F1245" s="34" t="str">
        <f>IFERROR(VLOOKUP(VENTAS[[#This Row],[Código del producto Vendido]],STOCK[],5,FALSE),"-")</f>
        <v>Pullover corto unicolor carmelita</v>
      </c>
      <c r="G1245" s="34">
        <v>1</v>
      </c>
      <c r="H1245" s="35">
        <v>10</v>
      </c>
      <c r="I1245" s="35">
        <f>VENTAS[[#This Row],[Cantidad]]*VENTAS[[#This Row],[Precio Venta]]</f>
        <v>10</v>
      </c>
      <c r="J1245" s="35">
        <f>IF(VENTAS[[#This Row],[Nombre del Gestor]]&gt;1,VENTAS[[#This Row],[Total]]*10%,0)</f>
        <v>1</v>
      </c>
      <c r="K1245" s="35">
        <f>IFERROR(VLOOKUP(VENTAS[[#This Row],[Código del producto Vendido]],STOCK[],16,FALSE)*VENTAS[[#This Row],[Cantidad]]+VLOOKUP(VENTAS[[#This Row],[Código del producto Vendido]],STOCK[],19,FALSE)*VENTAS[[#This Row],[Cantidad]],VENTAS[[#This Row],[Total]])</f>
        <v>4.32</v>
      </c>
      <c r="L1245" s="35">
        <f>VENTAS[[#This Row],[Total]]-VENTAS[[#This Row],[Comisión 10%]]-VENTAS[[#This Row],[Costo SIN Comision]]</f>
        <v>4.68</v>
      </c>
      <c r="M1245" s="35"/>
    </row>
    <row r="1246" ht="20" customHeight="1" spans="1:13">
      <c r="A1246" s="29">
        <v>45511</v>
      </c>
      <c r="B1246" s="30"/>
      <c r="C1246" s="30" t="s">
        <v>3580</v>
      </c>
      <c r="D1246" s="30" t="s">
        <v>3506</v>
      </c>
      <c r="E1246" s="30" t="s">
        <v>2539</v>
      </c>
      <c r="F1246" s="34" t="str">
        <f>IFERROR(VLOOKUP(VENTAS[[#This Row],[Código del producto Vendido]],STOCK[],5,FALSE),"-")</f>
        <v>Pullover corto unicolor beige</v>
      </c>
      <c r="G1246" s="34">
        <v>1</v>
      </c>
      <c r="H1246" s="35">
        <v>10</v>
      </c>
      <c r="I1246" s="35">
        <f>VENTAS[[#This Row],[Cantidad]]*VENTAS[[#This Row],[Precio Venta]]</f>
        <v>10</v>
      </c>
      <c r="J1246" s="35">
        <f>IF(VENTAS[[#This Row],[Nombre del Gestor]]&gt;1,VENTAS[[#This Row],[Total]]*10%,0)</f>
        <v>1</v>
      </c>
      <c r="K1246" s="35">
        <f>IFERROR(VLOOKUP(VENTAS[[#This Row],[Código del producto Vendido]],STOCK[],16,FALSE)*VENTAS[[#This Row],[Cantidad]]+VLOOKUP(VENTAS[[#This Row],[Código del producto Vendido]],STOCK[],19,FALSE)*VENTAS[[#This Row],[Cantidad]],VENTAS[[#This Row],[Total]])</f>
        <v>4.32</v>
      </c>
      <c r="L1246" s="35">
        <f>VENTAS[[#This Row],[Total]]-VENTAS[[#This Row],[Comisión 10%]]-VENTAS[[#This Row],[Costo SIN Comision]]</f>
        <v>4.68</v>
      </c>
      <c r="M1246" s="35"/>
    </row>
    <row r="1247" ht="20" customHeight="1" spans="1:13">
      <c r="A1247" s="29">
        <v>45511</v>
      </c>
      <c r="B1247" s="30"/>
      <c r="C1247" s="30" t="s">
        <v>3581</v>
      </c>
      <c r="D1247" s="30" t="s">
        <v>3506</v>
      </c>
      <c r="E1247" s="30" t="s">
        <v>597</v>
      </c>
      <c r="F1247" s="34" t="str">
        <f>IFERROR(VLOOKUP(VENTAS[[#This Row],[Código del producto Vendido]],STOCK[],5,FALSE),"-")</f>
        <v>Top corsetero asimétrico</v>
      </c>
      <c r="G1247" s="34">
        <v>1</v>
      </c>
      <c r="H1247" s="35">
        <v>9</v>
      </c>
      <c r="I1247" s="35">
        <f>VENTAS[[#This Row],[Cantidad]]*VENTAS[[#This Row],[Precio Venta]]</f>
        <v>9</v>
      </c>
      <c r="J1247" s="35">
        <f>IF(VENTAS[[#This Row],[Nombre del Gestor]]&gt;1,VENTAS[[#This Row],[Total]]*10%,0)</f>
        <v>0.9</v>
      </c>
      <c r="K1247" s="35">
        <f>IFERROR(VLOOKUP(VENTAS[[#This Row],[Código del producto Vendido]],STOCK[],16,FALSE)*VENTAS[[#This Row],[Cantidad]]+VLOOKUP(VENTAS[[#This Row],[Código del producto Vendido]],STOCK[],19,FALSE)*VENTAS[[#This Row],[Cantidad]],VENTAS[[#This Row],[Total]])</f>
        <v>5.56833333333333</v>
      </c>
      <c r="L1247" s="35">
        <f>VENTAS[[#This Row],[Total]]-VENTAS[[#This Row],[Comisión 10%]]-VENTAS[[#This Row],[Costo SIN Comision]]</f>
        <v>2.53166666666667</v>
      </c>
      <c r="M1247" s="35"/>
    </row>
    <row r="1248" ht="20" customHeight="1" spans="1:13">
      <c r="A1248" s="29">
        <v>45516</v>
      </c>
      <c r="B1248" s="30"/>
      <c r="C1248" s="30" t="s">
        <v>3582</v>
      </c>
      <c r="D1248" s="30" t="s">
        <v>3506</v>
      </c>
      <c r="E1248" s="30" t="s">
        <v>2491</v>
      </c>
      <c r="F1248" s="34" t="str">
        <f>IFERROR(VLOOKUP(VENTAS[[#This Row],[Código del producto Vendido]],STOCK[],5,FALSE),"-")</f>
        <v>Blusa blanca de lazos y manga abullonada</v>
      </c>
      <c r="G1248" s="34">
        <v>1</v>
      </c>
      <c r="H1248" s="35">
        <v>18</v>
      </c>
      <c r="I1248" s="35">
        <f>VENTAS[[#This Row],[Cantidad]]*VENTAS[[#This Row],[Precio Venta]]</f>
        <v>18</v>
      </c>
      <c r="J1248" s="35">
        <f>IF(VENTAS[[#This Row],[Nombre del Gestor]]&gt;1,VENTAS[[#This Row],[Total]]*10%,0)</f>
        <v>1.8</v>
      </c>
      <c r="K1248" s="35">
        <f>IFERROR(VLOOKUP(VENTAS[[#This Row],[Código del producto Vendido]],STOCK[],16,FALSE)*VENTAS[[#This Row],[Cantidad]]+VLOOKUP(VENTAS[[#This Row],[Código del producto Vendido]],STOCK[],19,FALSE)*VENTAS[[#This Row],[Cantidad]],VENTAS[[#This Row],[Total]])</f>
        <v>10.94</v>
      </c>
      <c r="L1248" s="35">
        <f>VENTAS[[#This Row],[Total]]-VENTAS[[#This Row],[Comisión 10%]]-VENTAS[[#This Row],[Costo SIN Comision]]</f>
        <v>5.26</v>
      </c>
      <c r="M1248" s="35"/>
    </row>
    <row r="1249" ht="20" customHeight="1" spans="1:13">
      <c r="A1249" s="29">
        <v>45521</v>
      </c>
      <c r="B1249" s="30"/>
      <c r="C1249" s="30" t="s">
        <v>3583</v>
      </c>
      <c r="D1249" s="30" t="s">
        <v>3506</v>
      </c>
      <c r="E1249" s="30" t="s">
        <v>2576</v>
      </c>
      <c r="F1249" s="34" t="str">
        <f>IFERROR(VLOOKUP(VENTAS[[#This Row],[Código del producto Vendido]],STOCK[],5,FALSE),"-")</f>
        <v>Vestido Camisola con estampado de flores y tirantes cruzados</v>
      </c>
      <c r="G1249" s="34">
        <v>1</v>
      </c>
      <c r="H1249" s="35">
        <v>25</v>
      </c>
      <c r="I1249" s="35">
        <f>VENTAS[[#This Row],[Cantidad]]*VENTAS[[#This Row],[Precio Venta]]</f>
        <v>25</v>
      </c>
      <c r="J1249" s="35">
        <f>IF(VENTAS[[#This Row],[Nombre del Gestor]]&gt;1,VENTAS[[#This Row],[Total]]*10%,0)</f>
        <v>2.5</v>
      </c>
      <c r="K1249" s="35">
        <f>IFERROR(VLOOKUP(VENTAS[[#This Row],[Código del producto Vendido]],STOCK[],16,FALSE)*VENTAS[[#This Row],[Cantidad]]+VLOOKUP(VENTAS[[#This Row],[Código del producto Vendido]],STOCK[],19,FALSE)*VENTAS[[#This Row],[Cantidad]],VENTAS[[#This Row],[Total]])</f>
        <v>12.94</v>
      </c>
      <c r="L1249" s="35">
        <f>VENTAS[[#This Row],[Total]]-VENTAS[[#This Row],[Comisión 10%]]-VENTAS[[#This Row],[Costo SIN Comision]]</f>
        <v>9.56</v>
      </c>
      <c r="M1249" s="35"/>
    </row>
    <row r="1250" ht="20" customHeight="1" spans="1:13">
      <c r="A1250" s="29">
        <v>45523</v>
      </c>
      <c r="B1250" s="30"/>
      <c r="C1250" s="30" t="s">
        <v>3584</v>
      </c>
      <c r="D1250" s="30" t="s">
        <v>3506</v>
      </c>
      <c r="E1250" s="30" t="s">
        <v>321</v>
      </c>
      <c r="F1250" s="34" t="str">
        <f>IFERROR(VLOOKUP(VENTAS[[#This Row],[Código del producto Vendido]],STOCK[],5,FALSE),"-")</f>
        <v>Conjunto top corto y pantalones</v>
      </c>
      <c r="G1250" s="34">
        <v>1</v>
      </c>
      <c r="H1250" s="35">
        <v>28</v>
      </c>
      <c r="I1250" s="35">
        <f>VENTAS[[#This Row],[Cantidad]]*VENTAS[[#This Row],[Precio Venta]]</f>
        <v>28</v>
      </c>
      <c r="J1250" s="35">
        <f>IF(VENTAS[[#This Row],[Nombre del Gestor]]&gt;1,VENTAS[[#This Row],[Total]]*10%,0)</f>
        <v>2.8</v>
      </c>
      <c r="K1250" s="35">
        <f>IFERROR(VLOOKUP(VENTAS[[#This Row],[Código del producto Vendido]],STOCK[],16,FALSE)*VENTAS[[#This Row],[Cantidad]]+VLOOKUP(VENTAS[[#This Row],[Código del producto Vendido]],STOCK[],19,FALSE)*VENTAS[[#This Row],[Cantidad]],VENTAS[[#This Row],[Total]])</f>
        <v>18</v>
      </c>
      <c r="L1250" s="35">
        <f>VENTAS[[#This Row],[Total]]-VENTAS[[#This Row],[Comisión 10%]]-VENTAS[[#This Row],[Costo SIN Comision]]</f>
        <v>7.2</v>
      </c>
      <c r="M1250" s="35"/>
    </row>
    <row r="1251" ht="20" customHeight="1" spans="1:13">
      <c r="A1251" s="29">
        <v>45524</v>
      </c>
      <c r="B1251" s="30"/>
      <c r="C1251" s="30" t="s">
        <v>3543</v>
      </c>
      <c r="D1251" s="30" t="s">
        <v>3506</v>
      </c>
      <c r="E1251" s="30" t="s">
        <v>1811</v>
      </c>
      <c r="F1251" s="34" t="str">
        <f>IFERROR(VLOOKUP(VENTAS[[#This Row],[Código del producto Vendido]],STOCK[],5,FALSE),"-")</f>
        <v>Vestido chaleco blazer </v>
      </c>
      <c r="G1251" s="34">
        <v>1</v>
      </c>
      <c r="H1251" s="35">
        <v>35</v>
      </c>
      <c r="I1251" s="35">
        <f>VENTAS[[#This Row],[Cantidad]]*VENTAS[[#This Row],[Precio Venta]]</f>
        <v>35</v>
      </c>
      <c r="J1251" s="35">
        <f>IF(VENTAS[[#This Row],[Nombre del Gestor]]&gt;1,VENTAS[[#This Row],[Total]]*10%,0)</f>
        <v>3.5</v>
      </c>
      <c r="K1251" s="35">
        <f>IFERROR(VLOOKUP(VENTAS[[#This Row],[Código del producto Vendido]],STOCK[],16,FALSE)*VENTAS[[#This Row],[Cantidad]]+VLOOKUP(VENTAS[[#This Row],[Código del producto Vendido]],STOCK[],19,FALSE)*VENTAS[[#This Row],[Cantidad]],VENTAS[[#This Row],[Total]])</f>
        <v>22.9411764705882</v>
      </c>
      <c r="L1251" s="35">
        <f>VENTAS[[#This Row],[Total]]-VENTAS[[#This Row],[Comisión 10%]]-VENTAS[[#This Row],[Costo SIN Comision]]</f>
        <v>8.5588235294118</v>
      </c>
      <c r="M1251" s="35"/>
    </row>
    <row r="1252" ht="20" customHeight="1" spans="1:13">
      <c r="A1252" s="29">
        <v>45525</v>
      </c>
      <c r="B1252" s="30"/>
      <c r="C1252" s="30" t="s">
        <v>3585</v>
      </c>
      <c r="D1252" s="30" t="s">
        <v>3506</v>
      </c>
      <c r="E1252" s="30" t="s">
        <v>2579</v>
      </c>
      <c r="F1252" s="34" t="str">
        <f>IFERROR(VLOOKUP(VENTAS[[#This Row],[Código del producto Vendido]],STOCK[],5,FALSE),"-")</f>
        <v>Vestido Camisola con estampado de flores y tirantes cruzados</v>
      </c>
      <c r="G1252" s="34">
        <v>1</v>
      </c>
      <c r="H1252" s="35">
        <v>25</v>
      </c>
      <c r="I1252" s="35">
        <f>VENTAS[[#This Row],[Cantidad]]*VENTAS[[#This Row],[Precio Venta]]</f>
        <v>25</v>
      </c>
      <c r="J1252" s="35">
        <f>IF(VENTAS[[#This Row],[Nombre del Gestor]]&gt;1,VENTAS[[#This Row],[Total]]*10%,0)</f>
        <v>2.5</v>
      </c>
      <c r="K1252" s="35">
        <f>IFERROR(VLOOKUP(VENTAS[[#This Row],[Código del producto Vendido]],STOCK[],16,FALSE)*VENTAS[[#This Row],[Cantidad]]+VLOOKUP(VENTAS[[#This Row],[Código del producto Vendido]],STOCK[],19,FALSE)*VENTAS[[#This Row],[Cantidad]],VENTAS[[#This Row],[Total]])</f>
        <v>12.94</v>
      </c>
      <c r="L1252" s="35">
        <f>VENTAS[[#This Row],[Total]]-VENTAS[[#This Row],[Comisión 10%]]-VENTAS[[#This Row],[Costo SIN Comision]]</f>
        <v>9.56</v>
      </c>
      <c r="M1252" s="35"/>
    </row>
    <row r="1253" ht="20" customHeight="1" spans="1:13">
      <c r="A1253" s="29">
        <v>45527</v>
      </c>
      <c r="B1253" s="30"/>
      <c r="C1253" s="30" t="s">
        <v>3586</v>
      </c>
      <c r="D1253" s="30" t="s">
        <v>3506</v>
      </c>
      <c r="E1253" s="30" t="s">
        <v>2532</v>
      </c>
      <c r="F1253" s="34" t="str">
        <f>IFERROR(VLOOKUP(VENTAS[[#This Row],[Código del producto Vendido]],STOCK[],5,FALSE),"-")</f>
        <v>Pullover corto unicolor blanco</v>
      </c>
      <c r="G1253" s="34">
        <v>1</v>
      </c>
      <c r="H1253" s="35">
        <v>10</v>
      </c>
      <c r="I1253" s="35">
        <f>VENTAS[[#This Row],[Cantidad]]*VENTAS[[#This Row],[Precio Venta]]</f>
        <v>10</v>
      </c>
      <c r="J1253" s="35">
        <f>IF(VENTAS[[#This Row],[Nombre del Gestor]]&gt;1,VENTAS[[#This Row],[Total]]*10%,0)</f>
        <v>1</v>
      </c>
      <c r="K1253" s="35">
        <f>IFERROR(VLOOKUP(VENTAS[[#This Row],[Código del producto Vendido]],STOCK[],16,FALSE)*VENTAS[[#This Row],[Cantidad]]+VLOOKUP(VENTAS[[#This Row],[Código del producto Vendido]],STOCK[],19,FALSE)*VENTAS[[#This Row],[Cantidad]],VENTAS[[#This Row],[Total]])</f>
        <v>4.32</v>
      </c>
      <c r="L1253" s="35">
        <f>VENTAS[[#This Row],[Total]]-VENTAS[[#This Row],[Comisión 10%]]-VENTAS[[#This Row],[Costo SIN Comision]]</f>
        <v>4.68</v>
      </c>
      <c r="M1253" s="35"/>
    </row>
    <row r="1254" ht="20" customHeight="1" spans="1:13">
      <c r="A1254" s="29">
        <v>45527</v>
      </c>
      <c r="B1254" s="30"/>
      <c r="C1254" s="30" t="s">
        <v>3586</v>
      </c>
      <c r="D1254" s="30" t="s">
        <v>3506</v>
      </c>
      <c r="E1254" s="30" t="s">
        <v>1706</v>
      </c>
      <c r="F1254" s="34" t="str">
        <f>IFERROR(VLOOKUP(VENTAS[[#This Row],[Código del producto Vendido]],STOCK[],5,FALSE),"-")</f>
        <v>Vestido acanalado de manga larga</v>
      </c>
      <c r="G1254" s="34">
        <v>1</v>
      </c>
      <c r="H1254" s="35">
        <v>25</v>
      </c>
      <c r="I1254" s="35">
        <f>VENTAS[[#This Row],[Cantidad]]*VENTAS[[#This Row],[Precio Venta]]</f>
        <v>25</v>
      </c>
      <c r="J1254" s="35">
        <f>IF(VENTAS[[#This Row],[Nombre del Gestor]]&gt;1,VENTAS[[#This Row],[Total]]*10%,0)</f>
        <v>2.5</v>
      </c>
      <c r="K1254" s="35">
        <f>IFERROR(VLOOKUP(VENTAS[[#This Row],[Código del producto Vendido]],STOCK[],16,FALSE)*VENTAS[[#This Row],[Cantidad]]+VLOOKUP(VENTAS[[#This Row],[Código del producto Vendido]],STOCK[],19,FALSE)*VENTAS[[#This Row],[Cantidad]],VENTAS[[#This Row],[Total]])</f>
        <v>18.1</v>
      </c>
      <c r="L1254" s="35">
        <f>VENTAS[[#This Row],[Total]]-VENTAS[[#This Row],[Comisión 10%]]-VENTAS[[#This Row],[Costo SIN Comision]]</f>
        <v>4.4</v>
      </c>
      <c r="M1254" s="35"/>
    </row>
    <row r="1255" ht="20" customHeight="1" spans="1:13">
      <c r="A1255" s="29">
        <v>45528</v>
      </c>
      <c r="B1255" s="30"/>
      <c r="C1255" s="30" t="s">
        <v>3587</v>
      </c>
      <c r="D1255" s="30" t="s">
        <v>3506</v>
      </c>
      <c r="E1255" s="30" t="s">
        <v>859</v>
      </c>
      <c r="F1255" s="34" t="str">
        <f>IFERROR(VLOOKUP(VENTAS[[#This Row],[Código del producto Vendido]],STOCK[],5,FALSE),"-")</f>
        <v>Vestido venturina</v>
      </c>
      <c r="G1255" s="34">
        <v>1</v>
      </c>
      <c r="H1255" s="35">
        <v>16</v>
      </c>
      <c r="I1255" s="35">
        <f>VENTAS[[#This Row],[Cantidad]]*VENTAS[[#This Row],[Precio Venta]]</f>
        <v>16</v>
      </c>
      <c r="J1255" s="35">
        <f>IF(VENTAS[[#This Row],[Nombre del Gestor]]&gt;1,VENTAS[[#This Row],[Total]]*10%,0)</f>
        <v>1.6</v>
      </c>
      <c r="K1255" s="35">
        <f>IFERROR(VLOOKUP(VENTAS[[#This Row],[Código del producto Vendido]],STOCK[],16,FALSE)*VENTAS[[#This Row],[Cantidad]]+VLOOKUP(VENTAS[[#This Row],[Código del producto Vendido]],STOCK[],19,FALSE)*VENTAS[[#This Row],[Cantidad]],VENTAS[[#This Row],[Total]])</f>
        <v>9.11111111111111</v>
      </c>
      <c r="L1255" s="35">
        <f>VENTAS[[#This Row],[Total]]-VENTAS[[#This Row],[Comisión 10%]]-VENTAS[[#This Row],[Costo SIN Comision]]</f>
        <v>5.28888888888889</v>
      </c>
      <c r="M1255" s="35"/>
    </row>
    <row r="1256" ht="20" customHeight="1" spans="1:13">
      <c r="A1256" s="29">
        <v>45509</v>
      </c>
      <c r="B1256" s="30"/>
      <c r="C1256" s="30" t="s">
        <v>3588</v>
      </c>
      <c r="D1256" s="30" t="s">
        <v>3512</v>
      </c>
      <c r="E1256" s="30" t="s">
        <v>2512</v>
      </c>
      <c r="F1256" s="34" t="str">
        <f>IFERROR(VLOOKUP(VENTAS[[#This Row],[Código del producto Vendido]],STOCK[],5,FALSE),"-")</f>
        <v>Bolso pequeño estilo old money</v>
      </c>
      <c r="G1256" s="34">
        <v>1</v>
      </c>
      <c r="H1256" s="35">
        <v>20</v>
      </c>
      <c r="I1256" s="35">
        <f>VENTAS[[#This Row],[Cantidad]]*VENTAS[[#This Row],[Precio Venta]]</f>
        <v>20</v>
      </c>
      <c r="J1256" s="35">
        <f>IF(VENTAS[[#This Row],[Nombre del Gestor]]&gt;1,VENTAS[[#This Row],[Total]]*10%,0)</f>
        <v>2</v>
      </c>
      <c r="K1256" s="35">
        <f>IFERROR(VLOOKUP(VENTAS[[#This Row],[Código del producto Vendido]],STOCK[],16,FALSE)*VENTAS[[#This Row],[Cantidad]]+VLOOKUP(VENTAS[[#This Row],[Código del producto Vendido]],STOCK[],19,FALSE)*VENTAS[[#This Row],[Cantidad]],VENTAS[[#This Row],[Total]])</f>
        <v>11.49</v>
      </c>
      <c r="L1256" s="35">
        <f>VENTAS[[#This Row],[Total]]-VENTAS[[#This Row],[Comisión 10%]]-VENTAS[[#This Row],[Costo SIN Comision]]</f>
        <v>6.51</v>
      </c>
      <c r="M1256" s="35"/>
    </row>
    <row r="1257" ht="20" customHeight="1" spans="1:13">
      <c r="A1257" s="29">
        <v>45526</v>
      </c>
      <c r="B1257" s="30"/>
      <c r="C1257" s="30" t="s">
        <v>3574</v>
      </c>
      <c r="D1257" s="30"/>
      <c r="E1257" s="30" t="s">
        <v>2514</v>
      </c>
      <c r="F1257" s="34" t="str">
        <f>IFERROR(VLOOKUP(VENTAS[[#This Row],[Código del producto Vendido]],STOCK[],5,FALSE),"-")</f>
        <v>Bolso media luna de rafia de tamaño medio</v>
      </c>
      <c r="G1257" s="34">
        <v>1</v>
      </c>
      <c r="H1257" s="35">
        <v>22</v>
      </c>
      <c r="I1257" s="35">
        <f>VENTAS[[#This Row],[Cantidad]]*VENTAS[[#This Row],[Precio Venta]]</f>
        <v>22</v>
      </c>
      <c r="J1257" s="35">
        <f>IF(VENTAS[[#This Row],[Nombre del Gestor]]&gt;1,VENTAS[[#This Row],[Total]]*10%,0)</f>
        <v>0</v>
      </c>
      <c r="K1257" s="35">
        <f>IFERROR(VLOOKUP(VENTAS[[#This Row],[Código del producto Vendido]],STOCK[],16,FALSE)*VENTAS[[#This Row],[Cantidad]]+VLOOKUP(VENTAS[[#This Row],[Código del producto Vendido]],STOCK[],19,FALSE)*VENTAS[[#This Row],[Cantidad]],VENTAS[[#This Row],[Total]])</f>
        <v>12.83</v>
      </c>
      <c r="L1257" s="35">
        <f>VENTAS[[#This Row],[Total]]-VENTAS[[#This Row],[Comisión 10%]]-VENTAS[[#This Row],[Costo SIN Comision]]</f>
        <v>9.17</v>
      </c>
      <c r="M1257" s="35"/>
    </row>
    <row r="1258" ht="20" customHeight="1" spans="1:13">
      <c r="A1258" s="29">
        <v>45509</v>
      </c>
      <c r="B1258" s="30"/>
      <c r="C1258" s="30" t="s">
        <v>3588</v>
      </c>
      <c r="D1258" s="30" t="s">
        <v>3512</v>
      </c>
      <c r="E1258" s="30" t="s">
        <v>2496</v>
      </c>
      <c r="F1258" s="34" t="str">
        <f>IFERROR(VLOOKUP(VENTAS[[#This Row],[Código del producto Vendido]],STOCK[],5,FALSE),"-")</f>
        <v>Bolso tejido redondo de gran capidad </v>
      </c>
      <c r="G1258" s="34">
        <v>1</v>
      </c>
      <c r="H1258" s="35">
        <v>25</v>
      </c>
      <c r="I1258" s="35">
        <f>VENTAS[[#This Row],[Cantidad]]*VENTAS[[#This Row],[Precio Venta]]</f>
        <v>25</v>
      </c>
      <c r="J1258" s="35">
        <f>IF(VENTAS[[#This Row],[Nombre del Gestor]]&gt;1,VENTAS[[#This Row],[Total]]*10%,0)</f>
        <v>2.5</v>
      </c>
      <c r="K1258" s="35">
        <f>IFERROR(VLOOKUP(VENTAS[[#This Row],[Código del producto Vendido]],STOCK[],16,FALSE)*VENTAS[[#This Row],[Cantidad]]+VLOOKUP(VENTAS[[#This Row],[Código del producto Vendido]],STOCK[],19,FALSE)*VENTAS[[#This Row],[Cantidad]],VENTAS[[#This Row],[Total]])</f>
        <v>11.67</v>
      </c>
      <c r="L1258" s="35">
        <f>VENTAS[[#This Row],[Total]]-VENTAS[[#This Row],[Comisión 10%]]-VENTAS[[#This Row],[Costo SIN Comision]]</f>
        <v>10.83</v>
      </c>
      <c r="M1258" s="35"/>
    </row>
    <row r="1259" ht="20" customHeight="1" spans="1:13">
      <c r="A1259" s="29">
        <v>45520</v>
      </c>
      <c r="B1259" s="30"/>
      <c r="C1259" s="30" t="s">
        <v>3589</v>
      </c>
      <c r="D1259" s="30" t="s">
        <v>3512</v>
      </c>
      <c r="E1259" s="30" t="s">
        <v>2219</v>
      </c>
      <c r="F1259" s="34" t="str">
        <f>IFERROR(VLOOKUP(VENTAS[[#This Row],[Código del producto Vendido]],STOCK[],5,FALSE),"-")</f>
        <v>Set de bikini con cobertor de playa</v>
      </c>
      <c r="G1259" s="34">
        <v>1</v>
      </c>
      <c r="H1259" s="35">
        <v>25</v>
      </c>
      <c r="I1259" s="35">
        <f>VENTAS[[#This Row],[Cantidad]]*VENTAS[[#This Row],[Precio Venta]]</f>
        <v>25</v>
      </c>
      <c r="J1259" s="35">
        <f>IF(VENTAS[[#This Row],[Nombre del Gestor]]&gt;1,VENTAS[[#This Row],[Total]]*10%,0)</f>
        <v>2.5</v>
      </c>
      <c r="K1259" s="35">
        <f>IFERROR(VLOOKUP(VENTAS[[#This Row],[Código del producto Vendido]],STOCK[],16,FALSE)*VENTAS[[#This Row],[Cantidad]]+VLOOKUP(VENTAS[[#This Row],[Código del producto Vendido]],STOCK[],19,FALSE)*VENTAS[[#This Row],[Cantidad]],VENTAS[[#This Row],[Total]])</f>
        <v>11.65</v>
      </c>
      <c r="L1259" s="35">
        <f>VENTAS[[#This Row],[Total]]-VENTAS[[#This Row],[Comisión 10%]]-VENTAS[[#This Row],[Costo SIN Comision]]</f>
        <v>10.85</v>
      </c>
      <c r="M1259" s="35"/>
    </row>
    <row r="1260" ht="20" customHeight="1" spans="1:13">
      <c r="A1260" s="29">
        <v>45513</v>
      </c>
      <c r="B1260" s="30"/>
      <c r="C1260" s="30" t="s">
        <v>3590</v>
      </c>
      <c r="D1260" s="30" t="s">
        <v>3513</v>
      </c>
      <c r="E1260" s="30" t="s">
        <v>2598</v>
      </c>
      <c r="F1260" s="34" t="str">
        <f>IFERROR(VLOOKUP(VENTAS[[#This Row],[Código del producto Vendido]],STOCK[],5,FALSE),"-")</f>
        <v>Bolso verano de rafia en bloque de color</v>
      </c>
      <c r="G1260" s="34">
        <v>1</v>
      </c>
      <c r="H1260" s="35">
        <v>22</v>
      </c>
      <c r="I1260" s="35">
        <f>VENTAS[[#This Row],[Cantidad]]*VENTAS[[#This Row],[Precio Venta]]</f>
        <v>22</v>
      </c>
      <c r="J1260" s="35">
        <f>IF(VENTAS[[#This Row],[Nombre del Gestor]]&gt;1,VENTAS[[#This Row],[Total]]*10%,0)</f>
        <v>2.2</v>
      </c>
      <c r="K1260" s="35">
        <f>IFERROR(VLOOKUP(VENTAS[[#This Row],[Código del producto Vendido]],STOCK[],16,FALSE)*VENTAS[[#This Row],[Cantidad]]+VLOOKUP(VENTAS[[#This Row],[Código del producto Vendido]],STOCK[],19,FALSE)*VENTAS[[#This Row],[Cantidad]],VENTAS[[#This Row],[Total]])</f>
        <v>5.96</v>
      </c>
      <c r="L1260" s="35">
        <f>VENTAS[[#This Row],[Total]]-VENTAS[[#This Row],[Comisión 10%]]-VENTAS[[#This Row],[Costo SIN Comision]]</f>
        <v>13.84</v>
      </c>
      <c r="M1260" s="35"/>
    </row>
    <row r="1261" ht="20" customHeight="1" spans="1:13">
      <c r="A1261" s="29">
        <v>45508</v>
      </c>
      <c r="B1261" s="30"/>
      <c r="C1261" s="30" t="s">
        <v>3591</v>
      </c>
      <c r="D1261" s="30" t="s">
        <v>3512</v>
      </c>
      <c r="E1261" s="30" t="s">
        <v>2672</v>
      </c>
      <c r="F1261" s="34" t="str">
        <f>IFERROR(VLOOKUP(VENTAS[[#This Row],[Código del producto Vendido]],STOCK[],5,FALSE),"-")</f>
        <v>Traje de baño clásico en bloque de color de talle alto</v>
      </c>
      <c r="G1261" s="34">
        <v>1</v>
      </c>
      <c r="H1261" s="35">
        <v>28</v>
      </c>
      <c r="I1261" s="35">
        <f>VENTAS[[#This Row],[Cantidad]]*VENTAS[[#This Row],[Precio Venta]]</f>
        <v>28</v>
      </c>
      <c r="J1261" s="35">
        <f>IF(VENTAS[[#This Row],[Nombre del Gestor]]&gt;1,VENTAS[[#This Row],[Total]]*10%,0)</f>
        <v>2.8</v>
      </c>
      <c r="K1261" s="35">
        <f>IFERROR(VLOOKUP(VENTAS[[#This Row],[Código del producto Vendido]],STOCK[],16,FALSE)*VENTAS[[#This Row],[Cantidad]]+VLOOKUP(VENTAS[[#This Row],[Código del producto Vendido]],STOCK[],19,FALSE)*VENTAS[[#This Row],[Cantidad]],VENTAS[[#This Row],[Total]])</f>
        <v>10.4</v>
      </c>
      <c r="L1261" s="35">
        <f>VENTAS[[#This Row],[Total]]-VENTAS[[#This Row],[Comisión 10%]]-VENTAS[[#This Row],[Costo SIN Comision]]</f>
        <v>14.8</v>
      </c>
      <c r="M1261" s="35"/>
    </row>
    <row r="1262" ht="20" customHeight="1" spans="1:13">
      <c r="A1262" s="29">
        <v>45512</v>
      </c>
      <c r="B1262" s="30"/>
      <c r="C1262" s="30" t="s">
        <v>3592</v>
      </c>
      <c r="D1262" s="30" t="s">
        <v>3512</v>
      </c>
      <c r="E1262" s="30" t="s">
        <v>2491</v>
      </c>
      <c r="F1262" s="34" t="str">
        <f>IFERROR(VLOOKUP(VENTAS[[#This Row],[Código del producto Vendido]],STOCK[],5,FALSE),"-")</f>
        <v>Blusa blanca de lazos y manga abullonada</v>
      </c>
      <c r="G1262" s="34">
        <v>1</v>
      </c>
      <c r="H1262" s="35">
        <v>18</v>
      </c>
      <c r="I1262" s="35">
        <f>VENTAS[[#This Row],[Cantidad]]*VENTAS[[#This Row],[Precio Venta]]</f>
        <v>18</v>
      </c>
      <c r="J1262" s="35">
        <f>IF(VENTAS[[#This Row],[Nombre del Gestor]]&gt;1,VENTAS[[#This Row],[Total]]*10%,0)</f>
        <v>1.8</v>
      </c>
      <c r="K1262" s="35">
        <f>IFERROR(VLOOKUP(VENTAS[[#This Row],[Código del producto Vendido]],STOCK[],16,FALSE)*VENTAS[[#This Row],[Cantidad]]+VLOOKUP(VENTAS[[#This Row],[Código del producto Vendido]],STOCK[],19,FALSE)*VENTAS[[#This Row],[Cantidad]],VENTAS[[#This Row],[Total]])</f>
        <v>10.94</v>
      </c>
      <c r="L1262" s="35">
        <f>VENTAS[[#This Row],[Total]]-VENTAS[[#This Row],[Comisión 10%]]-VENTAS[[#This Row],[Costo SIN Comision]]</f>
        <v>5.26</v>
      </c>
      <c r="M1262" s="35"/>
    </row>
    <row r="1263" ht="20" customHeight="1" spans="1:13">
      <c r="A1263" s="29">
        <v>45523</v>
      </c>
      <c r="B1263" s="30"/>
      <c r="C1263" s="30" t="s">
        <v>3593</v>
      </c>
      <c r="D1263" s="30" t="s">
        <v>3512</v>
      </c>
      <c r="E1263" s="30" t="s">
        <v>109</v>
      </c>
      <c r="F1263" s="34" t="str">
        <f>IFERROR(VLOOKUP(VENTAS[[#This Row],[Código del producto Vendido]],STOCK[],5,FALSE),"-")</f>
        <v>Bañador de zíper en color combinado</v>
      </c>
      <c r="G1263" s="34">
        <v>1</v>
      </c>
      <c r="H1263" s="35">
        <v>25</v>
      </c>
      <c r="I1263" s="35">
        <f>VENTAS[[#This Row],[Cantidad]]*VENTAS[[#This Row],[Precio Venta]]</f>
        <v>25</v>
      </c>
      <c r="J1263" s="35">
        <f>IF(VENTAS[[#This Row],[Nombre del Gestor]]&gt;1,VENTAS[[#This Row],[Total]]*10%,0)</f>
        <v>2.5</v>
      </c>
      <c r="K1263" s="35">
        <f>IFERROR(VLOOKUP(VENTAS[[#This Row],[Código del producto Vendido]],STOCK[],16,FALSE)*VENTAS[[#This Row],[Cantidad]]+VLOOKUP(VENTAS[[#This Row],[Código del producto Vendido]],STOCK[],19,FALSE)*VENTAS[[#This Row],[Cantidad]],VENTAS[[#This Row],[Total]])</f>
        <v>19.1588888888889</v>
      </c>
      <c r="L1263" s="35">
        <f>VENTAS[[#This Row],[Total]]-VENTAS[[#This Row],[Comisión 10%]]-VENTAS[[#This Row],[Costo SIN Comision]]</f>
        <v>3.3411111111111</v>
      </c>
      <c r="M1263" s="35"/>
    </row>
    <row r="1264" ht="20" customHeight="1" spans="1:13">
      <c r="A1264" s="29">
        <v>45527</v>
      </c>
      <c r="B1264" s="30"/>
      <c r="C1264" s="30" t="s">
        <v>3594</v>
      </c>
      <c r="D1264" s="30" t="s">
        <v>3513</v>
      </c>
      <c r="E1264" s="30" t="s">
        <v>2691</v>
      </c>
      <c r="F1264" s="34" t="str">
        <f>IFERROR(VLOOKUP(VENTAS[[#This Row],[Código del producto Vendido]],STOCK[],5,FALSE),"-")</f>
        <v>Set de Splash y crema de Victoria Secret (Original) Bare Vainilla</v>
      </c>
      <c r="G1264" s="34">
        <v>1</v>
      </c>
      <c r="H1264" s="35">
        <v>40</v>
      </c>
      <c r="I1264" s="35">
        <f>VENTAS[[#This Row],[Cantidad]]*VENTAS[[#This Row],[Precio Venta]]</f>
        <v>40</v>
      </c>
      <c r="J1264" s="35">
        <f>IF(VENTAS[[#This Row],[Nombre del Gestor]]&gt;1,VENTAS[[#This Row],[Total]]*10%,0)</f>
        <v>4</v>
      </c>
      <c r="K1264" s="35">
        <f>IFERROR(VLOOKUP(VENTAS[[#This Row],[Código del producto Vendido]],STOCK[],16,FALSE)*VENTAS[[#This Row],[Cantidad]]+VLOOKUP(VENTAS[[#This Row],[Código del producto Vendido]],STOCK[],19,FALSE)*VENTAS[[#This Row],[Cantidad]],VENTAS[[#This Row],[Total]])</f>
        <v>16.37</v>
      </c>
      <c r="L1264" s="35">
        <f>VENTAS[[#This Row],[Total]]-VENTAS[[#This Row],[Comisión 10%]]-VENTAS[[#This Row],[Costo SIN Comision]]</f>
        <v>19.63</v>
      </c>
      <c r="M1264" s="35"/>
    </row>
    <row r="1265" ht="20" customHeight="1" spans="1:13">
      <c r="A1265" s="29">
        <v>45510</v>
      </c>
      <c r="B1265" s="30"/>
      <c r="C1265" s="30" t="s">
        <v>3595</v>
      </c>
      <c r="D1265" s="30" t="s">
        <v>3451</v>
      </c>
      <c r="E1265" s="30" t="s">
        <v>2584</v>
      </c>
      <c r="F1265" s="34" t="str">
        <f>IFERROR(VLOOKUP(VENTAS[[#This Row],[Código del producto Vendido]],STOCK[],5,FALSE),"-")</f>
        <v>Vestido blanco espalda cruzada</v>
      </c>
      <c r="G1265" s="34">
        <v>1</v>
      </c>
      <c r="H1265" s="35">
        <v>30</v>
      </c>
      <c r="I1265" s="35">
        <f>VENTAS[[#This Row],[Cantidad]]*VENTAS[[#This Row],[Precio Venta]]</f>
        <v>30</v>
      </c>
      <c r="J1265" s="35">
        <f>IF(VENTAS[[#This Row],[Nombre del Gestor]]&gt;1,VENTAS[[#This Row],[Total]]*10%,0)</f>
        <v>3</v>
      </c>
      <c r="K1265" s="35">
        <f>IFERROR(VLOOKUP(VENTAS[[#This Row],[Código del producto Vendido]],STOCK[],16,FALSE)*VENTAS[[#This Row],[Cantidad]]+VLOOKUP(VENTAS[[#This Row],[Código del producto Vendido]],STOCK[],19,FALSE)*VENTAS[[#This Row],[Cantidad]],VENTAS[[#This Row],[Total]])</f>
        <v>15.44</v>
      </c>
      <c r="L1265" s="35">
        <f>VENTAS[[#This Row],[Total]]-VENTAS[[#This Row],[Comisión 10%]]-VENTAS[[#This Row],[Costo SIN Comision]]</f>
        <v>11.56</v>
      </c>
      <c r="M1265" s="35"/>
    </row>
    <row r="1266" ht="20" customHeight="1" spans="1:13">
      <c r="A1266" s="29">
        <v>45511</v>
      </c>
      <c r="B1266" s="30"/>
      <c r="C1266" s="30" t="s">
        <v>3596</v>
      </c>
      <c r="D1266" s="30" t="s">
        <v>3451</v>
      </c>
      <c r="E1266" s="30" t="s">
        <v>2496</v>
      </c>
      <c r="F1266" s="34" t="str">
        <f>IFERROR(VLOOKUP(VENTAS[[#This Row],[Código del producto Vendido]],STOCK[],5,FALSE),"-")</f>
        <v>Bolso tejido redondo de gran capidad </v>
      </c>
      <c r="G1266" s="34">
        <v>1</v>
      </c>
      <c r="H1266" s="35">
        <v>25</v>
      </c>
      <c r="I1266" s="35">
        <f>VENTAS[[#This Row],[Cantidad]]*VENTAS[[#This Row],[Precio Venta]]</f>
        <v>25</v>
      </c>
      <c r="J1266" s="35">
        <f>IF(VENTAS[[#This Row],[Nombre del Gestor]]&gt;1,VENTAS[[#This Row],[Total]]*10%,0)</f>
        <v>2.5</v>
      </c>
      <c r="K1266" s="35">
        <f>IFERROR(VLOOKUP(VENTAS[[#This Row],[Código del producto Vendido]],STOCK[],16,FALSE)*VENTAS[[#This Row],[Cantidad]]+VLOOKUP(VENTAS[[#This Row],[Código del producto Vendido]],STOCK[],19,FALSE)*VENTAS[[#This Row],[Cantidad]],VENTAS[[#This Row],[Total]])</f>
        <v>11.67</v>
      </c>
      <c r="L1266" s="35">
        <f>VENTAS[[#This Row],[Total]]-VENTAS[[#This Row],[Comisión 10%]]-VENTAS[[#This Row],[Costo SIN Comision]]</f>
        <v>10.83</v>
      </c>
      <c r="M1266" s="35"/>
    </row>
    <row r="1267" ht="20" customHeight="1" spans="1:13">
      <c r="A1267" s="29">
        <v>45527</v>
      </c>
      <c r="B1267" s="30"/>
      <c r="C1267" s="30" t="s">
        <v>3541</v>
      </c>
      <c r="D1267" s="30" t="s">
        <v>3451</v>
      </c>
      <c r="E1267" s="30" t="s">
        <v>2507</v>
      </c>
      <c r="F1267" s="34" t="str">
        <f>IFERROR(VLOOKUP(VENTAS[[#This Row],[Código del producto Vendido]],STOCK[],5,FALSE),"-")</f>
        <v>Falda Pantalón de mezclilla</v>
      </c>
      <c r="G1267" s="34">
        <v>1</v>
      </c>
      <c r="H1267" s="35">
        <v>30</v>
      </c>
      <c r="I1267" s="35">
        <f>VENTAS[[#This Row],[Cantidad]]*VENTAS[[#This Row],[Precio Venta]]</f>
        <v>30</v>
      </c>
      <c r="J1267" s="35">
        <f>IF(VENTAS[[#This Row],[Nombre del Gestor]]&gt;1,VENTAS[[#This Row],[Total]]*10%,0)</f>
        <v>3</v>
      </c>
      <c r="K1267" s="35">
        <f>IFERROR(VLOOKUP(VENTAS[[#This Row],[Código del producto Vendido]],STOCK[],16,FALSE)*VENTAS[[#This Row],[Cantidad]]+VLOOKUP(VENTAS[[#This Row],[Código del producto Vendido]],STOCK[],19,FALSE)*VENTAS[[#This Row],[Cantidad]],VENTAS[[#This Row],[Total]])</f>
        <v>19.19</v>
      </c>
      <c r="L1267" s="35">
        <f>VENTAS[[#This Row],[Total]]-VENTAS[[#This Row],[Comisión 10%]]-VENTAS[[#This Row],[Costo SIN Comision]]</f>
        <v>7.81</v>
      </c>
      <c r="M1267" s="35"/>
    </row>
    <row r="1268" ht="20" customHeight="1" spans="1:13">
      <c r="A1268" s="29">
        <v>45527</v>
      </c>
      <c r="B1268" s="30"/>
      <c r="C1268" s="30" t="s">
        <v>3541</v>
      </c>
      <c r="D1268" s="30" t="s">
        <v>3451</v>
      </c>
      <c r="E1268" s="30" t="s">
        <v>100</v>
      </c>
      <c r="F1268" s="34" t="str">
        <f>IFERROR(VLOOKUP(VENTAS[[#This Row],[Código del producto Vendido]],STOCK[],5,FALSE),"-")</f>
        <v>Pareo pantalón de malla</v>
      </c>
      <c r="G1268" s="34">
        <v>1</v>
      </c>
      <c r="H1268" s="35">
        <v>15</v>
      </c>
      <c r="I1268" s="35">
        <f>VENTAS[[#This Row],[Cantidad]]*VENTAS[[#This Row],[Precio Venta]]</f>
        <v>15</v>
      </c>
      <c r="J1268" s="35">
        <f>IF(VENTAS[[#This Row],[Nombre del Gestor]]&gt;1,VENTAS[[#This Row],[Total]]*10%,0)</f>
        <v>1.5</v>
      </c>
      <c r="K1268" s="35">
        <f>IFERROR(VLOOKUP(VENTAS[[#This Row],[Código del producto Vendido]],STOCK[],16,FALSE)*VENTAS[[#This Row],[Cantidad]]+VLOOKUP(VENTAS[[#This Row],[Código del producto Vendido]],STOCK[],19,FALSE)*VENTAS[[#This Row],[Cantidad]],VENTAS[[#This Row],[Total]])</f>
        <v>9.78555555555556</v>
      </c>
      <c r="L1268" s="35">
        <f>VENTAS[[#This Row],[Total]]-VENTAS[[#This Row],[Comisión 10%]]-VENTAS[[#This Row],[Costo SIN Comision]]</f>
        <v>3.71444444444444</v>
      </c>
      <c r="M1268" s="35"/>
    </row>
    <row r="1269" ht="20" customHeight="1" spans="1:13">
      <c r="A1269" s="29">
        <v>45526</v>
      </c>
      <c r="B1269" s="30"/>
      <c r="C1269" s="30" t="s">
        <v>3597</v>
      </c>
      <c r="D1269" s="30" t="s">
        <v>3451</v>
      </c>
      <c r="E1269" s="30" t="s">
        <v>2486</v>
      </c>
      <c r="F1269" s="34" t="str">
        <f>IFERROR(VLOOKUP(VENTAS[[#This Row],[Código del producto Vendido]],STOCK[],5,FALSE),"-")</f>
        <v>Sandalias prácticas chunky blanco crema</v>
      </c>
      <c r="G1269" s="34">
        <v>1</v>
      </c>
      <c r="H1269" s="35">
        <v>35</v>
      </c>
      <c r="I1269" s="35">
        <f>VENTAS[[#This Row],[Cantidad]]*VENTAS[[#This Row],[Precio Venta]]</f>
        <v>35</v>
      </c>
      <c r="J1269" s="35">
        <f>IF(VENTAS[[#This Row],[Nombre del Gestor]]&gt;1,VENTAS[[#This Row],[Total]]*10%,0)</f>
        <v>3.5</v>
      </c>
      <c r="K1269" s="35">
        <f>IFERROR(VLOOKUP(VENTAS[[#This Row],[Código del producto Vendido]],STOCK[],16,FALSE)*VENTAS[[#This Row],[Cantidad]]+VLOOKUP(VENTAS[[#This Row],[Código del producto Vendido]],STOCK[],19,FALSE)*VENTAS[[#This Row],[Cantidad]],VENTAS[[#This Row],[Total]])</f>
        <v>24.2174</v>
      </c>
      <c r="L1269" s="35">
        <f>VENTAS[[#This Row],[Total]]-VENTAS[[#This Row],[Comisión 10%]]-VENTAS[[#This Row],[Costo SIN Comision]]</f>
        <v>7.2826</v>
      </c>
      <c r="M1269" s="35"/>
    </row>
    <row r="1270" ht="20" customHeight="1" spans="1:13">
      <c r="A1270" s="29">
        <v>45514</v>
      </c>
      <c r="B1270" s="30"/>
      <c r="C1270" s="30" t="s">
        <v>3545</v>
      </c>
      <c r="D1270" s="30" t="s">
        <v>3451</v>
      </c>
      <c r="E1270" s="30" t="s">
        <v>2524</v>
      </c>
      <c r="F1270" s="34" t="str">
        <f>IFERROR(VLOOKUP(VENTAS[[#This Row],[Código del producto Vendido]],STOCK[],5,FALSE),"-")</f>
        <v>Blusa de lazos color negro</v>
      </c>
      <c r="G1270" s="34">
        <v>1</v>
      </c>
      <c r="H1270" s="35">
        <v>18</v>
      </c>
      <c r="I1270" s="35">
        <f>VENTAS[[#This Row],[Cantidad]]*VENTAS[[#This Row],[Precio Venta]]</f>
        <v>18</v>
      </c>
      <c r="J1270" s="35">
        <f>IF(VENTAS[[#This Row],[Nombre del Gestor]]&gt;1,VENTAS[[#This Row],[Total]]*10%,0)</f>
        <v>1.8</v>
      </c>
      <c r="K1270" s="35">
        <f>IFERROR(VLOOKUP(VENTAS[[#This Row],[Código del producto Vendido]],STOCK[],16,FALSE)*VENTAS[[#This Row],[Cantidad]]+VLOOKUP(VENTAS[[#This Row],[Código del producto Vendido]],STOCK[],19,FALSE)*VENTAS[[#This Row],[Cantidad]],VENTAS[[#This Row],[Total]])</f>
        <v>10.22</v>
      </c>
      <c r="L1270" s="35">
        <f>VENTAS[[#This Row],[Total]]-VENTAS[[#This Row],[Comisión 10%]]-VENTAS[[#This Row],[Costo SIN Comision]]</f>
        <v>5.98</v>
      </c>
      <c r="M1270" s="35"/>
    </row>
    <row r="1271" ht="20" customHeight="1" spans="1:13">
      <c r="A1271" s="29">
        <v>45513</v>
      </c>
      <c r="B1271" s="30"/>
      <c r="C1271" s="30" t="s">
        <v>3598</v>
      </c>
      <c r="D1271" s="30" t="s">
        <v>3451</v>
      </c>
      <c r="E1271" s="30" t="s">
        <v>2584</v>
      </c>
      <c r="F1271" s="34" t="str">
        <f>IFERROR(VLOOKUP(VENTAS[[#This Row],[Código del producto Vendido]],STOCK[],5,FALSE),"-")</f>
        <v>Vestido blanco espalda cruzada</v>
      </c>
      <c r="G1271" s="34">
        <v>1</v>
      </c>
      <c r="H1271" s="35">
        <v>30</v>
      </c>
      <c r="I1271" s="35">
        <f>VENTAS[[#This Row],[Cantidad]]*VENTAS[[#This Row],[Precio Venta]]</f>
        <v>30</v>
      </c>
      <c r="J1271" s="35">
        <f>IF(VENTAS[[#This Row],[Nombre del Gestor]]&gt;1,VENTAS[[#This Row],[Total]]*10%,0)</f>
        <v>3</v>
      </c>
      <c r="K1271" s="35">
        <f>IFERROR(VLOOKUP(VENTAS[[#This Row],[Código del producto Vendido]],STOCK[],16,FALSE)*VENTAS[[#This Row],[Cantidad]]+VLOOKUP(VENTAS[[#This Row],[Código del producto Vendido]],STOCK[],19,FALSE)*VENTAS[[#This Row],[Cantidad]],VENTAS[[#This Row],[Total]])</f>
        <v>15.44</v>
      </c>
      <c r="L1271" s="35">
        <f>VENTAS[[#This Row],[Total]]-VENTAS[[#This Row],[Comisión 10%]]-VENTAS[[#This Row],[Costo SIN Comision]]</f>
        <v>11.56</v>
      </c>
      <c r="M1271" s="35"/>
    </row>
    <row r="1272" ht="20" customHeight="1" spans="1:13">
      <c r="A1272" s="29">
        <v>45514</v>
      </c>
      <c r="B1272" s="30"/>
      <c r="C1272" s="30" t="s">
        <v>3599</v>
      </c>
      <c r="D1272" s="30" t="s">
        <v>3451</v>
      </c>
      <c r="E1272" s="30" t="s">
        <v>2462</v>
      </c>
      <c r="F1272" s="34" t="str">
        <f>IFERROR(VLOOKUP(VENTAS[[#This Row],[Código del producto Vendido]],STOCK[],5,FALSE),"-")</f>
        <v>Sandalias de plataforma en bloque de color</v>
      </c>
      <c r="G1272" s="34">
        <v>1</v>
      </c>
      <c r="H1272" s="35">
        <v>35</v>
      </c>
      <c r="I1272" s="35">
        <f>VENTAS[[#This Row],[Cantidad]]*VENTAS[[#This Row],[Precio Venta]]</f>
        <v>35</v>
      </c>
      <c r="J1272" s="35">
        <f>IF(VENTAS[[#This Row],[Nombre del Gestor]]&gt;1,VENTAS[[#This Row],[Total]]*10%,0)</f>
        <v>3.5</v>
      </c>
      <c r="K1272" s="35">
        <f>IFERROR(VLOOKUP(VENTAS[[#This Row],[Código del producto Vendido]],STOCK[],16,FALSE)*VENTAS[[#This Row],[Cantidad]]+VLOOKUP(VENTAS[[#This Row],[Código del producto Vendido]],STOCK[],19,FALSE)*VENTAS[[#This Row],[Cantidad]],VENTAS[[#This Row],[Total]])</f>
        <v>21.97</v>
      </c>
      <c r="L1272" s="35">
        <f>VENTAS[[#This Row],[Total]]-VENTAS[[#This Row],[Comisión 10%]]-VENTAS[[#This Row],[Costo SIN Comision]]</f>
        <v>9.53</v>
      </c>
      <c r="M1272" s="35"/>
    </row>
    <row r="1273" ht="20" customHeight="1" spans="1:13">
      <c r="A1273" s="29">
        <v>45521</v>
      </c>
      <c r="B1273" s="30"/>
      <c r="C1273" s="30" t="s">
        <v>3450</v>
      </c>
      <c r="D1273" s="30" t="s">
        <v>3451</v>
      </c>
      <c r="E1273" s="30" t="s">
        <v>1122</v>
      </c>
      <c r="F1273" s="34" t="str">
        <f>IFERROR(VLOOKUP(VENTAS[[#This Row],[Código del producto Vendido]],STOCK[],5,FALSE),"-")</f>
        <v>Sandalias de tacón con tiras </v>
      </c>
      <c r="G1273" s="34">
        <v>1</v>
      </c>
      <c r="H1273" s="35">
        <v>40</v>
      </c>
      <c r="I1273" s="35">
        <f>VENTAS[[#This Row],[Cantidad]]*VENTAS[[#This Row],[Precio Venta]]</f>
        <v>40</v>
      </c>
      <c r="J1273" s="35">
        <f>IF(VENTAS[[#This Row],[Nombre del Gestor]]&gt;1,VENTAS[[#This Row],[Total]]*10%,0)</f>
        <v>4</v>
      </c>
      <c r="K1273" s="35">
        <f>IFERROR(VLOOKUP(VENTAS[[#This Row],[Código del producto Vendido]],STOCK[],16,FALSE)*VENTAS[[#This Row],[Cantidad]]+VLOOKUP(VENTAS[[#This Row],[Código del producto Vendido]],STOCK[],19,FALSE)*VENTAS[[#This Row],[Cantidad]],VENTAS[[#This Row],[Total]])</f>
        <v>27.1529411764706</v>
      </c>
      <c r="L1273" s="35">
        <f>VENTAS[[#This Row],[Total]]-VENTAS[[#This Row],[Comisión 10%]]-VENTAS[[#This Row],[Costo SIN Comision]]</f>
        <v>8.8470588235294</v>
      </c>
      <c r="M1273" s="35"/>
    </row>
    <row r="1274" ht="20" customHeight="1" spans="1:13">
      <c r="A1274" s="29">
        <v>45523</v>
      </c>
      <c r="B1274" s="30"/>
      <c r="C1274" s="30" t="s">
        <v>3600</v>
      </c>
      <c r="D1274" s="30" t="s">
        <v>3451</v>
      </c>
      <c r="E1274" s="30" t="s">
        <v>1735</v>
      </c>
      <c r="F1274" s="34" t="str">
        <f>IFERROR(VLOOKUP(VENTAS[[#This Row],[Código del producto Vendido]],STOCK[],5,FALSE),"-")</f>
        <v>Chaleco de traje Negro</v>
      </c>
      <c r="G1274" s="34">
        <v>1</v>
      </c>
      <c r="H1274" s="35">
        <v>25</v>
      </c>
      <c r="I1274" s="35">
        <f>VENTAS[[#This Row],[Cantidad]]*VENTAS[[#This Row],[Precio Venta]]</f>
        <v>25</v>
      </c>
      <c r="J1274" s="35">
        <f>IF(VENTAS[[#This Row],[Nombre del Gestor]]&gt;1,VENTAS[[#This Row],[Total]]*10%,0)</f>
        <v>2.5</v>
      </c>
      <c r="K1274" s="35">
        <f>IFERROR(VLOOKUP(VENTAS[[#This Row],[Código del producto Vendido]],STOCK[],16,FALSE)*VENTAS[[#This Row],[Cantidad]]+VLOOKUP(VENTAS[[#This Row],[Código del producto Vendido]],STOCK[],19,FALSE)*VENTAS[[#This Row],[Cantidad]],VENTAS[[#This Row],[Total]])</f>
        <v>17.9411764705882</v>
      </c>
      <c r="L1274" s="35">
        <f>VENTAS[[#This Row],[Total]]-VENTAS[[#This Row],[Comisión 10%]]-VENTAS[[#This Row],[Costo SIN Comision]]</f>
        <v>4.5588235294118</v>
      </c>
      <c r="M1274" s="35"/>
    </row>
    <row r="1275" ht="20" customHeight="1" spans="1:13">
      <c r="A1275" s="29">
        <v>45513</v>
      </c>
      <c r="B1275" s="30"/>
      <c r="C1275" s="30" t="s">
        <v>3601</v>
      </c>
      <c r="D1275" s="30" t="s">
        <v>3451</v>
      </c>
      <c r="E1275" s="30" t="s">
        <v>2625</v>
      </c>
      <c r="F1275" s="34" t="str">
        <f>IFERROR(VLOOKUP(VENTAS[[#This Row],[Código del producto Vendido]],STOCK[],5,FALSE),"-")</f>
        <v>Vestido verde cruzado H&amp;M</v>
      </c>
      <c r="G1275" s="34">
        <v>1</v>
      </c>
      <c r="H1275" s="35">
        <v>28</v>
      </c>
      <c r="I1275" s="35">
        <f>VENTAS[[#This Row],[Cantidad]]*VENTAS[[#This Row],[Precio Venta]]</f>
        <v>28</v>
      </c>
      <c r="J1275" s="35">
        <f>IF(VENTAS[[#This Row],[Nombre del Gestor]]&gt;1,VENTAS[[#This Row],[Total]]*10%,0)</f>
        <v>2.8</v>
      </c>
      <c r="K1275" s="35">
        <f>IFERROR(VLOOKUP(VENTAS[[#This Row],[Código del producto Vendido]],STOCK[],16,FALSE)*VENTAS[[#This Row],[Cantidad]]+VLOOKUP(VENTAS[[#This Row],[Código del producto Vendido]],STOCK[],19,FALSE)*VENTAS[[#This Row],[Cantidad]],VENTAS[[#This Row],[Total]])</f>
        <v>13.96</v>
      </c>
      <c r="L1275" s="35">
        <f>VENTAS[[#This Row],[Total]]-VENTAS[[#This Row],[Comisión 10%]]-VENTAS[[#This Row],[Costo SIN Comision]]</f>
        <v>11.24</v>
      </c>
      <c r="M1275" s="35"/>
    </row>
    <row r="1276" ht="20" customHeight="1" spans="1:13">
      <c r="A1276" s="29">
        <v>45513</v>
      </c>
      <c r="B1276" s="30"/>
      <c r="C1276" s="30" t="s">
        <v>3601</v>
      </c>
      <c r="D1276" s="30" t="s">
        <v>3451</v>
      </c>
      <c r="E1276" s="30" t="s">
        <v>2611</v>
      </c>
      <c r="F1276" s="34" t="str">
        <f>IFERROR(VLOOKUP(VENTAS[[#This Row],[Código del producto Vendido]],STOCK[],5,FALSE),"-")</f>
        <v>Vestido Maxi Negro Ajustado Elegante de hombro atado</v>
      </c>
      <c r="G1276" s="34">
        <v>1</v>
      </c>
      <c r="H1276" s="35">
        <v>25</v>
      </c>
      <c r="I1276" s="35">
        <f>VENTAS[[#This Row],[Cantidad]]*VENTAS[[#This Row],[Precio Venta]]</f>
        <v>25</v>
      </c>
      <c r="J1276" s="35">
        <f>IF(VENTAS[[#This Row],[Nombre del Gestor]]&gt;1,VENTAS[[#This Row],[Total]]*10%,0)</f>
        <v>2.5</v>
      </c>
      <c r="K1276" s="35">
        <f>IFERROR(VLOOKUP(VENTAS[[#This Row],[Código del producto Vendido]],STOCK[],16,FALSE)*VENTAS[[#This Row],[Cantidad]]+VLOOKUP(VENTAS[[#This Row],[Código del producto Vendido]],STOCK[],19,FALSE)*VENTAS[[#This Row],[Cantidad]],VENTAS[[#This Row],[Total]])</f>
        <v>13.14</v>
      </c>
      <c r="L1276" s="35">
        <f>VENTAS[[#This Row],[Total]]-VENTAS[[#This Row],[Comisión 10%]]-VENTAS[[#This Row],[Costo SIN Comision]]</f>
        <v>9.36</v>
      </c>
      <c r="M1276" s="35"/>
    </row>
    <row r="1277" ht="20" customHeight="1" spans="1:13">
      <c r="A1277" s="29">
        <v>45527</v>
      </c>
      <c r="B1277" s="30"/>
      <c r="C1277" s="30" t="s">
        <v>3602</v>
      </c>
      <c r="D1277" s="30" t="s">
        <v>3603</v>
      </c>
      <c r="E1277" s="30" t="s">
        <v>2561</v>
      </c>
      <c r="F1277" s="34" t="str">
        <f>IFERROR(VLOOKUP(VENTAS[[#This Row],[Código del producto Vendido]],STOCK[],5,FALSE),"-")</f>
        <v>Top corto de lazo delantero </v>
      </c>
      <c r="G1277" s="34">
        <v>1</v>
      </c>
      <c r="H1277" s="35">
        <v>17</v>
      </c>
      <c r="I1277" s="35">
        <f>VENTAS[[#This Row],[Cantidad]]*VENTAS[[#This Row],[Precio Venta]]</f>
        <v>17</v>
      </c>
      <c r="J1277" s="35">
        <f>IF(VENTAS[[#This Row],[Nombre del Gestor]]&gt;1,VENTAS[[#This Row],[Total]]*10%,0)</f>
        <v>1.7</v>
      </c>
      <c r="K1277" s="35">
        <f>IFERROR(VLOOKUP(VENTAS[[#This Row],[Código del producto Vendido]],STOCK[],16,FALSE)*VENTAS[[#This Row],[Cantidad]]+VLOOKUP(VENTAS[[#This Row],[Código del producto Vendido]],STOCK[],19,FALSE)*VENTAS[[#This Row],[Cantidad]],VENTAS[[#This Row],[Total]])</f>
        <v>11.45</v>
      </c>
      <c r="L1277" s="35">
        <f>VENTAS[[#This Row],[Total]]-VENTAS[[#This Row],[Comisión 10%]]-VENTAS[[#This Row],[Costo SIN Comision]]</f>
        <v>3.85</v>
      </c>
      <c r="M1277" s="35"/>
    </row>
    <row r="1278" ht="20" customHeight="1" spans="1:13">
      <c r="A1278" s="29">
        <v>45527</v>
      </c>
      <c r="B1278" s="30"/>
      <c r="C1278" s="30" t="s">
        <v>3604</v>
      </c>
      <c r="D1278" s="30" t="s">
        <v>3605</v>
      </c>
      <c r="E1278" s="30" t="s">
        <v>2303</v>
      </c>
      <c r="F1278" s="34" t="str">
        <f>IFERROR(VLOOKUP(VENTAS[[#This Row],[Código del producto Vendido]],STOCK[],5,FALSE),"-")</f>
        <v>Bikini atado a los lados con estampado de cerezas</v>
      </c>
      <c r="G1278" s="34">
        <v>1</v>
      </c>
      <c r="H1278" s="35">
        <v>18</v>
      </c>
      <c r="I1278" s="35">
        <f>VENTAS[[#This Row],[Cantidad]]*VENTAS[[#This Row],[Precio Venta]]</f>
        <v>18</v>
      </c>
      <c r="J1278" s="35">
        <f>IF(VENTAS[[#This Row],[Nombre del Gestor]]&gt;1,VENTAS[[#This Row],[Total]]*10%,0)</f>
        <v>1.8</v>
      </c>
      <c r="K1278" s="35">
        <f>IFERROR(VLOOKUP(VENTAS[[#This Row],[Código del producto Vendido]],STOCK[],16,FALSE)*VENTAS[[#This Row],[Cantidad]]+VLOOKUP(VENTAS[[#This Row],[Código del producto Vendido]],STOCK[],19,FALSE)*VENTAS[[#This Row],[Cantidad]],VENTAS[[#This Row],[Total]])</f>
        <v>11.009375</v>
      </c>
      <c r="L1278" s="35">
        <f>VENTAS[[#This Row],[Total]]-VENTAS[[#This Row],[Comisión 10%]]-VENTAS[[#This Row],[Costo SIN Comision]]</f>
        <v>5.190625</v>
      </c>
      <c r="M1278" s="35"/>
    </row>
    <row r="1279" ht="20" customHeight="1" spans="1:13">
      <c r="A1279" s="29">
        <v>45527</v>
      </c>
      <c r="B1279" s="30"/>
      <c r="C1279" s="30" t="s">
        <v>3604</v>
      </c>
      <c r="D1279" s="30" t="s">
        <v>3605</v>
      </c>
      <c r="E1279" s="30" t="s">
        <v>2348</v>
      </c>
      <c r="F1279" s="34" t="str">
        <f>IFERROR(VLOOKUP(VENTAS[[#This Row],[Código del producto Vendido]],STOCK[],5,FALSE),"-")</f>
        <v>Set de 3 piezas bikini de moda estampado de hoja</v>
      </c>
      <c r="G1279" s="34">
        <v>1</v>
      </c>
      <c r="H1279" s="35">
        <v>28</v>
      </c>
      <c r="I1279" s="35">
        <f>VENTAS[[#This Row],[Cantidad]]*VENTAS[[#This Row],[Precio Venta]]</f>
        <v>28</v>
      </c>
      <c r="J1279" s="35">
        <f>IF(VENTAS[[#This Row],[Nombre del Gestor]]&gt;1,VENTAS[[#This Row],[Total]]*10%,0)</f>
        <v>2.8</v>
      </c>
      <c r="K1279" s="35">
        <f>IFERROR(VLOOKUP(VENTAS[[#This Row],[Código del producto Vendido]],STOCK[],16,FALSE)*VENTAS[[#This Row],[Cantidad]]+VLOOKUP(VENTAS[[#This Row],[Código del producto Vendido]],STOCK[],19,FALSE)*VENTAS[[#This Row],[Cantidad]],VENTAS[[#This Row],[Total]])</f>
        <v>17.665625</v>
      </c>
      <c r="L1279" s="35">
        <f>VENTAS[[#This Row],[Total]]-VENTAS[[#This Row],[Comisión 10%]]-VENTAS[[#This Row],[Costo SIN Comision]]</f>
        <v>7.534375</v>
      </c>
      <c r="M1279" s="35"/>
    </row>
    <row r="1280" ht="20" customHeight="1" spans="1:13">
      <c r="A1280" s="29">
        <v>45522</v>
      </c>
      <c r="B1280" s="30"/>
      <c r="C1280" s="30" t="s">
        <v>3606</v>
      </c>
      <c r="D1280" s="30" t="s">
        <v>3605</v>
      </c>
      <c r="E1280" s="30" t="s">
        <v>2520</v>
      </c>
      <c r="F1280" s="34" t="str">
        <f>IFERROR(VLOOKUP(VENTAS[[#This Row],[Código del producto Vendido]],STOCK[],5,FALSE),"-")</f>
        <v>Cinturón fino de hebilla de estilo elegante negro</v>
      </c>
      <c r="G1280" s="34">
        <v>1</v>
      </c>
      <c r="H1280" s="35">
        <v>12</v>
      </c>
      <c r="I1280" s="35">
        <f>VENTAS[[#This Row],[Cantidad]]*VENTAS[[#This Row],[Precio Venta]]</f>
        <v>12</v>
      </c>
      <c r="J1280" s="35">
        <f>IF(VENTAS[[#This Row],[Nombre del Gestor]]&gt;1,VENTAS[[#This Row],[Total]]*10%,0)</f>
        <v>1.2</v>
      </c>
      <c r="K1280" s="35">
        <f>IFERROR(VLOOKUP(VENTAS[[#This Row],[Código del producto Vendido]],STOCK[],16,FALSE)*VENTAS[[#This Row],[Cantidad]]+VLOOKUP(VENTAS[[#This Row],[Código del producto Vendido]],STOCK[],19,FALSE)*VENTAS[[#This Row],[Cantidad]],VENTAS[[#This Row],[Total]])</f>
        <v>5.13</v>
      </c>
      <c r="L1280" s="35">
        <f>VENTAS[[#This Row],[Total]]-VENTAS[[#This Row],[Comisión 10%]]-VENTAS[[#This Row],[Costo SIN Comision]]</f>
        <v>5.67</v>
      </c>
      <c r="M1280" s="35"/>
    </row>
    <row r="1281" ht="20" customHeight="1" spans="1:13">
      <c r="A1281" s="29">
        <v>45522</v>
      </c>
      <c r="B1281" s="30"/>
      <c r="C1281" s="30" t="s">
        <v>3606</v>
      </c>
      <c r="D1281" s="30" t="s">
        <v>3605</v>
      </c>
      <c r="E1281" s="30" t="s">
        <v>2675</v>
      </c>
      <c r="F1281" s="34" t="str">
        <f>IFERROR(VLOOKUP(VENTAS[[#This Row],[Código del producto Vendido]],STOCK[],5,FALSE),"-")</f>
        <v>Traje de baño clásico en bloque de color de talle alto</v>
      </c>
      <c r="G1281" s="34">
        <v>1</v>
      </c>
      <c r="H1281" s="35">
        <v>28</v>
      </c>
      <c r="I1281" s="35">
        <f>VENTAS[[#This Row],[Cantidad]]*VENTAS[[#This Row],[Precio Venta]]</f>
        <v>28</v>
      </c>
      <c r="J1281" s="35">
        <f>IF(VENTAS[[#This Row],[Nombre del Gestor]]&gt;1,VENTAS[[#This Row],[Total]]*10%,0)</f>
        <v>2.8</v>
      </c>
      <c r="K1281" s="35">
        <f>IFERROR(VLOOKUP(VENTAS[[#This Row],[Código del producto Vendido]],STOCK[],16,FALSE)*VENTAS[[#This Row],[Cantidad]]+VLOOKUP(VENTAS[[#This Row],[Código del producto Vendido]],STOCK[],19,FALSE)*VENTAS[[#This Row],[Cantidad]],VENTAS[[#This Row],[Total]])</f>
        <v>10.41</v>
      </c>
      <c r="L1281" s="35">
        <f>VENTAS[[#This Row],[Total]]-VENTAS[[#This Row],[Comisión 10%]]-VENTAS[[#This Row],[Costo SIN Comision]]</f>
        <v>14.79</v>
      </c>
      <c r="M1281" s="35"/>
    </row>
    <row r="1282" ht="20" customHeight="1" spans="1:13">
      <c r="A1282" s="29">
        <v>45519</v>
      </c>
      <c r="B1282" s="30"/>
      <c r="C1282" s="30" t="s">
        <v>3607</v>
      </c>
      <c r="D1282" s="30" t="s">
        <v>3605</v>
      </c>
      <c r="E1282" s="30" t="s">
        <v>2676</v>
      </c>
      <c r="F1282" s="34" t="str">
        <f>IFERROR(VLOOKUP(VENTAS[[#This Row],[Código del producto Vendido]],STOCK[],5,FALSE),"-")</f>
        <v>Traje de baño clásico en bloque de color de talle alto</v>
      </c>
      <c r="G1282" s="34">
        <v>1</v>
      </c>
      <c r="H1282" s="35">
        <v>28</v>
      </c>
      <c r="I1282" s="35">
        <f>VENTAS[[#This Row],[Cantidad]]*VENTAS[[#This Row],[Precio Venta]]</f>
        <v>28</v>
      </c>
      <c r="J1282" s="35">
        <f>IF(VENTAS[[#This Row],[Nombre del Gestor]]&gt;1,VENTAS[[#This Row],[Total]]*10%,0)</f>
        <v>2.8</v>
      </c>
      <c r="K1282" s="35">
        <f>IFERROR(VLOOKUP(VENTAS[[#This Row],[Código del producto Vendido]],STOCK[],16,FALSE)*VENTAS[[#This Row],[Cantidad]]+VLOOKUP(VENTAS[[#This Row],[Código del producto Vendido]],STOCK[],19,FALSE)*VENTAS[[#This Row],[Cantidad]],VENTAS[[#This Row],[Total]])</f>
        <v>10.4</v>
      </c>
      <c r="L1282" s="35">
        <f>VENTAS[[#This Row],[Total]]-VENTAS[[#This Row],[Comisión 10%]]-VENTAS[[#This Row],[Costo SIN Comision]]</f>
        <v>14.8</v>
      </c>
      <c r="M1282" s="35"/>
    </row>
    <row r="1283" ht="20" customHeight="1" spans="1:13">
      <c r="A1283" s="29">
        <v>45518</v>
      </c>
      <c r="B1283" s="30"/>
      <c r="C1283" s="30" t="s">
        <v>3608</v>
      </c>
      <c r="D1283" s="30" t="s">
        <v>3605</v>
      </c>
      <c r="E1283" s="30" t="s">
        <v>2474</v>
      </c>
      <c r="F1283" s="34" t="str">
        <f>IFERROR(VLOOKUP(VENTAS[[#This Row],[Código del producto Vendido]],STOCK[],5,FALSE),"-")</f>
        <v>Sandalias espadriles nude</v>
      </c>
      <c r="G1283" s="34">
        <v>1</v>
      </c>
      <c r="H1283" s="35">
        <v>45</v>
      </c>
      <c r="I1283" s="35">
        <f>VENTAS[[#This Row],[Cantidad]]*VENTAS[[#This Row],[Precio Venta]]</f>
        <v>45</v>
      </c>
      <c r="J1283" s="35">
        <f>IF(VENTAS[[#This Row],[Nombre del Gestor]]&gt;1,VENTAS[[#This Row],[Total]]*10%,0)</f>
        <v>4.5</v>
      </c>
      <c r="K1283" s="35">
        <f>IFERROR(VLOOKUP(VENTAS[[#This Row],[Código del producto Vendido]],STOCK[],16,FALSE)*VENTAS[[#This Row],[Cantidad]]+VLOOKUP(VENTAS[[#This Row],[Código del producto Vendido]],STOCK[],19,FALSE)*VENTAS[[#This Row],[Cantidad]],VENTAS[[#This Row],[Total]])</f>
        <v>31.9517</v>
      </c>
      <c r="L1283" s="35">
        <f>VENTAS[[#This Row],[Total]]-VENTAS[[#This Row],[Comisión 10%]]-VENTAS[[#This Row],[Costo SIN Comision]]</f>
        <v>8.5483</v>
      </c>
      <c r="M1283" s="35"/>
    </row>
    <row r="1284" ht="20" customHeight="1" spans="1:13">
      <c r="A1284" s="29">
        <v>45517</v>
      </c>
      <c r="B1284" s="30"/>
      <c r="C1284" s="30" t="s">
        <v>3609</v>
      </c>
      <c r="D1284" s="30" t="s">
        <v>3605</v>
      </c>
      <c r="E1284" s="30" t="s">
        <v>1775</v>
      </c>
      <c r="F1284" s="34" t="str">
        <f>IFERROR(VLOOKUP(VENTAS[[#This Row],[Código del producto Vendido]],STOCK[],5,FALSE),"-")</f>
        <v>Conjunto de bikini</v>
      </c>
      <c r="G1284" s="34">
        <v>1</v>
      </c>
      <c r="H1284" s="35">
        <v>20</v>
      </c>
      <c r="I1284" s="35">
        <f>VENTAS[[#This Row],[Cantidad]]*VENTAS[[#This Row],[Precio Venta]]</f>
        <v>20</v>
      </c>
      <c r="J1284" s="35">
        <f>IF(VENTAS[[#This Row],[Nombre del Gestor]]&gt;1,VENTAS[[#This Row],[Total]]*10%,0)</f>
        <v>2</v>
      </c>
      <c r="K1284" s="35">
        <f>IFERROR(VLOOKUP(VENTAS[[#This Row],[Código del producto Vendido]],STOCK[],16,FALSE)*VENTAS[[#This Row],[Cantidad]]+VLOOKUP(VENTAS[[#This Row],[Código del producto Vendido]],STOCK[],19,FALSE)*VENTAS[[#This Row],[Cantidad]],VENTAS[[#This Row],[Total]])</f>
        <v>12.3529411764706</v>
      </c>
      <c r="L1284" s="35">
        <f>VENTAS[[#This Row],[Total]]-VENTAS[[#This Row],[Comisión 10%]]-VENTAS[[#This Row],[Costo SIN Comision]]</f>
        <v>5.64705882352941</v>
      </c>
      <c r="M1284" s="35"/>
    </row>
    <row r="1285" ht="20" customHeight="1" spans="1:13">
      <c r="A1285" s="29">
        <v>45517</v>
      </c>
      <c r="B1285" s="30"/>
      <c r="C1285" s="30" t="s">
        <v>3610</v>
      </c>
      <c r="D1285" s="30" t="s">
        <v>3605</v>
      </c>
      <c r="E1285" s="30" t="s">
        <v>2535</v>
      </c>
      <c r="F1285" s="34" t="str">
        <f>IFERROR(VLOOKUP(VENTAS[[#This Row],[Código del producto Vendido]],STOCK[],5,FALSE),"-")</f>
        <v>Pullover corto unicolor blanco</v>
      </c>
      <c r="G1285" s="34">
        <v>1</v>
      </c>
      <c r="H1285" s="35">
        <v>10</v>
      </c>
      <c r="I1285" s="35">
        <f>VENTAS[[#This Row],[Cantidad]]*VENTAS[[#This Row],[Precio Venta]]</f>
        <v>10</v>
      </c>
      <c r="J1285" s="35">
        <f>IF(VENTAS[[#This Row],[Nombre del Gestor]]&gt;1,VENTAS[[#This Row],[Total]]*10%,0)</f>
        <v>1</v>
      </c>
      <c r="K1285" s="35">
        <f>IFERROR(VLOOKUP(VENTAS[[#This Row],[Código del producto Vendido]],STOCK[],16,FALSE)*VENTAS[[#This Row],[Cantidad]]+VLOOKUP(VENTAS[[#This Row],[Código del producto Vendido]],STOCK[],19,FALSE)*VENTAS[[#This Row],[Cantidad]],VENTAS[[#This Row],[Total]])</f>
        <v>4.32</v>
      </c>
      <c r="L1285" s="35">
        <f>VENTAS[[#This Row],[Total]]-VENTAS[[#This Row],[Comisión 10%]]-VENTAS[[#This Row],[Costo SIN Comision]]</f>
        <v>4.68</v>
      </c>
      <c r="M1285" s="35"/>
    </row>
    <row r="1286" ht="20" customHeight="1" spans="1:13">
      <c r="A1286" s="29">
        <v>45509</v>
      </c>
      <c r="B1286" s="30"/>
      <c r="C1286" s="30" t="s">
        <v>3611</v>
      </c>
      <c r="D1286" s="30" t="s">
        <v>3605</v>
      </c>
      <c r="E1286" s="30" t="s">
        <v>2536</v>
      </c>
      <c r="F1286" s="34" t="str">
        <f>IFERROR(VLOOKUP(VENTAS[[#This Row],[Código del producto Vendido]],STOCK[],5,FALSE),"-")</f>
        <v>Pullover corto unicolor beige</v>
      </c>
      <c r="G1286" s="34">
        <v>1</v>
      </c>
      <c r="H1286" s="35">
        <v>10</v>
      </c>
      <c r="I1286" s="35">
        <f>VENTAS[[#This Row],[Cantidad]]*VENTAS[[#This Row],[Precio Venta]]</f>
        <v>10</v>
      </c>
      <c r="J1286" s="35">
        <f>IF(VENTAS[[#This Row],[Nombre del Gestor]]&gt;1,VENTAS[[#This Row],[Total]]*10%,0)</f>
        <v>1</v>
      </c>
      <c r="K1286" s="35">
        <f>IFERROR(VLOOKUP(VENTAS[[#This Row],[Código del producto Vendido]],STOCK[],16,FALSE)*VENTAS[[#This Row],[Cantidad]]+VLOOKUP(VENTAS[[#This Row],[Código del producto Vendido]],STOCK[],19,FALSE)*VENTAS[[#This Row],[Cantidad]],VENTAS[[#This Row],[Total]])</f>
        <v>2.35</v>
      </c>
      <c r="L1286" s="35">
        <f>VENTAS[[#This Row],[Total]]-VENTAS[[#This Row],[Comisión 10%]]-VENTAS[[#This Row],[Costo SIN Comision]]</f>
        <v>6.65</v>
      </c>
      <c r="M1286" s="35"/>
    </row>
    <row r="1287" ht="20" customHeight="1" spans="1:13">
      <c r="A1287" s="29">
        <v>45509</v>
      </c>
      <c r="B1287" s="30"/>
      <c r="C1287" s="30" t="s">
        <v>3611</v>
      </c>
      <c r="D1287" s="30" t="s">
        <v>3605</v>
      </c>
      <c r="E1287" s="30" t="s">
        <v>2535</v>
      </c>
      <c r="F1287" s="34" t="str">
        <f>IFERROR(VLOOKUP(VENTAS[[#This Row],[Código del producto Vendido]],STOCK[],5,FALSE),"-")</f>
        <v>Pullover corto unicolor blanco</v>
      </c>
      <c r="G1287" s="34">
        <v>1</v>
      </c>
      <c r="H1287" s="35">
        <v>10</v>
      </c>
      <c r="I1287" s="35">
        <f>VENTAS[[#This Row],[Cantidad]]*VENTAS[[#This Row],[Precio Venta]]</f>
        <v>10</v>
      </c>
      <c r="J1287" s="35">
        <f>IF(VENTAS[[#This Row],[Nombre del Gestor]]&gt;1,VENTAS[[#This Row],[Total]]*10%,0)</f>
        <v>1</v>
      </c>
      <c r="K1287" s="35">
        <f>IFERROR(VLOOKUP(VENTAS[[#This Row],[Código del producto Vendido]],STOCK[],16,FALSE)*VENTAS[[#This Row],[Cantidad]]+VLOOKUP(VENTAS[[#This Row],[Código del producto Vendido]],STOCK[],19,FALSE)*VENTAS[[#This Row],[Cantidad]],VENTAS[[#This Row],[Total]])</f>
        <v>4.32</v>
      </c>
      <c r="L1287" s="35">
        <f>VENTAS[[#This Row],[Total]]-VENTAS[[#This Row],[Comisión 10%]]-VENTAS[[#This Row],[Costo SIN Comision]]</f>
        <v>4.68</v>
      </c>
      <c r="M1287" s="35"/>
    </row>
    <row r="1288" ht="20" customHeight="1" spans="1:13">
      <c r="A1288" s="29">
        <v>45509</v>
      </c>
      <c r="B1288" s="30"/>
      <c r="C1288" s="30" t="s">
        <v>3611</v>
      </c>
      <c r="D1288" s="30" t="s">
        <v>3605</v>
      </c>
      <c r="E1288" s="30" t="s">
        <v>2531</v>
      </c>
      <c r="F1288" s="34" t="str">
        <f>IFERROR(VLOOKUP(VENTAS[[#This Row],[Código del producto Vendido]],STOCK[],5,FALSE),"-")</f>
        <v>Pullover corto unicolor carmelita</v>
      </c>
      <c r="G1288" s="34">
        <v>1</v>
      </c>
      <c r="H1288" s="35">
        <v>10</v>
      </c>
      <c r="I1288" s="35">
        <f>VENTAS[[#This Row],[Cantidad]]*VENTAS[[#This Row],[Precio Venta]]</f>
        <v>10</v>
      </c>
      <c r="J1288" s="35">
        <f>IF(VENTAS[[#This Row],[Nombre del Gestor]]&gt;1,VENTAS[[#This Row],[Total]]*10%,0)</f>
        <v>1</v>
      </c>
      <c r="K1288" s="35">
        <f>IFERROR(VLOOKUP(VENTAS[[#This Row],[Código del producto Vendido]],STOCK[],16,FALSE)*VENTAS[[#This Row],[Cantidad]]+VLOOKUP(VENTAS[[#This Row],[Código del producto Vendido]],STOCK[],19,FALSE)*VENTAS[[#This Row],[Cantidad]],VENTAS[[#This Row],[Total]])</f>
        <v>4.32</v>
      </c>
      <c r="L1288" s="35">
        <f>VENTAS[[#This Row],[Total]]-VENTAS[[#This Row],[Comisión 10%]]-VENTAS[[#This Row],[Costo SIN Comision]]</f>
        <v>4.68</v>
      </c>
      <c r="M1288" s="35"/>
    </row>
    <row r="1289" ht="20" customHeight="1" spans="1:13">
      <c r="A1289" s="29">
        <v>45511</v>
      </c>
      <c r="B1289" s="30"/>
      <c r="C1289" s="30" t="s">
        <v>3612</v>
      </c>
      <c r="D1289" s="30" t="s">
        <v>3605</v>
      </c>
      <c r="E1289" s="30" t="s">
        <v>2520</v>
      </c>
      <c r="F1289" s="34" t="str">
        <f>IFERROR(VLOOKUP(VENTAS[[#This Row],[Código del producto Vendido]],STOCK[],5,FALSE),"-")</f>
        <v>Cinturón fino de hebilla de estilo elegante negro</v>
      </c>
      <c r="G1289" s="34">
        <v>1</v>
      </c>
      <c r="H1289" s="35">
        <v>12</v>
      </c>
      <c r="I1289" s="35">
        <f>VENTAS[[#This Row],[Cantidad]]*VENTAS[[#This Row],[Precio Venta]]</f>
        <v>12</v>
      </c>
      <c r="J1289" s="35">
        <f>IF(VENTAS[[#This Row],[Nombre del Gestor]]&gt;1,VENTAS[[#This Row],[Total]]*10%,0)</f>
        <v>1.2</v>
      </c>
      <c r="K1289" s="35">
        <f>IFERROR(VLOOKUP(VENTAS[[#This Row],[Código del producto Vendido]],STOCK[],16,FALSE)*VENTAS[[#This Row],[Cantidad]]+VLOOKUP(VENTAS[[#This Row],[Código del producto Vendido]],STOCK[],19,FALSE)*VENTAS[[#This Row],[Cantidad]],VENTAS[[#This Row],[Total]])</f>
        <v>5.13</v>
      </c>
      <c r="L1289" s="35">
        <f>VENTAS[[#This Row],[Total]]-VENTAS[[#This Row],[Comisión 10%]]-VENTAS[[#This Row],[Costo SIN Comision]]</f>
        <v>5.67</v>
      </c>
      <c r="M1289" s="35"/>
    </row>
    <row r="1290" ht="20" customHeight="1" spans="1:13">
      <c r="A1290" s="29">
        <v>45511</v>
      </c>
      <c r="B1290" s="30"/>
      <c r="C1290" s="30" t="s">
        <v>3612</v>
      </c>
      <c r="D1290" s="30" t="s">
        <v>3605</v>
      </c>
      <c r="E1290" s="30" t="s">
        <v>2506</v>
      </c>
      <c r="F1290" s="34" t="str">
        <f>IFERROR(VLOOKUP(VENTAS[[#This Row],[Código del producto Vendido]],STOCK[],5,FALSE),"-")</f>
        <v>Falda Pantalón de mezclilla</v>
      </c>
      <c r="G1290" s="34">
        <v>1</v>
      </c>
      <c r="H1290" s="35">
        <v>30</v>
      </c>
      <c r="I1290" s="35">
        <f>VENTAS[[#This Row],[Cantidad]]*VENTAS[[#This Row],[Precio Venta]]</f>
        <v>30</v>
      </c>
      <c r="J1290" s="35">
        <f>IF(VENTAS[[#This Row],[Nombre del Gestor]]&gt;1,VENTAS[[#This Row],[Total]]*10%,0)</f>
        <v>3</v>
      </c>
      <c r="K1290" s="35">
        <f>IFERROR(VLOOKUP(VENTAS[[#This Row],[Código del producto Vendido]],STOCK[],16,FALSE)*VENTAS[[#This Row],[Cantidad]]+VLOOKUP(VENTAS[[#This Row],[Código del producto Vendido]],STOCK[],19,FALSE)*VENTAS[[#This Row],[Cantidad]],VENTAS[[#This Row],[Total]])</f>
        <v>19.19</v>
      </c>
      <c r="L1290" s="35">
        <f>VENTAS[[#This Row],[Total]]-VENTAS[[#This Row],[Comisión 10%]]-VENTAS[[#This Row],[Costo SIN Comision]]</f>
        <v>7.81</v>
      </c>
      <c r="M1290" s="35"/>
    </row>
    <row r="1291" ht="20" customHeight="1" spans="1:13">
      <c r="A1291" s="29">
        <v>45505</v>
      </c>
      <c r="B1291" s="30"/>
      <c r="C1291" s="30" t="s">
        <v>3613</v>
      </c>
      <c r="D1291" s="30" t="s">
        <v>3605</v>
      </c>
      <c r="E1291" s="30" t="s">
        <v>732</v>
      </c>
      <c r="F1291" s="34" t="str">
        <f>IFERROR(VLOOKUP(VENTAS[[#This Row],[Código del producto Vendido]],STOCK[],5,FALSE),"-")</f>
        <v>Vestido corto azul real</v>
      </c>
      <c r="G1291" s="34">
        <v>1</v>
      </c>
      <c r="H1291" s="35">
        <v>13</v>
      </c>
      <c r="I1291" s="35">
        <f>VENTAS[[#This Row],[Cantidad]]*VENTAS[[#This Row],[Precio Venta]]</f>
        <v>13</v>
      </c>
      <c r="J1291" s="35">
        <f>IF(VENTAS[[#This Row],[Nombre del Gestor]]&gt;1,VENTAS[[#This Row],[Total]]*10%,0)</f>
        <v>1.3</v>
      </c>
      <c r="K1291" s="35">
        <f>IFERROR(VLOOKUP(VENTAS[[#This Row],[Código del producto Vendido]],STOCK[],16,FALSE)*VENTAS[[#This Row],[Cantidad]]+VLOOKUP(VENTAS[[#This Row],[Código del producto Vendido]],STOCK[],19,FALSE)*VENTAS[[#This Row],[Cantidad]],VENTAS[[#This Row],[Total]])</f>
        <v>11.9444444444444</v>
      </c>
      <c r="L1291" s="35">
        <f>VENTAS[[#This Row],[Total]]-VENTAS[[#This Row],[Comisión 10%]]-VENTAS[[#This Row],[Costo SIN Comision]]</f>
        <v>-0.24444444444444</v>
      </c>
      <c r="M1291" s="35"/>
    </row>
    <row r="1292" ht="20" customHeight="1" spans="1:13">
      <c r="A1292" s="29">
        <v>45505</v>
      </c>
      <c r="B1292" s="30"/>
      <c r="C1292" s="30" t="s">
        <v>3613</v>
      </c>
      <c r="D1292" s="30" t="s">
        <v>3605</v>
      </c>
      <c r="E1292" s="30" t="s">
        <v>2148</v>
      </c>
      <c r="F1292" s="34" t="str">
        <f>IFERROR(VLOOKUP(VENTAS[[#This Row],[Código del producto Vendido]],STOCK[],5,FALSE),"-")</f>
        <v>Set de 3 piezas de bikini con estampado floral</v>
      </c>
      <c r="G1292" s="34">
        <v>1</v>
      </c>
      <c r="H1292" s="35">
        <v>25</v>
      </c>
      <c r="I1292" s="35">
        <f>VENTAS[[#This Row],[Cantidad]]*VENTAS[[#This Row],[Precio Venta]]</f>
        <v>25</v>
      </c>
      <c r="J1292" s="35">
        <f>IF(VENTAS[[#This Row],[Nombre del Gestor]]&gt;1,VENTAS[[#This Row],[Total]]*10%,0)</f>
        <v>2.5</v>
      </c>
      <c r="K1292" s="35">
        <f>IFERROR(VLOOKUP(VENTAS[[#This Row],[Código del producto Vendido]],STOCK[],16,FALSE)*VENTAS[[#This Row],[Cantidad]]+VLOOKUP(VENTAS[[#This Row],[Código del producto Vendido]],STOCK[],19,FALSE)*VENTAS[[#This Row],[Cantidad]],VENTAS[[#This Row],[Total]])</f>
        <v>9.67</v>
      </c>
      <c r="L1292" s="35">
        <f>VENTAS[[#This Row],[Total]]-VENTAS[[#This Row],[Comisión 10%]]-VENTAS[[#This Row],[Costo SIN Comision]]</f>
        <v>12.83</v>
      </c>
      <c r="M1292" s="35"/>
    </row>
    <row r="1293" ht="20" customHeight="1" spans="1:13">
      <c r="A1293" s="29">
        <v>45505</v>
      </c>
      <c r="B1293" s="30"/>
      <c r="C1293" s="30" t="s">
        <v>3614</v>
      </c>
      <c r="D1293" s="30" t="s">
        <v>3605</v>
      </c>
      <c r="E1293" s="30" t="s">
        <v>830</v>
      </c>
      <c r="F1293" s="34" t="str">
        <f>IFERROR(VLOOKUP(VENTAS[[#This Row],[Código del producto Vendido]],STOCK[],5,FALSE),"-")</f>
        <v>Vestido estampado malva</v>
      </c>
      <c r="G1293" s="34">
        <v>1</v>
      </c>
      <c r="H1293" s="35">
        <v>12</v>
      </c>
      <c r="I1293" s="35">
        <f>VENTAS[[#This Row],[Cantidad]]*VENTAS[[#This Row],[Precio Venta]]</f>
        <v>12</v>
      </c>
      <c r="J1293" s="35">
        <f>IF(VENTAS[[#This Row],[Nombre del Gestor]]&gt;1,VENTAS[[#This Row],[Total]]*10%,0)</f>
        <v>1.2</v>
      </c>
      <c r="K1293" s="35">
        <f>IFERROR(VLOOKUP(VENTAS[[#This Row],[Código del producto Vendido]],STOCK[],16,FALSE)*VENTAS[[#This Row],[Cantidad]]+VLOOKUP(VENTAS[[#This Row],[Código del producto Vendido]],STOCK[],19,FALSE)*VENTAS[[#This Row],[Cantidad]],VENTAS[[#This Row],[Total]])</f>
        <v>9.33333333333333</v>
      </c>
      <c r="L1293" s="35">
        <f>VENTAS[[#This Row],[Total]]-VENTAS[[#This Row],[Comisión 10%]]-VENTAS[[#This Row],[Costo SIN Comision]]</f>
        <v>1.46666666666667</v>
      </c>
      <c r="M1293" s="35"/>
    </row>
    <row r="1294" ht="20" customHeight="1" spans="1:13">
      <c r="A1294" s="29">
        <v>45505</v>
      </c>
      <c r="B1294" s="30"/>
      <c r="C1294" s="30" t="s">
        <v>3614</v>
      </c>
      <c r="D1294" s="30" t="s">
        <v>3605</v>
      </c>
      <c r="E1294" s="30" t="s">
        <v>1706</v>
      </c>
      <c r="F1294" s="34" t="str">
        <f>IFERROR(VLOOKUP(VENTAS[[#This Row],[Código del producto Vendido]],STOCK[],5,FALSE),"-")</f>
        <v>Vestido acanalado de manga larga</v>
      </c>
      <c r="G1294" s="34">
        <v>1</v>
      </c>
      <c r="H1294" s="35">
        <v>25</v>
      </c>
      <c r="I1294" s="35">
        <f>VENTAS[[#This Row],[Cantidad]]*VENTAS[[#This Row],[Precio Venta]]</f>
        <v>25</v>
      </c>
      <c r="J1294" s="35">
        <f>IF(VENTAS[[#This Row],[Nombre del Gestor]]&gt;1,VENTAS[[#This Row],[Total]]*10%,0)</f>
        <v>2.5</v>
      </c>
      <c r="K1294" s="35">
        <f>IFERROR(VLOOKUP(VENTAS[[#This Row],[Código del producto Vendido]],STOCK[],16,FALSE)*VENTAS[[#This Row],[Cantidad]]+VLOOKUP(VENTAS[[#This Row],[Código del producto Vendido]],STOCK[],19,FALSE)*VENTAS[[#This Row],[Cantidad]],VENTAS[[#This Row],[Total]])</f>
        <v>18.1</v>
      </c>
      <c r="L1294" s="35">
        <f>VENTAS[[#This Row],[Total]]-VENTAS[[#This Row],[Comisión 10%]]-VENTAS[[#This Row],[Costo SIN Comision]]</f>
        <v>4.4</v>
      </c>
      <c r="M1294" s="35"/>
    </row>
    <row r="1295" ht="20" customHeight="1" spans="1:13">
      <c r="A1295" s="29">
        <v>45526</v>
      </c>
      <c r="B1295" s="30"/>
      <c r="C1295" s="30" t="s">
        <v>3615</v>
      </c>
      <c r="D1295" s="30" t="s">
        <v>3616</v>
      </c>
      <c r="E1295" s="30" t="s">
        <v>2693</v>
      </c>
      <c r="F1295" s="34" t="str">
        <f>IFERROR(VLOOKUP(VENTAS[[#This Row],[Código del producto Vendido]],STOCK[],5,FALSE),"-")</f>
        <v>Set de Splash y crema de Victoria Secret (Original) Aqua Kiss</v>
      </c>
      <c r="G1295" s="34">
        <v>1</v>
      </c>
      <c r="H1295" s="35">
        <v>40</v>
      </c>
      <c r="I1295" s="35">
        <f>VENTAS[[#This Row],[Cantidad]]*VENTAS[[#This Row],[Precio Venta]]</f>
        <v>40</v>
      </c>
      <c r="J1295" s="35">
        <f>IF(VENTAS[[#This Row],[Nombre del Gestor]]&gt;1,VENTAS[[#This Row],[Total]]*10%,0)</f>
        <v>4</v>
      </c>
      <c r="K1295" s="35">
        <f>IFERROR(VLOOKUP(VENTAS[[#This Row],[Código del producto Vendido]],STOCK[],16,FALSE)*VENTAS[[#This Row],[Cantidad]]+VLOOKUP(VENTAS[[#This Row],[Código del producto Vendido]],STOCK[],19,FALSE)*VENTAS[[#This Row],[Cantidad]],VENTAS[[#This Row],[Total]])</f>
        <v>16.37</v>
      </c>
      <c r="L1295" s="35">
        <f>VENTAS[[#This Row],[Total]]-VENTAS[[#This Row],[Comisión 10%]]-VENTAS[[#This Row],[Costo SIN Comision]]</f>
        <v>19.63</v>
      </c>
      <c r="M1295" s="35"/>
    </row>
    <row r="1296" ht="20" customHeight="1" spans="1:13">
      <c r="A1296" s="29">
        <v>45528</v>
      </c>
      <c r="B1296" s="30"/>
      <c r="C1296" s="30" t="s">
        <v>3587</v>
      </c>
      <c r="D1296" s="30" t="s">
        <v>3506</v>
      </c>
      <c r="E1296" s="30" t="s">
        <v>859</v>
      </c>
      <c r="F1296" s="34" t="str">
        <f>IFERROR(VLOOKUP(VENTAS[[#This Row],[Código del producto Vendido]],STOCK[],5,FALSE),"-")</f>
        <v>Vestido venturina</v>
      </c>
      <c r="G1296" s="34">
        <v>0</v>
      </c>
      <c r="H1296" s="35">
        <v>0</v>
      </c>
      <c r="I1296" s="35">
        <f>VENTAS[[#This Row],[Cantidad]]*VENTAS[[#This Row],[Precio Venta]]</f>
        <v>0</v>
      </c>
      <c r="J1296" s="35">
        <f>IF(VENTAS[[#This Row],[Nombre del Gestor]]&gt;1,VENTAS[[#This Row],[Total]]*10%,0)</f>
        <v>0</v>
      </c>
      <c r="K1296" s="35">
        <f>IFERROR(VLOOKUP(VENTAS[[#This Row],[Código del producto Vendido]],STOCK[],16,FALSE)*VENTAS[[#This Row],[Cantidad]]+VLOOKUP(VENTAS[[#This Row],[Código del producto Vendido]],STOCK[],19,FALSE)*VENTAS[[#This Row],[Cantidad]],VENTAS[[#This Row],[Total]])</f>
        <v>0</v>
      </c>
      <c r="L1296" s="35">
        <f>VENTAS[[#This Row],[Total]]-VENTAS[[#This Row],[Comisión 10%]]-VENTAS[[#This Row],[Costo SIN Comision]]</f>
        <v>0</v>
      </c>
      <c r="M1296" s="35"/>
    </row>
    <row r="1297" ht="20" customHeight="1" spans="1:13">
      <c r="A1297" s="29">
        <v>45529</v>
      </c>
      <c r="B1297" s="30"/>
      <c r="C1297" s="30" t="s">
        <v>3617</v>
      </c>
      <c r="D1297" s="30" t="s">
        <v>3481</v>
      </c>
      <c r="E1297" s="30" t="s">
        <v>2486</v>
      </c>
      <c r="F1297" s="34" t="str">
        <f>IFERROR(VLOOKUP(VENTAS[[#This Row],[Código del producto Vendido]],STOCK[],5,FALSE),"-")</f>
        <v>Sandalias prácticas chunky blanco crema</v>
      </c>
      <c r="G1297" s="34">
        <v>1</v>
      </c>
      <c r="H1297" s="35">
        <v>35</v>
      </c>
      <c r="I1297" s="35">
        <f>VENTAS[[#This Row],[Cantidad]]*VENTAS[[#This Row],[Precio Venta]]</f>
        <v>35</v>
      </c>
      <c r="J1297" s="35">
        <f>IF(VENTAS[[#This Row],[Nombre del Gestor]]&gt;1,VENTAS[[#This Row],[Total]]*10%,0)</f>
        <v>3.5</v>
      </c>
      <c r="K1297" s="35">
        <f>IFERROR(VLOOKUP(VENTAS[[#This Row],[Código del producto Vendido]],STOCK[],16,FALSE)*VENTAS[[#This Row],[Cantidad]]+VLOOKUP(VENTAS[[#This Row],[Código del producto Vendido]],STOCK[],19,FALSE)*VENTAS[[#This Row],[Cantidad]],VENTAS[[#This Row],[Total]])</f>
        <v>24.2174</v>
      </c>
      <c r="L1297" s="35">
        <f>VENTAS[[#This Row],[Total]]-VENTAS[[#This Row],[Comisión 10%]]-VENTAS[[#This Row],[Costo SIN Comision]]</f>
        <v>7.2826</v>
      </c>
      <c r="M1297" s="35"/>
    </row>
    <row r="1298" ht="20" customHeight="1" spans="1:13">
      <c r="A1298" s="29">
        <v>45529</v>
      </c>
      <c r="B1298" s="30"/>
      <c r="C1298" s="30" t="s">
        <v>3618</v>
      </c>
      <c r="D1298" s="30" t="s">
        <v>3481</v>
      </c>
      <c r="E1298" s="30" t="s">
        <v>1203</v>
      </c>
      <c r="F1298" s="34" t="str">
        <f>IFERROR(VLOOKUP(VENTAS[[#This Row],[Código del producto Vendido]],STOCK[],5,FALSE),"-")</f>
        <v>Camisa Blanca</v>
      </c>
      <c r="G1298" s="34">
        <v>1</v>
      </c>
      <c r="H1298" s="35">
        <v>22</v>
      </c>
      <c r="I1298" s="35">
        <f>VENTAS[[#This Row],[Cantidad]]*VENTAS[[#This Row],[Precio Venta]]</f>
        <v>22</v>
      </c>
      <c r="J1298" s="35">
        <f>IF(VENTAS[[#This Row],[Nombre del Gestor]]&gt;1,VENTAS[[#This Row],[Total]]*10%,0)</f>
        <v>2.2</v>
      </c>
      <c r="K1298" s="35">
        <f>IFERROR(VLOOKUP(VENTAS[[#This Row],[Código del producto Vendido]],STOCK[],16,FALSE)*VENTAS[[#This Row],[Cantidad]]+VLOOKUP(VENTAS[[#This Row],[Código del producto Vendido]],STOCK[],19,FALSE)*VENTAS[[#This Row],[Cantidad]],VENTAS[[#This Row],[Total]])</f>
        <v>12.9</v>
      </c>
      <c r="L1298" s="35">
        <f>VENTAS[[#This Row],[Total]]-VENTAS[[#This Row],[Comisión 10%]]-VENTAS[[#This Row],[Costo SIN Comision]]</f>
        <v>6.9</v>
      </c>
      <c r="M1298" s="35"/>
    </row>
    <row r="1299" ht="20" customHeight="1" spans="1:13">
      <c r="A1299" s="29">
        <v>45529</v>
      </c>
      <c r="B1299" s="30"/>
      <c r="C1299" s="30" t="s">
        <v>3601</v>
      </c>
      <c r="D1299" s="30" t="s">
        <v>3481</v>
      </c>
      <c r="E1299" s="30" t="s">
        <v>2145</v>
      </c>
      <c r="F1299" s="34" t="str">
        <f>IFERROR(VLOOKUP(VENTAS[[#This Row],[Código del producto Vendido]],STOCK[],5,FALSE),"-")</f>
        <v>Set de 3 piezas de bikini con estampado floral</v>
      </c>
      <c r="G1299" s="34">
        <v>1</v>
      </c>
      <c r="H1299" s="35">
        <v>25</v>
      </c>
      <c r="I1299" s="35">
        <f>VENTAS[[#This Row],[Cantidad]]*VENTAS[[#This Row],[Precio Venta]]</f>
        <v>25</v>
      </c>
      <c r="J1299" s="35">
        <f>IF(VENTAS[[#This Row],[Nombre del Gestor]]&gt;1,VENTAS[[#This Row],[Total]]*10%,0)</f>
        <v>2.5</v>
      </c>
      <c r="K1299" s="35">
        <f>IFERROR(VLOOKUP(VENTAS[[#This Row],[Código del producto Vendido]],STOCK[],16,FALSE)*VENTAS[[#This Row],[Cantidad]]+VLOOKUP(VENTAS[[#This Row],[Código del producto Vendido]],STOCK[],19,FALSE)*VENTAS[[#This Row],[Cantidad]],VENTAS[[#This Row],[Total]])</f>
        <v>9.67</v>
      </c>
      <c r="L1299" s="35">
        <f>VENTAS[[#This Row],[Total]]-VENTAS[[#This Row],[Comisión 10%]]-VENTAS[[#This Row],[Costo SIN Comision]]</f>
        <v>12.83</v>
      </c>
      <c r="M1299" s="35"/>
    </row>
    <row r="1300" ht="20" customHeight="1" spans="1:13">
      <c r="A1300" s="29">
        <v>45529</v>
      </c>
      <c r="B1300" s="30" t="s">
        <v>3619</v>
      </c>
      <c r="C1300" s="30" t="s">
        <v>3620</v>
      </c>
      <c r="D1300" s="30" t="s">
        <v>3315</v>
      </c>
      <c r="E1300" s="30" t="s">
        <v>2518</v>
      </c>
      <c r="F1300" s="34" t="str">
        <f>IFERROR(VLOOKUP(VENTAS[[#This Row],[Código del producto Vendido]],STOCK[],5,FALSE),"-")</f>
        <v>Pantalones cortos de mezclilla de moda</v>
      </c>
      <c r="G1300" s="34">
        <v>1</v>
      </c>
      <c r="H1300" s="35">
        <v>0</v>
      </c>
      <c r="I1300" s="35">
        <f>VENTAS[[#This Row],[Cantidad]]*VENTAS[[#This Row],[Precio Venta]]</f>
        <v>0</v>
      </c>
      <c r="J1300" s="35">
        <f>IF(VENTAS[[#This Row],[Nombre del Gestor]]&gt;1,VENTAS[[#This Row],[Total]]*10%,0)</f>
        <v>0</v>
      </c>
      <c r="K1300" s="35">
        <f>IFERROR(VLOOKUP(VENTAS[[#This Row],[Código del producto Vendido]],STOCK[],16,FALSE)*VENTAS[[#This Row],[Cantidad]]+VLOOKUP(VENTAS[[#This Row],[Código del producto Vendido]],STOCK[],19,FALSE)*VENTAS[[#This Row],[Cantidad]],VENTAS[[#This Row],[Total]])</f>
        <v>15.79</v>
      </c>
      <c r="L1300" s="35">
        <f>VENTAS[[#This Row],[Total]]-VENTAS[[#This Row],[Comisión 10%]]-VENTAS[[#This Row],[Costo SIN Comision]]</f>
        <v>-15.79</v>
      </c>
      <c r="M1300" s="35"/>
    </row>
    <row r="1301" ht="20" customHeight="1" spans="1:13">
      <c r="A1301" s="29">
        <v>45529</v>
      </c>
      <c r="B1301" s="30"/>
      <c r="C1301" s="30" t="s">
        <v>3621</v>
      </c>
      <c r="D1301" s="30" t="s">
        <v>3512</v>
      </c>
      <c r="E1301" s="30" t="s">
        <v>2359</v>
      </c>
      <c r="F1301" s="34" t="str">
        <f>IFERROR(VLOOKUP(VENTAS[[#This Row],[Código del producto Vendido]],STOCK[],5,FALSE),"-")</f>
        <v>Espejuelos estilo cat eye</v>
      </c>
      <c r="G1301" s="34">
        <v>1</v>
      </c>
      <c r="H1301" s="35">
        <v>10</v>
      </c>
      <c r="I1301" s="35">
        <f>VENTAS[[#This Row],[Cantidad]]*VENTAS[[#This Row],[Precio Venta]]</f>
        <v>10</v>
      </c>
      <c r="J1301" s="35">
        <f>IF(VENTAS[[#This Row],[Nombre del Gestor]]&gt;1,VENTAS[[#This Row],[Total]]*10%,0)</f>
        <v>1</v>
      </c>
      <c r="K1301" s="35">
        <f>IFERROR(VLOOKUP(VENTAS[[#This Row],[Código del producto Vendido]],STOCK[],16,FALSE)*VENTAS[[#This Row],[Cantidad]]+VLOOKUP(VENTAS[[#This Row],[Código del producto Vendido]],STOCK[],19,FALSE)*VENTAS[[#This Row],[Cantidad]],VENTAS[[#This Row],[Total]])</f>
        <v>5.121875</v>
      </c>
      <c r="L1301" s="35">
        <f>VENTAS[[#This Row],[Total]]-VENTAS[[#This Row],[Comisión 10%]]-VENTAS[[#This Row],[Costo SIN Comision]]</f>
        <v>3.878125</v>
      </c>
      <c r="M1301" s="35"/>
    </row>
    <row r="1302" ht="20" customHeight="1" spans="1:13">
      <c r="A1302" s="29">
        <v>45507</v>
      </c>
      <c r="B1302" s="30"/>
      <c r="C1302" s="30" t="s">
        <v>3622</v>
      </c>
      <c r="D1302" s="30" t="s">
        <v>3462</v>
      </c>
      <c r="E1302" s="30" t="s">
        <v>2558</v>
      </c>
      <c r="F1302" s="34" t="str">
        <f>IFERROR(VLOOKUP(VENTAS[[#This Row],[Código del producto Vendido]],STOCK[],5,FALSE),"-")</f>
        <v>Sombrero Visera de Verano</v>
      </c>
      <c r="G1302" s="34">
        <v>1</v>
      </c>
      <c r="H1302" s="35">
        <v>15</v>
      </c>
      <c r="I1302" s="35">
        <f>VENTAS[[#This Row],[Cantidad]]*VENTAS[[#This Row],[Precio Venta]]</f>
        <v>15</v>
      </c>
      <c r="J1302" s="35">
        <f>IF(VENTAS[[#This Row],[Nombre del Gestor]]&gt;1,VENTAS[[#This Row],[Total]]*10%,0)</f>
        <v>1.5</v>
      </c>
      <c r="K1302" s="35">
        <f>IFERROR(VLOOKUP(VENTAS[[#This Row],[Código del producto Vendido]],STOCK[],16,FALSE)*VENTAS[[#This Row],[Cantidad]]+VLOOKUP(VENTAS[[#This Row],[Código del producto Vendido]],STOCK[],19,FALSE)*VENTAS[[#This Row],[Cantidad]],VENTAS[[#This Row],[Total]])</f>
        <v>6.36</v>
      </c>
      <c r="L1302" s="35">
        <f>VENTAS[[#This Row],[Total]]-VENTAS[[#This Row],[Comisión 10%]]-VENTAS[[#This Row],[Costo SIN Comision]]</f>
        <v>7.14</v>
      </c>
      <c r="M1302" s="35"/>
    </row>
    <row r="1303" ht="20" customHeight="1" spans="1:13">
      <c r="A1303" s="29">
        <v>45509</v>
      </c>
      <c r="B1303" s="30"/>
      <c r="C1303" s="30" t="s">
        <v>3623</v>
      </c>
      <c r="D1303" s="30" t="s">
        <v>3462</v>
      </c>
      <c r="E1303" s="30" t="s">
        <v>2498</v>
      </c>
      <c r="F1303" s="34" t="str">
        <f>IFERROR(VLOOKUP(VENTAS[[#This Row],[Código del producto Vendido]],STOCK[],5,FALSE),"-")</f>
        <v>Bolso de playa con diseño de rayas tamaño mediano</v>
      </c>
      <c r="G1303" s="34">
        <v>1</v>
      </c>
      <c r="H1303" s="35">
        <v>22</v>
      </c>
      <c r="I1303" s="35">
        <f>VENTAS[[#This Row],[Cantidad]]*VENTAS[[#This Row],[Precio Venta]]</f>
        <v>22</v>
      </c>
      <c r="J1303" s="35">
        <f>IF(VENTAS[[#This Row],[Nombre del Gestor]]&gt;1,VENTAS[[#This Row],[Total]]*10%,0)</f>
        <v>2.2</v>
      </c>
      <c r="K1303" s="35">
        <f>IFERROR(VLOOKUP(VENTAS[[#This Row],[Código del producto Vendido]],STOCK[],16,FALSE)*VENTAS[[#This Row],[Cantidad]]+VLOOKUP(VENTAS[[#This Row],[Código del producto Vendido]],STOCK[],19,FALSE)*VENTAS[[#This Row],[Cantidad]],VENTAS[[#This Row],[Total]])</f>
        <v>11.3</v>
      </c>
      <c r="L1303" s="35">
        <f>VENTAS[[#This Row],[Total]]-VENTAS[[#This Row],[Comisión 10%]]-VENTAS[[#This Row],[Costo SIN Comision]]</f>
        <v>8.5</v>
      </c>
      <c r="M1303" s="35"/>
    </row>
    <row r="1304" ht="20" customHeight="1" spans="1:13">
      <c r="A1304" s="29">
        <v>45509</v>
      </c>
      <c r="B1304" s="30"/>
      <c r="C1304" s="30" t="s">
        <v>3624</v>
      </c>
      <c r="D1304" s="30" t="s">
        <v>3462</v>
      </c>
      <c r="E1304" s="30" t="s">
        <v>2498</v>
      </c>
      <c r="F1304" s="34" t="str">
        <f>IFERROR(VLOOKUP(VENTAS[[#This Row],[Código del producto Vendido]],STOCK[],5,FALSE),"-")</f>
        <v>Bolso de playa con diseño de rayas tamaño mediano</v>
      </c>
      <c r="G1304" s="34">
        <v>1</v>
      </c>
      <c r="H1304" s="35">
        <v>22</v>
      </c>
      <c r="I1304" s="35">
        <f>VENTAS[[#This Row],[Cantidad]]*VENTAS[[#This Row],[Precio Venta]]</f>
        <v>22</v>
      </c>
      <c r="J1304" s="35">
        <f>IF(VENTAS[[#This Row],[Nombre del Gestor]]&gt;1,VENTAS[[#This Row],[Total]]*10%,0)</f>
        <v>2.2</v>
      </c>
      <c r="K1304" s="35">
        <f>IFERROR(VLOOKUP(VENTAS[[#This Row],[Código del producto Vendido]],STOCK[],16,FALSE)*VENTAS[[#This Row],[Cantidad]]+VLOOKUP(VENTAS[[#This Row],[Código del producto Vendido]],STOCK[],19,FALSE)*VENTAS[[#This Row],[Cantidad]],VENTAS[[#This Row],[Total]])</f>
        <v>11.3</v>
      </c>
      <c r="L1304" s="35">
        <f>VENTAS[[#This Row],[Total]]-VENTAS[[#This Row],[Comisión 10%]]-VENTAS[[#This Row],[Costo SIN Comision]]</f>
        <v>8.5</v>
      </c>
      <c r="M1304" s="35"/>
    </row>
    <row r="1305" ht="20" customHeight="1" spans="1:13">
      <c r="A1305" s="29">
        <v>45511</v>
      </c>
      <c r="B1305" s="30"/>
      <c r="C1305" s="30" t="s">
        <v>3625</v>
      </c>
      <c r="D1305" s="30" t="s">
        <v>3626</v>
      </c>
      <c r="E1305" s="30" t="s">
        <v>2542</v>
      </c>
      <c r="F1305" s="34" t="str">
        <f>IFERROR(VLOOKUP(VENTAS[[#This Row],[Código del producto Vendido]],STOCK[],5,FALSE),"-")</f>
        <v>Pullover largo unicolor tela traslúcida negro</v>
      </c>
      <c r="G1305" s="34">
        <v>1</v>
      </c>
      <c r="H1305" s="35">
        <v>10</v>
      </c>
      <c r="I1305" s="35">
        <f>VENTAS[[#This Row],[Cantidad]]*VENTAS[[#This Row],[Precio Venta]]</f>
        <v>10</v>
      </c>
      <c r="J1305" s="35">
        <f>IF(VENTAS[[#This Row],[Nombre del Gestor]]&gt;1,VENTAS[[#This Row],[Total]]*10%,0)</f>
        <v>1</v>
      </c>
      <c r="K1305" s="35">
        <f>IFERROR(VLOOKUP(VENTAS[[#This Row],[Código del producto Vendido]],STOCK[],16,FALSE)*VENTAS[[#This Row],[Cantidad]]+VLOOKUP(VENTAS[[#This Row],[Código del producto Vendido]],STOCK[],19,FALSE)*VENTAS[[#This Row],[Cantidad]],VENTAS[[#This Row],[Total]])</f>
        <v>4.32</v>
      </c>
      <c r="L1305" s="35">
        <f>VENTAS[[#This Row],[Total]]-VENTAS[[#This Row],[Comisión 10%]]-VENTAS[[#This Row],[Costo SIN Comision]]</f>
        <v>4.68</v>
      </c>
      <c r="M1305" s="35"/>
    </row>
    <row r="1306" ht="20" customHeight="1" spans="1:13">
      <c r="A1306" s="29">
        <v>45511</v>
      </c>
      <c r="B1306" s="30"/>
      <c r="C1306" s="30" t="s">
        <v>3627</v>
      </c>
      <c r="D1306" s="30" t="s">
        <v>3626</v>
      </c>
      <c r="E1306" s="30" t="s">
        <v>2496</v>
      </c>
      <c r="F1306" s="34" t="str">
        <f>IFERROR(VLOOKUP(VENTAS[[#This Row],[Código del producto Vendido]],STOCK[],5,FALSE),"-")</f>
        <v>Bolso tejido redondo de gran capidad </v>
      </c>
      <c r="G1306" s="34">
        <v>1</v>
      </c>
      <c r="H1306" s="35">
        <v>25</v>
      </c>
      <c r="I1306" s="35">
        <f>VENTAS[[#This Row],[Cantidad]]*VENTAS[[#This Row],[Precio Venta]]</f>
        <v>25</v>
      </c>
      <c r="J1306" s="35">
        <f>IF(VENTAS[[#This Row],[Nombre del Gestor]]&gt;1,VENTAS[[#This Row],[Total]]*10%,0)</f>
        <v>2.5</v>
      </c>
      <c r="K1306" s="35">
        <f>IFERROR(VLOOKUP(VENTAS[[#This Row],[Código del producto Vendido]],STOCK[],16,FALSE)*VENTAS[[#This Row],[Cantidad]]+VLOOKUP(VENTAS[[#This Row],[Código del producto Vendido]],STOCK[],19,FALSE)*VENTAS[[#This Row],[Cantidad]],VENTAS[[#This Row],[Total]])</f>
        <v>11.67</v>
      </c>
      <c r="L1306" s="35">
        <f>VENTAS[[#This Row],[Total]]-VENTAS[[#This Row],[Comisión 10%]]-VENTAS[[#This Row],[Costo SIN Comision]]</f>
        <v>10.83</v>
      </c>
      <c r="M1306" s="35"/>
    </row>
    <row r="1307" ht="20" customHeight="1" spans="1:13">
      <c r="A1307" s="29">
        <v>45511</v>
      </c>
      <c r="B1307" s="30"/>
      <c r="C1307" s="30" t="s">
        <v>3627</v>
      </c>
      <c r="D1307" s="30" t="s">
        <v>3462</v>
      </c>
      <c r="E1307" s="30" t="s">
        <v>1209</v>
      </c>
      <c r="F1307" s="34" t="str">
        <f>IFERROR(VLOOKUP(VENTAS[[#This Row],[Código del producto Vendido]],STOCK[],5,FALSE),"-")</f>
        <v>Falda negra con flores y abertura</v>
      </c>
      <c r="G1307" s="34">
        <v>1</v>
      </c>
      <c r="H1307" s="35">
        <v>18</v>
      </c>
      <c r="I1307" s="35">
        <f>VENTAS[[#This Row],[Cantidad]]*VENTAS[[#This Row],[Precio Venta]]</f>
        <v>18</v>
      </c>
      <c r="J1307" s="35">
        <f>IF(VENTAS[[#This Row],[Nombre del Gestor]]&gt;1,VENTAS[[#This Row],[Total]]*10%,0)</f>
        <v>1.8</v>
      </c>
      <c r="K1307" s="35">
        <f>IFERROR(VLOOKUP(VENTAS[[#This Row],[Código del producto Vendido]],STOCK[],16,FALSE)*VENTAS[[#This Row],[Cantidad]]+VLOOKUP(VENTAS[[#This Row],[Código del producto Vendido]],STOCK[],19,FALSE)*VENTAS[[#This Row],[Cantidad]],VENTAS[[#This Row],[Total]])</f>
        <v>10.77</v>
      </c>
      <c r="L1307" s="35">
        <f>VENTAS[[#This Row],[Total]]-VENTAS[[#This Row],[Comisión 10%]]-VENTAS[[#This Row],[Costo SIN Comision]]</f>
        <v>5.43</v>
      </c>
      <c r="M1307" s="35"/>
    </row>
    <row r="1308" ht="20" customHeight="1" spans="1:13">
      <c r="A1308" s="29">
        <v>45514</v>
      </c>
      <c r="B1308" s="30"/>
      <c r="C1308" s="30" t="s">
        <v>3586</v>
      </c>
      <c r="D1308" s="30" t="s">
        <v>3462</v>
      </c>
      <c r="E1308" s="30" t="s">
        <v>2492</v>
      </c>
      <c r="F1308" s="34" t="str">
        <f>IFERROR(VLOOKUP(VENTAS[[#This Row],[Código del producto Vendido]],STOCK[],5,FALSE),"-")</f>
        <v>Blusa blanca de lazos y manga abullonada</v>
      </c>
      <c r="G1308" s="34">
        <v>1</v>
      </c>
      <c r="H1308" s="35">
        <v>18</v>
      </c>
      <c r="I1308" s="35">
        <f>VENTAS[[#This Row],[Cantidad]]*VENTAS[[#This Row],[Precio Venta]]</f>
        <v>18</v>
      </c>
      <c r="J1308" s="35">
        <f>IF(VENTAS[[#This Row],[Nombre del Gestor]]&gt;1,VENTAS[[#This Row],[Total]]*10%,0)</f>
        <v>1.8</v>
      </c>
      <c r="K1308" s="35">
        <f>IFERROR(VLOOKUP(VENTAS[[#This Row],[Código del producto Vendido]],STOCK[],16,FALSE)*VENTAS[[#This Row],[Cantidad]]+VLOOKUP(VENTAS[[#This Row],[Código del producto Vendido]],STOCK[],19,FALSE)*VENTAS[[#This Row],[Cantidad]],VENTAS[[#This Row],[Total]])</f>
        <v>10.94</v>
      </c>
      <c r="L1308" s="35">
        <f>VENTAS[[#This Row],[Total]]-VENTAS[[#This Row],[Comisión 10%]]-VENTAS[[#This Row],[Costo SIN Comision]]</f>
        <v>5.26</v>
      </c>
      <c r="M1308" s="35"/>
    </row>
    <row r="1309" ht="20" customHeight="1" spans="1:13">
      <c r="A1309" s="29">
        <v>45514</v>
      </c>
      <c r="B1309" s="30"/>
      <c r="C1309" s="30" t="s">
        <v>3628</v>
      </c>
      <c r="D1309" s="30" t="s">
        <v>3462</v>
      </c>
      <c r="E1309" s="30" t="s">
        <v>2470</v>
      </c>
      <c r="F1309" s="34" t="str">
        <f>IFERROR(VLOOKUP(VENTAS[[#This Row],[Código del producto Vendido]],STOCK[],5,FALSE),"-")</f>
        <v>Sandalias de plataforma de tacón grueso</v>
      </c>
      <c r="G1309" s="34">
        <v>1</v>
      </c>
      <c r="H1309" s="35">
        <v>50</v>
      </c>
      <c r="I1309" s="35">
        <f>VENTAS[[#This Row],[Cantidad]]*VENTAS[[#This Row],[Precio Venta]]</f>
        <v>50</v>
      </c>
      <c r="J1309" s="35">
        <f>IF(VENTAS[[#This Row],[Nombre del Gestor]]&gt;1,VENTAS[[#This Row],[Total]]*10%,0)</f>
        <v>5</v>
      </c>
      <c r="K1309" s="35">
        <f>IFERROR(VLOOKUP(VENTAS[[#This Row],[Código del producto Vendido]],STOCK[],16,FALSE)*VENTAS[[#This Row],[Cantidad]]+VLOOKUP(VENTAS[[#This Row],[Código del producto Vendido]],STOCK[],19,FALSE)*VENTAS[[#This Row],[Cantidad]],VENTAS[[#This Row],[Total]])</f>
        <v>29.47</v>
      </c>
      <c r="L1309" s="35">
        <f>VENTAS[[#This Row],[Total]]-VENTAS[[#This Row],[Comisión 10%]]-VENTAS[[#This Row],[Costo SIN Comision]]</f>
        <v>15.53</v>
      </c>
      <c r="M1309" s="35"/>
    </row>
    <row r="1310" ht="20" customHeight="1" spans="1:13">
      <c r="A1310" s="29">
        <v>45514</v>
      </c>
      <c r="B1310" s="30"/>
      <c r="C1310" s="30" t="s">
        <v>3542</v>
      </c>
      <c r="D1310" s="30" t="s">
        <v>3462</v>
      </c>
      <c r="E1310" s="30" t="s">
        <v>1427</v>
      </c>
      <c r="F1310" s="34" t="str">
        <f>IFERROR(VLOOKUP(VENTAS[[#This Row],[Código del producto Vendido]],STOCK[],5,FALSE),"-")</f>
        <v>Sandalias blancas cruzadas</v>
      </c>
      <c r="G1310" s="34">
        <v>1</v>
      </c>
      <c r="H1310" s="35">
        <v>18</v>
      </c>
      <c r="I1310" s="35">
        <f>VENTAS[[#This Row],[Cantidad]]*VENTAS[[#This Row],[Precio Venta]]</f>
        <v>18</v>
      </c>
      <c r="J1310" s="35">
        <f>IF(VENTAS[[#This Row],[Nombre del Gestor]]&gt;1,VENTAS[[#This Row],[Total]]*10%,0)</f>
        <v>1.8</v>
      </c>
      <c r="K1310" s="35">
        <f>IFERROR(VLOOKUP(VENTAS[[#This Row],[Código del producto Vendido]],STOCK[],16,FALSE)*VENTAS[[#This Row],[Cantidad]]+VLOOKUP(VENTAS[[#This Row],[Código del producto Vendido]],STOCK[],19,FALSE)*VENTAS[[#This Row],[Cantidad]],VENTAS[[#This Row],[Total]])</f>
        <v>11.49</v>
      </c>
      <c r="L1310" s="35">
        <f>VENTAS[[#This Row],[Total]]-VENTAS[[#This Row],[Comisión 10%]]-VENTAS[[#This Row],[Costo SIN Comision]]</f>
        <v>4.71</v>
      </c>
      <c r="M1310" s="35"/>
    </row>
    <row r="1311" ht="20" customHeight="1" spans="1:13">
      <c r="A1311" s="29">
        <v>45518</v>
      </c>
      <c r="B1311" s="30"/>
      <c r="C1311" s="30" t="s">
        <v>3629</v>
      </c>
      <c r="D1311" s="30" t="s">
        <v>3462</v>
      </c>
      <c r="E1311" s="30" t="s">
        <v>2526</v>
      </c>
      <c r="F1311" s="34" t="str">
        <f>IFERROR(VLOOKUP(VENTAS[[#This Row],[Código del producto Vendido]],STOCK[],5,FALSE),"-")</f>
        <v>Blusa de lazos color negro</v>
      </c>
      <c r="G1311" s="34">
        <v>1</v>
      </c>
      <c r="H1311" s="35">
        <v>18</v>
      </c>
      <c r="I1311" s="35">
        <f>VENTAS[[#This Row],[Cantidad]]*VENTAS[[#This Row],[Precio Venta]]</f>
        <v>18</v>
      </c>
      <c r="J1311" s="35">
        <f>IF(VENTAS[[#This Row],[Nombre del Gestor]]&gt;1,VENTAS[[#This Row],[Total]]*10%,0)</f>
        <v>1.8</v>
      </c>
      <c r="K1311" s="35">
        <f>IFERROR(VLOOKUP(VENTAS[[#This Row],[Código del producto Vendido]],STOCK[],16,FALSE)*VENTAS[[#This Row],[Cantidad]]+VLOOKUP(VENTAS[[#This Row],[Código del producto Vendido]],STOCK[],19,FALSE)*VENTAS[[#This Row],[Cantidad]],VENTAS[[#This Row],[Total]])</f>
        <v>10.22</v>
      </c>
      <c r="L1311" s="35">
        <f>VENTAS[[#This Row],[Total]]-VENTAS[[#This Row],[Comisión 10%]]-VENTAS[[#This Row],[Costo SIN Comision]]</f>
        <v>5.98</v>
      </c>
      <c r="M1311" s="35"/>
    </row>
    <row r="1312" ht="20" customHeight="1" spans="1:13">
      <c r="A1312" s="29">
        <v>45519</v>
      </c>
      <c r="B1312" s="30"/>
      <c r="C1312" s="30" t="s">
        <v>3630</v>
      </c>
      <c r="D1312" s="30" t="s">
        <v>3462</v>
      </c>
      <c r="E1312" s="30" t="s">
        <v>2710</v>
      </c>
      <c r="F1312" s="34" t="str">
        <f>IFERROR(VLOOKUP(VENTAS[[#This Row],[Código del producto Vendido]],STOCK[],5,FALSE),"-")</f>
        <v>Set de Splash y crema de Victoria Secret (Original) Midnigth Bloom</v>
      </c>
      <c r="G1312" s="34">
        <v>1</v>
      </c>
      <c r="H1312" s="35">
        <v>40</v>
      </c>
      <c r="I1312" s="35">
        <f>VENTAS[[#This Row],[Cantidad]]*VENTAS[[#This Row],[Precio Venta]]</f>
        <v>40</v>
      </c>
      <c r="J1312" s="35">
        <f>IF(VENTAS[[#This Row],[Nombre del Gestor]]&gt;1,VENTAS[[#This Row],[Total]]*10%,0)</f>
        <v>4</v>
      </c>
      <c r="K1312" s="35">
        <f>IFERROR(VLOOKUP(VENTAS[[#This Row],[Código del producto Vendido]],STOCK[],16,FALSE)*VENTAS[[#This Row],[Cantidad]]+VLOOKUP(VENTAS[[#This Row],[Código del producto Vendido]],STOCK[],19,FALSE)*VENTAS[[#This Row],[Cantidad]],VENTAS[[#This Row],[Total]])</f>
        <v>16.37</v>
      </c>
      <c r="L1312" s="35">
        <f>VENTAS[[#This Row],[Total]]-VENTAS[[#This Row],[Comisión 10%]]-VENTAS[[#This Row],[Costo SIN Comision]]</f>
        <v>19.63</v>
      </c>
      <c r="M1312" s="35"/>
    </row>
    <row r="1313" ht="20" customHeight="1" spans="1:13">
      <c r="A1313" s="29">
        <v>45512</v>
      </c>
      <c r="B1313" s="30"/>
      <c r="C1313" s="30" t="s">
        <v>3631</v>
      </c>
      <c r="D1313" s="30" t="s">
        <v>3510</v>
      </c>
      <c r="E1313" s="30" t="s">
        <v>2182</v>
      </c>
      <c r="F1313" s="34" t="str">
        <f>IFERROR(VLOOKUP(VENTAS[[#This Row],[Código del producto Vendido]],STOCK[],5,FALSE),"-")</f>
        <v>Bikini sexy de pierna alta en tendencia</v>
      </c>
      <c r="G1313" s="34">
        <v>1</v>
      </c>
      <c r="H1313" s="35">
        <v>20</v>
      </c>
      <c r="I1313" s="35">
        <f>VENTAS[[#This Row],[Cantidad]]*VENTAS[[#This Row],[Precio Venta]]</f>
        <v>20</v>
      </c>
      <c r="J1313" s="35">
        <f>IF(VENTAS[[#This Row],[Nombre del Gestor]]&gt;1,VENTAS[[#This Row],[Total]]*10%,0)</f>
        <v>2</v>
      </c>
      <c r="K1313" s="35">
        <f>IFERROR(VLOOKUP(VENTAS[[#This Row],[Código del producto Vendido]],STOCK[],16,FALSE)*VENTAS[[#This Row],[Cantidad]]+VLOOKUP(VENTAS[[#This Row],[Código del producto Vendido]],STOCK[],19,FALSE)*VENTAS[[#This Row],[Cantidad]],VENTAS[[#This Row],[Total]])</f>
        <v>6.62</v>
      </c>
      <c r="L1313" s="35">
        <f>VENTAS[[#This Row],[Total]]-VENTAS[[#This Row],[Comisión 10%]]-VENTAS[[#This Row],[Costo SIN Comision]]</f>
        <v>11.38</v>
      </c>
      <c r="M1313" s="35"/>
    </row>
    <row r="1314" ht="20" customHeight="1" spans="1:13">
      <c r="A1314" s="29">
        <v>45512</v>
      </c>
      <c r="B1314" s="30"/>
      <c r="C1314" s="30"/>
      <c r="D1314" s="30" t="s">
        <v>3456</v>
      </c>
      <c r="E1314" s="30" t="s">
        <v>2186</v>
      </c>
      <c r="F1314" s="34" t="str">
        <f>IFERROR(VLOOKUP(VENTAS[[#This Row],[Código del producto Vendido]],STOCK[],5,FALSE),"-")</f>
        <v>Conjunto Playero color verde 2 piezas</v>
      </c>
      <c r="G1314" s="34">
        <v>1</v>
      </c>
      <c r="H1314" s="35">
        <v>25</v>
      </c>
      <c r="I1314" s="35">
        <f>VENTAS[[#This Row],[Cantidad]]*VENTAS[[#This Row],[Precio Venta]]</f>
        <v>25</v>
      </c>
      <c r="J1314" s="35">
        <f>IF(VENTAS[[#This Row],[Nombre del Gestor]]&gt;1,VENTAS[[#This Row],[Total]]*10%,0)</f>
        <v>2.5</v>
      </c>
      <c r="K1314" s="35">
        <f>IFERROR(VLOOKUP(VENTAS[[#This Row],[Código del producto Vendido]],STOCK[],16,FALSE)*VENTAS[[#This Row],[Cantidad]]+VLOOKUP(VENTAS[[#This Row],[Código del producto Vendido]],STOCK[],19,FALSE)*VENTAS[[#This Row],[Cantidad]],VENTAS[[#This Row],[Total]])</f>
        <v>12.48</v>
      </c>
      <c r="L1314" s="35">
        <f>VENTAS[[#This Row],[Total]]-VENTAS[[#This Row],[Comisión 10%]]-VENTAS[[#This Row],[Costo SIN Comision]]</f>
        <v>10.02</v>
      </c>
      <c r="M1314" s="35"/>
    </row>
    <row r="1315" ht="20" customHeight="1" spans="1:13">
      <c r="A1315" s="29">
        <v>45512</v>
      </c>
      <c r="B1315" s="30"/>
      <c r="C1315" s="30"/>
      <c r="D1315" s="30" t="s">
        <v>3456</v>
      </c>
      <c r="E1315" s="30" t="s">
        <v>1170</v>
      </c>
      <c r="F1315" s="34" t="str">
        <f>IFERROR(VLOOKUP(VENTAS[[#This Row],[Código del producto Vendido]],STOCK[],5,FALSE),"-")</f>
        <v>Pullover Dazy cuello redondo Blanco</v>
      </c>
      <c r="G1315" s="34">
        <v>1</v>
      </c>
      <c r="H1315" s="35">
        <v>13</v>
      </c>
      <c r="I1315" s="35">
        <f>VENTAS[[#This Row],[Cantidad]]*VENTAS[[#This Row],[Precio Venta]]</f>
        <v>13</v>
      </c>
      <c r="J1315" s="35">
        <f>IF(VENTAS[[#This Row],[Nombre del Gestor]]&gt;1,VENTAS[[#This Row],[Total]]*10%,0)</f>
        <v>1.3</v>
      </c>
      <c r="K1315" s="35">
        <f>IFERROR(VLOOKUP(VENTAS[[#This Row],[Código del producto Vendido]],STOCK[],16,FALSE)*VENTAS[[#This Row],[Cantidad]]+VLOOKUP(VENTAS[[#This Row],[Código del producto Vendido]],STOCK[],19,FALSE)*VENTAS[[#This Row],[Cantidad]],VENTAS[[#This Row],[Total]])</f>
        <v>8.61</v>
      </c>
      <c r="L1315" s="35">
        <f>VENTAS[[#This Row],[Total]]-VENTAS[[#This Row],[Comisión 10%]]-VENTAS[[#This Row],[Costo SIN Comision]]</f>
        <v>3.09</v>
      </c>
      <c r="M1315" s="35"/>
    </row>
    <row r="1316" ht="20" customHeight="1" spans="1:13">
      <c r="A1316" s="29">
        <v>45507</v>
      </c>
      <c r="B1316" s="30"/>
      <c r="C1316" s="30" t="s">
        <v>3632</v>
      </c>
      <c r="D1316" s="30" t="s">
        <v>3315</v>
      </c>
      <c r="E1316" s="30" t="s">
        <v>2359</v>
      </c>
      <c r="F1316" s="34" t="str">
        <f>IFERROR(VLOOKUP(VENTAS[[#This Row],[Código del producto Vendido]],STOCK[],5,FALSE),"-")</f>
        <v>Espejuelos estilo cat eye</v>
      </c>
      <c r="G1316" s="34">
        <v>1</v>
      </c>
      <c r="H1316" s="35">
        <v>10</v>
      </c>
      <c r="I1316" s="35">
        <f>VENTAS[[#This Row],[Cantidad]]*VENTAS[[#This Row],[Precio Venta]]</f>
        <v>10</v>
      </c>
      <c r="J1316" s="35">
        <f>IF(VENTAS[[#This Row],[Nombre del Gestor]]&gt;1,VENTAS[[#This Row],[Total]]*10%,0)</f>
        <v>1</v>
      </c>
      <c r="K1316" s="35">
        <f>IFERROR(VLOOKUP(VENTAS[[#This Row],[Código del producto Vendido]],STOCK[],16,FALSE)*VENTAS[[#This Row],[Cantidad]]+VLOOKUP(VENTAS[[#This Row],[Código del producto Vendido]],STOCK[],19,FALSE)*VENTAS[[#This Row],[Cantidad]],VENTAS[[#This Row],[Total]])</f>
        <v>5.121875</v>
      </c>
      <c r="L1316" s="35">
        <f>VENTAS[[#This Row],[Total]]-VENTAS[[#This Row],[Comisión 10%]]-VENTAS[[#This Row],[Costo SIN Comision]]</f>
        <v>3.878125</v>
      </c>
      <c r="M1316" s="35"/>
    </row>
    <row r="1317" ht="20" customHeight="1" spans="1:13">
      <c r="A1317" s="29">
        <v>45509</v>
      </c>
      <c r="B1317" s="30"/>
      <c r="C1317" s="30" t="s">
        <v>3578</v>
      </c>
      <c r="D1317" s="30" t="s">
        <v>3315</v>
      </c>
      <c r="E1317" s="30" t="s">
        <v>2598</v>
      </c>
      <c r="F1317" s="34" t="str">
        <f>IFERROR(VLOOKUP(VENTAS[[#This Row],[Código del producto Vendido]],STOCK[],5,FALSE),"-")</f>
        <v>Bolso verano de rafia en bloque de color</v>
      </c>
      <c r="G1317" s="34">
        <v>1</v>
      </c>
      <c r="H1317" s="35">
        <v>22</v>
      </c>
      <c r="I1317" s="35">
        <f>VENTAS[[#This Row],[Cantidad]]*VENTAS[[#This Row],[Precio Venta]]</f>
        <v>22</v>
      </c>
      <c r="J1317" s="35">
        <f>IF(VENTAS[[#This Row],[Nombre del Gestor]]&gt;1,VENTAS[[#This Row],[Total]]*10%,0)</f>
        <v>2.2</v>
      </c>
      <c r="K1317" s="35">
        <f>IFERROR(VLOOKUP(VENTAS[[#This Row],[Código del producto Vendido]],STOCK[],16,FALSE)*VENTAS[[#This Row],[Cantidad]]+VLOOKUP(VENTAS[[#This Row],[Código del producto Vendido]],STOCK[],19,FALSE)*VENTAS[[#This Row],[Cantidad]],VENTAS[[#This Row],[Total]])</f>
        <v>5.96</v>
      </c>
      <c r="L1317" s="35">
        <f>VENTAS[[#This Row],[Total]]-VENTAS[[#This Row],[Comisión 10%]]-VENTAS[[#This Row],[Costo SIN Comision]]</f>
        <v>13.84</v>
      </c>
      <c r="M1317" s="35"/>
    </row>
    <row r="1318" ht="20" customHeight="1" spans="1:13">
      <c r="A1318" s="29">
        <v>45516</v>
      </c>
      <c r="B1318" s="30"/>
      <c r="C1318" s="30" t="s">
        <v>3633</v>
      </c>
      <c r="D1318" s="30" t="s">
        <v>3315</v>
      </c>
      <c r="E1318" s="30" t="s">
        <v>486</v>
      </c>
      <c r="F1318" s="34" t="str">
        <f>IFERROR(VLOOKUP(VENTAS[[#This Row],[Código del producto Vendido]],STOCK[],5,FALSE),"-")</f>
        <v>Bolsa bandolera</v>
      </c>
      <c r="G1318" s="34">
        <v>1</v>
      </c>
      <c r="H1318" s="35">
        <v>12</v>
      </c>
      <c r="I1318" s="35">
        <f>VENTAS[[#This Row],[Cantidad]]*VENTAS[[#This Row],[Precio Venta]]</f>
        <v>12</v>
      </c>
      <c r="J1318" s="35">
        <f>IF(VENTAS[[#This Row],[Nombre del Gestor]]&gt;1,VENTAS[[#This Row],[Total]]*10%,0)</f>
        <v>1.2</v>
      </c>
      <c r="K1318" s="35">
        <f>IFERROR(VLOOKUP(VENTAS[[#This Row],[Código del producto Vendido]],STOCK[],16,FALSE)*VENTAS[[#This Row],[Cantidad]]+VLOOKUP(VENTAS[[#This Row],[Código del producto Vendido]],STOCK[],19,FALSE)*VENTAS[[#This Row],[Cantidad]],VENTAS[[#This Row],[Total]])</f>
        <v>8.94444444444444</v>
      </c>
      <c r="L1318" s="35">
        <f>VENTAS[[#This Row],[Total]]-VENTAS[[#This Row],[Comisión 10%]]-VENTAS[[#This Row],[Costo SIN Comision]]</f>
        <v>1.85555555555556</v>
      </c>
      <c r="M1318" s="35"/>
    </row>
    <row r="1319" ht="20" customHeight="1" spans="1:13">
      <c r="A1319" s="29">
        <v>45518</v>
      </c>
      <c r="B1319" s="30"/>
      <c r="C1319" s="30" t="s">
        <v>3634</v>
      </c>
      <c r="D1319" s="30" t="s">
        <v>3315</v>
      </c>
      <c r="E1319" s="30" t="s">
        <v>1979</v>
      </c>
      <c r="F1319" s="34" t="str">
        <f>IFERROR(VLOOKUP(VENTAS[[#This Row],[Código del producto Vendido]],STOCK[],5,FALSE),"-")</f>
        <v>Bermuda denim curvy</v>
      </c>
      <c r="G1319" s="34">
        <v>1</v>
      </c>
      <c r="H1319" s="35">
        <v>7.5</v>
      </c>
      <c r="I1319" s="35">
        <f>VENTAS[[#This Row],[Cantidad]]*VENTAS[[#This Row],[Precio Venta]]</f>
        <v>7.5</v>
      </c>
      <c r="J1319" s="35">
        <f>IF(VENTAS[[#This Row],[Nombre del Gestor]]&gt;1,VENTAS[[#This Row],[Total]]*10%,0)</f>
        <v>0.75</v>
      </c>
      <c r="K1319" s="35">
        <f>IFERROR(VLOOKUP(VENTAS[[#This Row],[Código del producto Vendido]],STOCK[],16,FALSE)*VENTAS[[#This Row],[Cantidad]]+VLOOKUP(VENTAS[[#This Row],[Código del producto Vendido]],STOCK[],19,FALSE)*VENTAS[[#This Row],[Cantidad]],VENTAS[[#This Row],[Total]])</f>
        <v>5</v>
      </c>
      <c r="L1319" s="35">
        <f>VENTAS[[#This Row],[Total]]-VENTAS[[#This Row],[Comisión 10%]]-VENTAS[[#This Row],[Costo SIN Comision]]</f>
        <v>1.75</v>
      </c>
      <c r="M1319" s="35"/>
    </row>
    <row r="1320" ht="20" customHeight="1" spans="1:13">
      <c r="A1320" s="29">
        <v>45511</v>
      </c>
      <c r="B1320" s="30"/>
      <c r="C1320" s="30" t="s">
        <v>3561</v>
      </c>
      <c r="D1320" s="30" t="s">
        <v>3368</v>
      </c>
      <c r="E1320" s="30" t="s">
        <v>2512</v>
      </c>
      <c r="F1320" s="34" t="str">
        <f>IFERROR(VLOOKUP(VENTAS[[#This Row],[Código del producto Vendido]],STOCK[],5,FALSE),"-")</f>
        <v>Bolso pequeño estilo old money</v>
      </c>
      <c r="G1320" s="34">
        <v>1</v>
      </c>
      <c r="H1320" s="35">
        <v>20</v>
      </c>
      <c r="I1320" s="35">
        <f>VENTAS[[#This Row],[Cantidad]]*VENTAS[[#This Row],[Precio Venta]]</f>
        <v>20</v>
      </c>
      <c r="J1320" s="35">
        <f>IF(VENTAS[[#This Row],[Nombre del Gestor]]&gt;1,VENTAS[[#This Row],[Total]]*10%,0)</f>
        <v>2</v>
      </c>
      <c r="K1320" s="35">
        <f>IFERROR(VLOOKUP(VENTAS[[#This Row],[Código del producto Vendido]],STOCK[],16,FALSE)*VENTAS[[#This Row],[Cantidad]]+VLOOKUP(VENTAS[[#This Row],[Código del producto Vendido]],STOCK[],19,FALSE)*VENTAS[[#This Row],[Cantidad]],VENTAS[[#This Row],[Total]])</f>
        <v>11.49</v>
      </c>
      <c r="L1320" s="35">
        <f>VENTAS[[#This Row],[Total]]-VENTAS[[#This Row],[Comisión 10%]]-VENTAS[[#This Row],[Costo SIN Comision]]</f>
        <v>6.51</v>
      </c>
      <c r="M1320" s="35"/>
    </row>
    <row r="1321" ht="20" customHeight="1" spans="1:13">
      <c r="A1321" s="29">
        <v>45505</v>
      </c>
      <c r="B1321" s="30"/>
      <c r="C1321" s="30"/>
      <c r="D1321" s="30"/>
      <c r="E1321" s="30"/>
      <c r="F1321" s="34" t="str">
        <f>IFERROR(VLOOKUP(VENTAS[[#This Row],[Código del producto Vendido]],STOCK[],5,FALSE),"-")</f>
        <v>-</v>
      </c>
      <c r="G1321" s="34">
        <v>1</v>
      </c>
      <c r="H1321" s="35">
        <v>13</v>
      </c>
      <c r="I1321" s="35">
        <f>VENTAS[[#This Row],[Cantidad]]*VENTAS[[#This Row],[Precio Venta]]</f>
        <v>13</v>
      </c>
      <c r="J1321" s="35">
        <f>IF(VENTAS[[#This Row],[Nombre del Gestor]]&gt;1,VENTAS[[#This Row],[Total]]*10%,0)</f>
        <v>0</v>
      </c>
      <c r="K1321" s="35">
        <f>IFERROR(VLOOKUP(VENTAS[[#This Row],[Código del producto Vendido]],STOCK[],16,FALSE)*VENTAS[[#This Row],[Cantidad]]+VLOOKUP(VENTAS[[#This Row],[Código del producto Vendido]],STOCK[],19,FALSE)*VENTAS[[#This Row],[Cantidad]],VENTAS[[#This Row],[Total]])</f>
        <v>13</v>
      </c>
      <c r="L1321" s="35">
        <f>VENTAS[[#This Row],[Total]]-VENTAS[[#This Row],[Comisión 10%]]-VENTAS[[#This Row],[Costo SIN Comision]]</f>
        <v>0</v>
      </c>
      <c r="M1321" s="35"/>
    </row>
    <row r="1322" ht="20" customHeight="1" spans="1:13">
      <c r="A1322" s="29">
        <v>45512</v>
      </c>
      <c r="B1322" s="30"/>
      <c r="C1322" s="30"/>
      <c r="D1322" s="30" t="s">
        <v>3481</v>
      </c>
      <c r="E1322" s="30" t="s">
        <v>2464</v>
      </c>
      <c r="F1322" s="34" t="str">
        <f>IFERROR(VLOOKUP(VENTAS[[#This Row],[Código del producto Vendido]],STOCK[],5,FALSE),"-")</f>
        <v>Sandalias de plataforma en bloque de color</v>
      </c>
      <c r="G1322" s="34">
        <v>1</v>
      </c>
      <c r="H1322" s="35">
        <v>35</v>
      </c>
      <c r="I1322" s="35">
        <f>VENTAS[[#This Row],[Cantidad]]*VENTAS[[#This Row],[Precio Venta]]</f>
        <v>35</v>
      </c>
      <c r="J1322" s="35">
        <f>IF(VENTAS[[#This Row],[Nombre del Gestor]]&gt;1,VENTAS[[#This Row],[Total]]*10%,0)</f>
        <v>3.5</v>
      </c>
      <c r="K1322" s="35">
        <f>IFERROR(VLOOKUP(VENTAS[[#This Row],[Código del producto Vendido]],STOCK[],16,FALSE)*VENTAS[[#This Row],[Cantidad]]+VLOOKUP(VENTAS[[#This Row],[Código del producto Vendido]],STOCK[],19,FALSE)*VENTAS[[#This Row],[Cantidad]],VENTAS[[#This Row],[Total]])</f>
        <v>21.97</v>
      </c>
      <c r="L1322" s="35">
        <f>VENTAS[[#This Row],[Total]]-VENTAS[[#This Row],[Comisión 10%]]-VENTAS[[#This Row],[Costo SIN Comision]]</f>
        <v>9.53</v>
      </c>
      <c r="M1322" s="35"/>
    </row>
    <row r="1323" ht="20" customHeight="1" spans="1:13">
      <c r="A1323" s="29">
        <v>45512</v>
      </c>
      <c r="B1323" s="30" t="s">
        <v>3635</v>
      </c>
      <c r="C1323" s="30"/>
      <c r="D1323" s="30"/>
      <c r="E1323" s="30" t="s">
        <v>2493</v>
      </c>
      <c r="F1323" s="34" t="str">
        <f>IFERROR(VLOOKUP(VENTAS[[#This Row],[Código del producto Vendido]],STOCK[],5,FALSE),"-")</f>
        <v>Bolso bandolera de rafia rígido de tamaño pequeño</v>
      </c>
      <c r="G1323" s="34">
        <v>1</v>
      </c>
      <c r="H1323" s="35">
        <v>12</v>
      </c>
      <c r="I1323" s="35">
        <f>VENTAS[[#This Row],[Cantidad]]*VENTAS[[#This Row],[Precio Venta]]</f>
        <v>12</v>
      </c>
      <c r="J1323" s="35">
        <f>IF(VENTAS[[#This Row],[Nombre del Gestor]]&gt;1,VENTAS[[#This Row],[Total]]*10%,0)</f>
        <v>0</v>
      </c>
      <c r="K1323" s="35">
        <f>IFERROR(VLOOKUP(VENTAS[[#This Row],[Código del producto Vendido]],STOCK[],16,FALSE)*VENTAS[[#This Row],[Cantidad]]+VLOOKUP(VENTAS[[#This Row],[Código del producto Vendido]],STOCK[],19,FALSE)*VENTAS[[#This Row],[Cantidad]],VENTAS[[#This Row],[Total]])</f>
        <v>11.39</v>
      </c>
      <c r="L1323" s="35">
        <f>VENTAS[[#This Row],[Total]]-VENTAS[[#This Row],[Comisión 10%]]-VENTAS[[#This Row],[Costo SIN Comision]]</f>
        <v>0.609999999999999</v>
      </c>
      <c r="M1323" s="35"/>
    </row>
    <row r="1324" ht="20" customHeight="1" spans="1:13">
      <c r="A1324" s="29">
        <v>45518</v>
      </c>
      <c r="B1324" s="30"/>
      <c r="C1324" s="30" t="s">
        <v>3636</v>
      </c>
      <c r="D1324" s="30" t="s">
        <v>3540</v>
      </c>
      <c r="E1324" s="30" t="s">
        <v>2514</v>
      </c>
      <c r="F1324" s="34" t="str">
        <f>IFERROR(VLOOKUP(VENTAS[[#This Row],[Código del producto Vendido]],STOCK[],5,FALSE),"-")</f>
        <v>Bolso media luna de rafia de tamaño medio</v>
      </c>
      <c r="G1324" s="34">
        <v>1</v>
      </c>
      <c r="H1324" s="35">
        <v>22</v>
      </c>
      <c r="I1324" s="35">
        <f>VENTAS[[#This Row],[Cantidad]]*VENTAS[[#This Row],[Precio Venta]]</f>
        <v>22</v>
      </c>
      <c r="J1324" s="35">
        <f>IF(VENTAS[[#This Row],[Nombre del Gestor]]&gt;1,VENTAS[[#This Row],[Total]]*10%,0)</f>
        <v>2.2</v>
      </c>
      <c r="K1324" s="35">
        <f>IFERROR(VLOOKUP(VENTAS[[#This Row],[Código del producto Vendido]],STOCK[],16,FALSE)*VENTAS[[#This Row],[Cantidad]]+VLOOKUP(VENTAS[[#This Row],[Código del producto Vendido]],STOCK[],19,FALSE)*VENTAS[[#This Row],[Cantidad]],VENTAS[[#This Row],[Total]])</f>
        <v>12.83</v>
      </c>
      <c r="L1324" s="35">
        <f>VENTAS[[#This Row],[Total]]-VENTAS[[#This Row],[Comisión 10%]]-VENTAS[[#This Row],[Costo SIN Comision]]</f>
        <v>6.97</v>
      </c>
      <c r="M1324" s="35"/>
    </row>
    <row r="1325" ht="20" customHeight="1" spans="1:13">
      <c r="A1325" s="29">
        <v>45512</v>
      </c>
      <c r="B1325" s="30"/>
      <c r="C1325" s="30"/>
      <c r="D1325" s="30" t="s">
        <v>3481</v>
      </c>
      <c r="E1325" s="30" t="s">
        <v>3550</v>
      </c>
      <c r="F1325" s="34" t="str">
        <f>IFERROR(VLOOKUP(VENTAS[[#This Row],[Código del producto Vendido]],STOCK[],5,FALSE),"-")</f>
        <v>-</v>
      </c>
      <c r="G1325" s="34">
        <v>1</v>
      </c>
      <c r="H1325" s="35">
        <v>45</v>
      </c>
      <c r="I1325" s="35">
        <f>VENTAS[[#This Row],[Cantidad]]*VENTAS[[#This Row],[Precio Venta]]</f>
        <v>45</v>
      </c>
      <c r="J1325" s="35">
        <f>IF(VENTAS[[#This Row],[Nombre del Gestor]]&gt;1,VENTAS[[#This Row],[Total]]*10%,0)</f>
        <v>4.5</v>
      </c>
      <c r="K1325" s="35">
        <f>IFERROR(VLOOKUP(VENTAS[[#This Row],[Código del producto Vendido]],STOCK[],16,FALSE)*VENTAS[[#This Row],[Cantidad]]+VLOOKUP(VENTAS[[#This Row],[Código del producto Vendido]],STOCK[],19,FALSE)*VENTAS[[#This Row],[Cantidad]],VENTAS[[#This Row],[Total]])</f>
        <v>45</v>
      </c>
      <c r="L1325" s="35">
        <f>VENTAS[[#This Row],[Total]]-VENTAS[[#This Row],[Comisión 10%]]-VENTAS[[#This Row],[Costo SIN Comision]]</f>
        <v>-4.5</v>
      </c>
      <c r="M1325" s="35"/>
    </row>
    <row r="1326" ht="20" customHeight="1" spans="1:13">
      <c r="A1326" s="29">
        <v>45512</v>
      </c>
      <c r="B1326" s="30"/>
      <c r="C1326" s="30"/>
      <c r="D1326" s="30"/>
      <c r="E1326" s="30" t="s">
        <v>2487</v>
      </c>
      <c r="F1326" s="34" t="str">
        <f>IFERROR(VLOOKUP(VENTAS[[#This Row],[Código del producto Vendido]],STOCK[],5,FALSE),"-")</f>
        <v>Sandalias prácticas chunky blanco crema</v>
      </c>
      <c r="G1326" s="34">
        <v>1</v>
      </c>
      <c r="H1326" s="35"/>
      <c r="I1326" s="35">
        <f>VENTAS[[#This Row],[Cantidad]]*VENTAS[[#This Row],[Precio Venta]]</f>
        <v>0</v>
      </c>
      <c r="J1326" s="35">
        <f>IF(VENTAS[[#This Row],[Nombre del Gestor]]&gt;1,VENTAS[[#This Row],[Total]]*10%,0)</f>
        <v>0</v>
      </c>
      <c r="K1326" s="35">
        <f>IFERROR(VLOOKUP(VENTAS[[#This Row],[Código del producto Vendido]],STOCK[],16,FALSE)*VENTAS[[#This Row],[Cantidad]]+VLOOKUP(VENTAS[[#This Row],[Código del producto Vendido]],STOCK[],19,FALSE)*VENTAS[[#This Row],[Cantidad]],VENTAS[[#This Row],[Total]])</f>
        <v>24.2174</v>
      </c>
      <c r="L1326" s="35">
        <f>VENTAS[[#This Row],[Total]]-VENTAS[[#This Row],[Comisión 10%]]-VENTAS[[#This Row],[Costo SIN Comision]]</f>
        <v>-24.2174</v>
      </c>
      <c r="M1326" s="35"/>
    </row>
    <row r="1327" ht="20" customHeight="1" spans="1:13">
      <c r="A1327" s="29">
        <v>45512</v>
      </c>
      <c r="B1327" s="30"/>
      <c r="C1327" s="30" t="s">
        <v>3637</v>
      </c>
      <c r="D1327" s="30"/>
      <c r="E1327" s="30" t="s">
        <v>2653</v>
      </c>
      <c r="F1327" s="34" t="str">
        <f>IFERROR(VLOOKUP(VENTAS[[#This Row],[Código del producto Vendido]],STOCK[],5,FALSE),"-")</f>
        <v>Sandalias Pull&amp;Bear (encargo mónica)</v>
      </c>
      <c r="G1327" s="34">
        <v>1</v>
      </c>
      <c r="H1327" s="35">
        <v>35</v>
      </c>
      <c r="I1327" s="35">
        <f>VENTAS[[#This Row],[Cantidad]]*VENTAS[[#This Row],[Precio Venta]]</f>
        <v>35</v>
      </c>
      <c r="J1327" s="35">
        <f>IF(VENTAS[[#This Row],[Nombre del Gestor]]&gt;1,VENTAS[[#This Row],[Total]]*10%,0)</f>
        <v>0</v>
      </c>
      <c r="K1327" s="35">
        <f>IFERROR(VLOOKUP(VENTAS[[#This Row],[Código del producto Vendido]],STOCK[],16,FALSE)*VENTAS[[#This Row],[Cantidad]]+VLOOKUP(VENTAS[[#This Row],[Código del producto Vendido]],STOCK[],19,FALSE)*VENTAS[[#This Row],[Cantidad]],VENTAS[[#This Row],[Total]])</f>
        <v>21</v>
      </c>
      <c r="L1327" s="35">
        <f>VENTAS[[#This Row],[Total]]-VENTAS[[#This Row],[Comisión 10%]]-VENTAS[[#This Row],[Costo SIN Comision]]</f>
        <v>14</v>
      </c>
      <c r="M1327" s="35"/>
    </row>
    <row r="1328" ht="20" customHeight="1" spans="1:13">
      <c r="A1328" s="29">
        <v>45512</v>
      </c>
      <c r="B1328" s="30"/>
      <c r="C1328" s="30"/>
      <c r="D1328" s="30"/>
      <c r="E1328" s="30" t="s">
        <v>626</v>
      </c>
      <c r="F1328" s="34" t="str">
        <f>IFERROR(VLOOKUP(VENTAS[[#This Row],[Código del producto Vendido]],STOCK[],5,FALSE),"-")</f>
        <v>Vestido vaporoso</v>
      </c>
      <c r="G1328" s="34">
        <v>1</v>
      </c>
      <c r="H1328" s="35"/>
      <c r="I1328" s="35">
        <f>VENTAS[[#This Row],[Cantidad]]*VENTAS[[#This Row],[Precio Venta]]</f>
        <v>0</v>
      </c>
      <c r="J1328" s="35">
        <f>IF(VENTAS[[#This Row],[Nombre del Gestor]]&gt;1,VENTAS[[#This Row],[Total]]*10%,0)</f>
        <v>0</v>
      </c>
      <c r="K1328" s="35">
        <f>IFERROR(VLOOKUP(VENTAS[[#This Row],[Código del producto Vendido]],STOCK[],16,FALSE)*VENTAS[[#This Row],[Cantidad]]+VLOOKUP(VENTAS[[#This Row],[Código del producto Vendido]],STOCK[],19,FALSE)*VENTAS[[#This Row],[Cantidad]],VENTAS[[#This Row],[Total]])</f>
        <v>10.7222222222222</v>
      </c>
      <c r="L1328" s="35">
        <f>VENTAS[[#This Row],[Total]]-VENTAS[[#This Row],[Comisión 10%]]-VENTAS[[#This Row],[Costo SIN Comision]]</f>
        <v>-10.7222222222222</v>
      </c>
      <c r="M1328" s="35"/>
    </row>
    <row r="1329" ht="20" customHeight="1" spans="1:13">
      <c r="A1329" s="29">
        <v>45512</v>
      </c>
      <c r="B1329" s="30"/>
      <c r="C1329" s="30" t="s">
        <v>3638</v>
      </c>
      <c r="D1329" s="30" t="s">
        <v>3451</v>
      </c>
      <c r="E1329" s="30" t="s">
        <v>1257</v>
      </c>
      <c r="F1329" s="34" t="str">
        <f>IFERROR(VLOOKUP(VENTAS[[#This Row],[Código del producto Vendido]],STOCK[],5,FALSE),"-")</f>
        <v>Maxi vestido de espalda cruzada</v>
      </c>
      <c r="G1329" s="34">
        <v>1</v>
      </c>
      <c r="H1329" s="35">
        <v>30</v>
      </c>
      <c r="I1329" s="35">
        <f>VENTAS[[#This Row],[Cantidad]]*VENTAS[[#This Row],[Precio Venta]]</f>
        <v>30</v>
      </c>
      <c r="J1329" s="35">
        <f>IF(VENTAS[[#This Row],[Nombre del Gestor]]&gt;1,VENTAS[[#This Row],[Total]]*10%,0)</f>
        <v>3</v>
      </c>
      <c r="K1329" s="35">
        <f>IFERROR(VLOOKUP(VENTAS[[#This Row],[Código del producto Vendido]],STOCK[],16,FALSE)*VENTAS[[#This Row],[Cantidad]]+VLOOKUP(VENTAS[[#This Row],[Código del producto Vendido]],STOCK[],19,FALSE)*VENTAS[[#This Row],[Cantidad]],VENTAS[[#This Row],[Total]])</f>
        <v>23.95</v>
      </c>
      <c r="L1329" s="35">
        <f>VENTAS[[#This Row],[Total]]-VENTAS[[#This Row],[Comisión 10%]]-VENTAS[[#This Row],[Costo SIN Comision]]</f>
        <v>3.05</v>
      </c>
      <c r="M1329" s="35"/>
    </row>
    <row r="1330" ht="20" customHeight="1" spans="1:13">
      <c r="A1330" s="29">
        <v>45512</v>
      </c>
      <c r="B1330" s="30"/>
      <c r="C1330" s="30"/>
      <c r="D1330" s="30"/>
      <c r="E1330" s="30" t="s">
        <v>1619</v>
      </c>
      <c r="F1330" s="34" t="str">
        <f>IFERROR(VLOOKUP(VENTAS[[#This Row],[Código del producto Vendido]],STOCK[],5,FALSE),"-")</f>
        <v>Vestido Becka</v>
      </c>
      <c r="G1330" s="34">
        <v>1</v>
      </c>
      <c r="H1330" s="35">
        <v>30</v>
      </c>
      <c r="I1330" s="35">
        <f>VENTAS[[#This Row],[Cantidad]]*VENTAS[[#This Row],[Precio Venta]]</f>
        <v>30</v>
      </c>
      <c r="J1330" s="35">
        <f>IF(VENTAS[[#This Row],[Nombre del Gestor]]&gt;1,VENTAS[[#This Row],[Total]]*10%,0)</f>
        <v>0</v>
      </c>
      <c r="K1330" s="35">
        <f>IFERROR(VLOOKUP(VENTAS[[#This Row],[Código del producto Vendido]],STOCK[],16,FALSE)*VENTAS[[#This Row],[Cantidad]]+VLOOKUP(VENTAS[[#This Row],[Código del producto Vendido]],STOCK[],19,FALSE)*VENTAS[[#This Row],[Cantidad]],VENTAS[[#This Row],[Total]])</f>
        <v>12.4</v>
      </c>
      <c r="L1330" s="35">
        <f>VENTAS[[#This Row],[Total]]-VENTAS[[#This Row],[Comisión 10%]]-VENTAS[[#This Row],[Costo SIN Comision]]</f>
        <v>17.6</v>
      </c>
      <c r="M1330" s="35"/>
    </row>
    <row r="1331" ht="20" customHeight="1" spans="1:13">
      <c r="A1331" s="29">
        <v>45512</v>
      </c>
      <c r="B1331" s="30"/>
      <c r="C1331" s="30"/>
      <c r="D1331" s="30"/>
      <c r="E1331" s="30" t="s">
        <v>1656</v>
      </c>
      <c r="F1331" s="34" t="str">
        <f>IFERROR(VLOOKUP(VENTAS[[#This Row],[Código del producto Vendido]],STOCK[],5,FALSE),"-")</f>
        <v>Suéter cuello de Cisne</v>
      </c>
      <c r="G1331" s="34">
        <v>1</v>
      </c>
      <c r="H1331" s="35">
        <v>18</v>
      </c>
      <c r="I1331" s="35">
        <f>VENTAS[[#This Row],[Cantidad]]*VENTAS[[#This Row],[Precio Venta]]</f>
        <v>18</v>
      </c>
      <c r="J1331" s="35">
        <f>IF(VENTAS[[#This Row],[Nombre del Gestor]]&gt;1,VENTAS[[#This Row],[Total]]*10%,0)</f>
        <v>0</v>
      </c>
      <c r="K1331" s="35">
        <f>IFERROR(VLOOKUP(VENTAS[[#This Row],[Código del producto Vendido]],STOCK[],16,FALSE)*VENTAS[[#This Row],[Cantidad]]+VLOOKUP(VENTAS[[#This Row],[Código del producto Vendido]],STOCK[],19,FALSE)*VENTAS[[#This Row],[Cantidad]],VENTAS[[#This Row],[Total]])</f>
        <v>5.78</v>
      </c>
      <c r="L1331" s="35">
        <f>VENTAS[[#This Row],[Total]]-VENTAS[[#This Row],[Comisión 10%]]-VENTAS[[#This Row],[Costo SIN Comision]]</f>
        <v>12.22</v>
      </c>
      <c r="M1331" s="35"/>
    </row>
    <row r="1332" ht="20" customHeight="1" spans="1:13">
      <c r="A1332" s="29">
        <v>45512</v>
      </c>
      <c r="B1332" s="30"/>
      <c r="C1332" s="30" t="s">
        <v>3639</v>
      </c>
      <c r="D1332" s="30" t="s">
        <v>3451</v>
      </c>
      <c r="E1332" s="30" t="s">
        <v>2438</v>
      </c>
      <c r="F1332" s="34" t="str">
        <f>IFERROR(VLOOKUP(VENTAS[[#This Row],[Código del producto Vendido]],STOCK[],5,FALSE),"-")</f>
        <v>Pantalón de vestir de viscosa y lino negro</v>
      </c>
      <c r="G1332" s="34">
        <v>1</v>
      </c>
      <c r="H1332" s="35">
        <v>35</v>
      </c>
      <c r="I1332" s="35">
        <f>VENTAS[[#This Row],[Cantidad]]*VENTAS[[#This Row],[Precio Venta]]</f>
        <v>35</v>
      </c>
      <c r="J1332" s="35">
        <f>IF(VENTAS[[#This Row],[Nombre del Gestor]]&gt;1,VENTAS[[#This Row],[Total]]*10%,0)</f>
        <v>3.5</v>
      </c>
      <c r="K1332" s="35">
        <f>IFERROR(VLOOKUP(VENTAS[[#This Row],[Código del producto Vendido]],STOCK[],16,FALSE)*VENTAS[[#This Row],[Cantidad]]+VLOOKUP(VENTAS[[#This Row],[Código del producto Vendido]],STOCK[],19,FALSE)*VENTAS[[#This Row],[Cantidad]],VENTAS[[#This Row],[Total]])</f>
        <v>15.2820211515864</v>
      </c>
      <c r="L1332" s="35">
        <f>VENTAS[[#This Row],[Total]]-VENTAS[[#This Row],[Comisión 10%]]-VENTAS[[#This Row],[Costo SIN Comision]]</f>
        <v>16.2179788484136</v>
      </c>
      <c r="M1332" s="35"/>
    </row>
    <row r="1333" ht="20" customHeight="1" spans="1:13">
      <c r="A1333" s="29">
        <v>45512</v>
      </c>
      <c r="B1333" s="30"/>
      <c r="C1333" s="30" t="s">
        <v>3637</v>
      </c>
      <c r="D1333" s="30"/>
      <c r="E1333" s="30" t="s">
        <v>2649</v>
      </c>
      <c r="F1333" s="34" t="str">
        <f>IFERROR(VLOOKUP(VENTAS[[#This Row],[Código del producto Vendido]],STOCK[],5,FALSE),"-")</f>
        <v>Cinto de piel (encargo mónica)</v>
      </c>
      <c r="G1333" s="34">
        <v>1</v>
      </c>
      <c r="H1333" s="35">
        <v>19</v>
      </c>
      <c r="I1333" s="35">
        <f>VENTAS[[#This Row],[Cantidad]]*VENTAS[[#This Row],[Precio Venta]]</f>
        <v>19</v>
      </c>
      <c r="J1333" s="35">
        <f>IF(VENTAS[[#This Row],[Nombre del Gestor]]&gt;1,VENTAS[[#This Row],[Total]]*10%,0)</f>
        <v>0</v>
      </c>
      <c r="K1333" s="35">
        <f>IFERROR(VLOOKUP(VENTAS[[#This Row],[Código del producto Vendido]],STOCK[],16,FALSE)*VENTAS[[#This Row],[Cantidad]]+VLOOKUP(VENTAS[[#This Row],[Código del producto Vendido]],STOCK[],19,FALSE)*VENTAS[[#This Row],[Cantidad]],VENTAS[[#This Row],[Total]])</f>
        <v>14.96</v>
      </c>
      <c r="L1333" s="35">
        <f>VENTAS[[#This Row],[Total]]-VENTAS[[#This Row],[Comisión 10%]]-VENTAS[[#This Row],[Costo SIN Comision]]</f>
        <v>4.04</v>
      </c>
      <c r="M1333" s="35"/>
    </row>
    <row r="1334" ht="20" customHeight="1" spans="1:13">
      <c r="A1334" s="29">
        <v>45512</v>
      </c>
      <c r="B1334" s="30"/>
      <c r="C1334" s="30"/>
      <c r="D1334" s="30" t="s">
        <v>3481</v>
      </c>
      <c r="E1334" s="30" t="s">
        <v>2558</v>
      </c>
      <c r="F1334" s="34" t="str">
        <f>IFERROR(VLOOKUP(VENTAS[[#This Row],[Código del producto Vendido]],STOCK[],5,FALSE),"-")</f>
        <v>Sombrero Visera de Verano</v>
      </c>
      <c r="G1334" s="34">
        <v>1</v>
      </c>
      <c r="H1334" s="35">
        <v>15</v>
      </c>
      <c r="I1334" s="35">
        <f>VENTAS[[#This Row],[Cantidad]]*VENTAS[[#This Row],[Precio Venta]]</f>
        <v>15</v>
      </c>
      <c r="J1334" s="35">
        <f>IF(VENTAS[[#This Row],[Nombre del Gestor]]&gt;1,VENTAS[[#This Row],[Total]]*10%,0)</f>
        <v>1.5</v>
      </c>
      <c r="K1334" s="35">
        <f>IFERROR(VLOOKUP(VENTAS[[#This Row],[Código del producto Vendido]],STOCK[],16,FALSE)*VENTAS[[#This Row],[Cantidad]]+VLOOKUP(VENTAS[[#This Row],[Código del producto Vendido]],STOCK[],19,FALSE)*VENTAS[[#This Row],[Cantidad]],VENTAS[[#This Row],[Total]])</f>
        <v>6.36</v>
      </c>
      <c r="L1334" s="35">
        <f>VENTAS[[#This Row],[Total]]-VENTAS[[#This Row],[Comisión 10%]]-VENTAS[[#This Row],[Costo SIN Comision]]</f>
        <v>7.14</v>
      </c>
      <c r="M1334" s="35"/>
    </row>
    <row r="1335" ht="20" customHeight="1" spans="1:13">
      <c r="A1335" s="29">
        <v>45512</v>
      </c>
      <c r="B1335" s="30"/>
      <c r="C1335" s="30"/>
      <c r="D1335" s="30"/>
      <c r="E1335" s="30" t="s">
        <v>2522</v>
      </c>
      <c r="F1335" s="34" t="str">
        <f>IFERROR(VLOOKUP(VENTAS[[#This Row],[Código del producto Vendido]],STOCK[],5,FALSE),"-")</f>
        <v>Cinturón fino de hebilla de estilo elegante carmelita</v>
      </c>
      <c r="G1335" s="34">
        <v>1</v>
      </c>
      <c r="H1335" s="35">
        <v>12</v>
      </c>
      <c r="I1335" s="35">
        <f>VENTAS[[#This Row],[Cantidad]]*VENTAS[[#This Row],[Precio Venta]]</f>
        <v>12</v>
      </c>
      <c r="J1335" s="35">
        <f>IF(VENTAS[[#This Row],[Nombre del Gestor]]&gt;1,VENTAS[[#This Row],[Total]]*10%,0)</f>
        <v>0</v>
      </c>
      <c r="K1335" s="35">
        <f>IFERROR(VLOOKUP(VENTAS[[#This Row],[Código del producto Vendido]],STOCK[],16,FALSE)*VENTAS[[#This Row],[Cantidad]]+VLOOKUP(VENTAS[[#This Row],[Código del producto Vendido]],STOCK[],19,FALSE)*VENTAS[[#This Row],[Cantidad]],VENTAS[[#This Row],[Total]])</f>
        <v>5.13</v>
      </c>
      <c r="L1335" s="35">
        <f>VENTAS[[#This Row],[Total]]-VENTAS[[#This Row],[Comisión 10%]]-VENTAS[[#This Row],[Costo SIN Comision]]</f>
        <v>6.87</v>
      </c>
      <c r="M1335" s="35"/>
    </row>
    <row r="1336" ht="20" customHeight="1" spans="1:13">
      <c r="A1336" s="29">
        <v>45512</v>
      </c>
      <c r="B1336" s="30"/>
      <c r="C1336" s="30"/>
      <c r="D1336" s="30"/>
      <c r="E1336" s="30" t="s">
        <v>2206</v>
      </c>
      <c r="F1336" s="34" t="str">
        <f>IFERROR(VLOOKUP(VENTAS[[#This Row],[Código del producto Vendido]],STOCK[],5,FALSE),"-")</f>
        <v>Bolso TOTE arcoíris trending </v>
      </c>
      <c r="G1336" s="34">
        <v>1</v>
      </c>
      <c r="H1336" s="35">
        <v>12</v>
      </c>
      <c r="I1336" s="35">
        <f>VENTAS[[#This Row],[Cantidad]]*VENTAS[[#This Row],[Precio Venta]]</f>
        <v>12</v>
      </c>
      <c r="J1336" s="35">
        <f>IF(VENTAS[[#This Row],[Nombre del Gestor]]&gt;1,VENTAS[[#This Row],[Total]]*10%,0)</f>
        <v>0</v>
      </c>
      <c r="K1336" s="35">
        <f>IFERROR(VLOOKUP(VENTAS[[#This Row],[Código del producto Vendido]],STOCK[],16,FALSE)*VENTAS[[#This Row],[Cantidad]]+VLOOKUP(VENTAS[[#This Row],[Código del producto Vendido]],STOCK[],19,FALSE)*VENTAS[[#This Row],[Cantidad]],VENTAS[[#This Row],[Total]])</f>
        <v>5.84</v>
      </c>
      <c r="L1336" s="35">
        <f>VENTAS[[#This Row],[Total]]-VENTAS[[#This Row],[Comisión 10%]]-VENTAS[[#This Row],[Costo SIN Comision]]</f>
        <v>6.16</v>
      </c>
      <c r="M1336" s="35"/>
    </row>
    <row r="1337" ht="20" customHeight="1" spans="1:13">
      <c r="A1337" s="29">
        <v>45512</v>
      </c>
      <c r="B1337" s="30"/>
      <c r="C1337" s="30"/>
      <c r="D1337" s="30" t="s">
        <v>3481</v>
      </c>
      <c r="E1337" s="30" t="s">
        <v>1825</v>
      </c>
      <c r="F1337" s="34" t="str">
        <f>IFERROR(VLOOKUP(VENTAS[[#This Row],[Código del producto Vendido]],STOCK[],5,FALSE),"-")</f>
        <v>Bolso Crossbody en detalle de cocodrilo</v>
      </c>
      <c r="G1337" s="34">
        <v>1</v>
      </c>
      <c r="H1337" s="35">
        <v>25</v>
      </c>
      <c r="I1337" s="35">
        <f>VENTAS[[#This Row],[Cantidad]]*VENTAS[[#This Row],[Precio Venta]]</f>
        <v>25</v>
      </c>
      <c r="J1337" s="35">
        <f>IF(VENTAS[[#This Row],[Nombre del Gestor]]&gt;1,VENTAS[[#This Row],[Total]]*10%,0)</f>
        <v>2.5</v>
      </c>
      <c r="K1337" s="35">
        <f>IFERROR(VLOOKUP(VENTAS[[#This Row],[Código del producto Vendido]],STOCK[],16,FALSE)*VENTAS[[#This Row],[Cantidad]]+VLOOKUP(VENTAS[[#This Row],[Código del producto Vendido]],STOCK[],19,FALSE)*VENTAS[[#This Row],[Cantidad]],VENTAS[[#This Row],[Total]])</f>
        <v>11.79</v>
      </c>
      <c r="L1337" s="35">
        <f>VENTAS[[#This Row],[Total]]-VENTAS[[#This Row],[Comisión 10%]]-VENTAS[[#This Row],[Costo SIN Comision]]</f>
        <v>10.71</v>
      </c>
      <c r="M1337" s="35"/>
    </row>
    <row r="1338" ht="20" customHeight="1" spans="1:13">
      <c r="A1338" s="29">
        <v>45512</v>
      </c>
      <c r="B1338" s="30"/>
      <c r="C1338" s="30"/>
      <c r="D1338" s="30" t="s">
        <v>3506</v>
      </c>
      <c r="E1338" s="30" t="s">
        <v>492</v>
      </c>
      <c r="F1338" s="34" t="str">
        <f>IFERROR(VLOOKUP(VENTAS[[#This Row],[Código del producto Vendido]],STOCK[],5,FALSE),"-")</f>
        <v>Bañador de talle alto con vuelos</v>
      </c>
      <c r="G1338" s="34">
        <v>1</v>
      </c>
      <c r="H1338" s="35">
        <v>25</v>
      </c>
      <c r="I1338" s="35">
        <f>VENTAS[[#This Row],[Cantidad]]*VENTAS[[#This Row],[Precio Venta]]</f>
        <v>25</v>
      </c>
      <c r="J1338" s="35">
        <f>IF(VENTAS[[#This Row],[Nombre del Gestor]]&gt;1,VENTAS[[#This Row],[Total]]*10%,0)</f>
        <v>2.5</v>
      </c>
      <c r="K1338" s="35">
        <f>IFERROR(VLOOKUP(VENTAS[[#This Row],[Código del producto Vendido]],STOCK[],16,FALSE)*VENTAS[[#This Row],[Cantidad]]+VLOOKUP(VENTAS[[#This Row],[Código del producto Vendido]],STOCK[],19,FALSE)*VENTAS[[#This Row],[Cantidad]],VENTAS[[#This Row],[Total]])</f>
        <v>12.4805555555556</v>
      </c>
      <c r="L1338" s="35">
        <f>VENTAS[[#This Row],[Total]]-VENTAS[[#This Row],[Comisión 10%]]-VENTAS[[#This Row],[Costo SIN Comision]]</f>
        <v>10.0194444444444</v>
      </c>
      <c r="M1338" s="35"/>
    </row>
    <row r="1339" ht="20" customHeight="1" spans="1:13">
      <c r="A1339" s="29">
        <v>45512</v>
      </c>
      <c r="B1339" s="30"/>
      <c r="C1339" s="30"/>
      <c r="D1339" s="30"/>
      <c r="E1339" s="30" t="s">
        <v>2180</v>
      </c>
      <c r="F1339" s="34" t="str">
        <f>IFERROR(VLOOKUP(VENTAS[[#This Row],[Código del producto Vendido]],STOCK[],5,FALSE),"-")</f>
        <v>Bikini sexy de pierna alta en tendencia</v>
      </c>
      <c r="G1339" s="34">
        <v>1</v>
      </c>
      <c r="H1339" s="35">
        <v>20</v>
      </c>
      <c r="I1339" s="35">
        <f>VENTAS[[#This Row],[Cantidad]]*VENTAS[[#This Row],[Precio Venta]]</f>
        <v>20</v>
      </c>
      <c r="J1339" s="35">
        <f>IF(VENTAS[[#This Row],[Nombre del Gestor]]&gt;1,VENTAS[[#This Row],[Total]]*10%,0)</f>
        <v>0</v>
      </c>
      <c r="K1339" s="35">
        <f>IFERROR(VLOOKUP(VENTAS[[#This Row],[Código del producto Vendido]],STOCK[],16,FALSE)*VENTAS[[#This Row],[Cantidad]]+VLOOKUP(VENTAS[[#This Row],[Código del producto Vendido]],STOCK[],19,FALSE)*VENTAS[[#This Row],[Cantidad]],VENTAS[[#This Row],[Total]])</f>
        <v>6.62</v>
      </c>
      <c r="L1339" s="35">
        <f>VENTAS[[#This Row],[Total]]-VENTAS[[#This Row],[Comisión 10%]]-VENTAS[[#This Row],[Costo SIN Comision]]</f>
        <v>13.38</v>
      </c>
      <c r="M1339" s="35"/>
    </row>
    <row r="1340" ht="20" customHeight="1" spans="1:13">
      <c r="A1340" s="29">
        <v>45513</v>
      </c>
      <c r="B1340" s="30"/>
      <c r="C1340" s="30"/>
      <c r="D1340" s="30"/>
      <c r="E1340" s="30" t="s">
        <v>2245</v>
      </c>
      <c r="F1340" s="34" t="str">
        <f>IFERROR(VLOOKUP(VENTAS[[#This Row],[Código del producto Vendido]],STOCK[],5,FALSE),"-")</f>
        <v>Bikini curvy en bloque de color</v>
      </c>
      <c r="G1340" s="34">
        <v>1</v>
      </c>
      <c r="H1340" s="35">
        <v>0</v>
      </c>
      <c r="I1340" s="35">
        <f>VENTAS[[#This Row],[Cantidad]]*VENTAS[[#This Row],[Precio Venta]]</f>
        <v>0</v>
      </c>
      <c r="J1340" s="35">
        <f>IF(VENTAS[[#This Row],[Nombre del Gestor]]&gt;1,VENTAS[[#This Row],[Total]]*10%,0)</f>
        <v>0</v>
      </c>
      <c r="K1340" s="35">
        <f>IFERROR(VLOOKUP(VENTAS[[#This Row],[Código del producto Vendido]],STOCK[],16,FALSE)*VENTAS[[#This Row],[Cantidad]]+VLOOKUP(VENTAS[[#This Row],[Código del producto Vendido]],STOCK[],19,FALSE)*VENTAS[[#This Row],[Cantidad]],VENTAS[[#This Row],[Total]])</f>
        <v>5.99</v>
      </c>
      <c r="L1340" s="35">
        <f>VENTAS[[#This Row],[Total]]-VENTAS[[#This Row],[Comisión 10%]]-VENTAS[[#This Row],[Costo SIN Comision]]</f>
        <v>-5.99</v>
      </c>
      <c r="M1340" s="35"/>
    </row>
    <row r="1341" ht="20" customHeight="1" spans="1:13">
      <c r="A1341" s="29">
        <v>45514</v>
      </c>
      <c r="B1341" s="30"/>
      <c r="C1341" s="30"/>
      <c r="D1341" s="30"/>
      <c r="E1341" s="30" t="s">
        <v>2689</v>
      </c>
      <c r="F1341" s="34" t="str">
        <f>IFERROR(VLOOKUP(VENTAS[[#This Row],[Código del producto Vendido]],STOCK[],5,FALSE),"-")</f>
        <v>Traje de baño clásico en bloque de color de talle alto (encargo)</v>
      </c>
      <c r="G1341" s="34">
        <v>1</v>
      </c>
      <c r="H1341" s="35">
        <v>25</v>
      </c>
      <c r="I1341" s="35">
        <f>VENTAS[[#This Row],[Cantidad]]*VENTAS[[#This Row],[Precio Venta]]</f>
        <v>25</v>
      </c>
      <c r="J1341" s="35">
        <f>IF(VENTAS[[#This Row],[Nombre del Gestor]]&gt;1,VENTAS[[#This Row],[Total]]*10%,0)</f>
        <v>0</v>
      </c>
      <c r="K1341" s="35">
        <f>IFERROR(VLOOKUP(VENTAS[[#This Row],[Código del producto Vendido]],STOCK[],16,FALSE)*VENTAS[[#This Row],[Cantidad]]+VLOOKUP(VENTAS[[#This Row],[Código del producto Vendido]],STOCK[],19,FALSE)*VENTAS[[#This Row],[Cantidad]],VENTAS[[#This Row],[Total]])</f>
        <v>12.28</v>
      </c>
      <c r="L1341" s="35">
        <f>VENTAS[[#This Row],[Total]]-VENTAS[[#This Row],[Comisión 10%]]-VENTAS[[#This Row],[Costo SIN Comision]]</f>
        <v>12.72</v>
      </c>
      <c r="M1341" s="35"/>
    </row>
    <row r="1342" ht="20" customHeight="1" spans="1:13">
      <c r="A1342" s="29">
        <v>45515</v>
      </c>
      <c r="B1342" s="30"/>
      <c r="C1342" s="30"/>
      <c r="D1342" s="30"/>
      <c r="E1342" s="30" t="s">
        <v>729</v>
      </c>
      <c r="F1342" s="34" t="str">
        <f>IFERROR(VLOOKUP(VENTAS[[#This Row],[Código del producto Vendido]],STOCK[],5,FALSE),"-")</f>
        <v>Vestido de un hombro</v>
      </c>
      <c r="G1342" s="34">
        <v>1</v>
      </c>
      <c r="H1342" s="35">
        <v>13</v>
      </c>
      <c r="I1342" s="35">
        <f>VENTAS[[#This Row],[Cantidad]]*VENTAS[[#This Row],[Precio Venta]]</f>
        <v>13</v>
      </c>
      <c r="J1342" s="35">
        <f>IF(VENTAS[[#This Row],[Nombre del Gestor]]&gt;1,VENTAS[[#This Row],[Total]]*10%,0)</f>
        <v>0</v>
      </c>
      <c r="K1342" s="35">
        <f>IFERROR(VLOOKUP(VENTAS[[#This Row],[Código del producto Vendido]],STOCK[],16,FALSE)*VENTAS[[#This Row],[Cantidad]]+VLOOKUP(VENTAS[[#This Row],[Código del producto Vendido]],STOCK[],19,FALSE)*VENTAS[[#This Row],[Cantidad]],VENTAS[[#This Row],[Total]])</f>
        <v>11.9444444444444</v>
      </c>
      <c r="L1342" s="35">
        <f>VENTAS[[#This Row],[Total]]-VENTAS[[#This Row],[Comisión 10%]]-VENTAS[[#This Row],[Costo SIN Comision]]</f>
        <v>1.05555555555556</v>
      </c>
      <c r="M1342" s="35"/>
    </row>
    <row r="1343" ht="20" customHeight="1" spans="1:13">
      <c r="A1343" s="29">
        <v>45516</v>
      </c>
      <c r="B1343" s="30"/>
      <c r="C1343" s="30"/>
      <c r="D1343" s="30"/>
      <c r="E1343" s="30" t="s">
        <v>2585</v>
      </c>
      <c r="F1343" s="34" t="str">
        <f>IFERROR(VLOOKUP(VENTAS[[#This Row],[Código del producto Vendido]],STOCK[],5,FALSE),"-")</f>
        <v>Vestido blanco espalda cruzada</v>
      </c>
      <c r="G1343" s="34">
        <v>1</v>
      </c>
      <c r="H1343" s="35">
        <v>30</v>
      </c>
      <c r="I1343" s="35">
        <f>VENTAS[[#This Row],[Cantidad]]*VENTAS[[#This Row],[Precio Venta]]</f>
        <v>30</v>
      </c>
      <c r="J1343" s="35">
        <f>IF(VENTAS[[#This Row],[Nombre del Gestor]]&gt;1,VENTAS[[#This Row],[Total]]*10%,0)</f>
        <v>0</v>
      </c>
      <c r="K1343" s="35">
        <f>IFERROR(VLOOKUP(VENTAS[[#This Row],[Código del producto Vendido]],STOCK[],16,FALSE)*VENTAS[[#This Row],[Cantidad]]+VLOOKUP(VENTAS[[#This Row],[Código del producto Vendido]],STOCK[],19,FALSE)*VENTAS[[#This Row],[Cantidad]],VENTAS[[#This Row],[Total]])</f>
        <v>15.44</v>
      </c>
      <c r="L1343" s="35">
        <f>VENTAS[[#This Row],[Total]]-VENTAS[[#This Row],[Comisión 10%]]-VENTAS[[#This Row],[Costo SIN Comision]]</f>
        <v>14.56</v>
      </c>
      <c r="M1343" s="35"/>
    </row>
    <row r="1344" ht="20" customHeight="1" spans="1:13">
      <c r="A1344" s="29">
        <v>45515</v>
      </c>
      <c r="B1344" s="30"/>
      <c r="C1344" s="30"/>
      <c r="D1344" s="30" t="s">
        <v>3481</v>
      </c>
      <c r="E1344" s="30" t="s">
        <v>2429</v>
      </c>
      <c r="F1344" s="34" t="str">
        <f>IFERROR(VLOOKUP(VENTAS[[#This Row],[Código del producto Vendido]],STOCK[],5,FALSE),"-")</f>
        <v>Pantalón ancho con cordón ajustable</v>
      </c>
      <c r="G1344" s="34">
        <v>1</v>
      </c>
      <c r="H1344" s="35">
        <v>23</v>
      </c>
      <c r="I1344" s="35">
        <f>VENTAS[[#This Row],[Cantidad]]*VENTAS[[#This Row],[Precio Venta]]</f>
        <v>23</v>
      </c>
      <c r="J1344" s="35">
        <f>IF(VENTAS[[#This Row],[Nombre del Gestor]]&gt;1,VENTAS[[#This Row],[Total]]*10%,0)</f>
        <v>2.3</v>
      </c>
      <c r="K1344" s="35">
        <f>IFERROR(VLOOKUP(VENTAS[[#This Row],[Código del producto Vendido]],STOCK[],16,FALSE)*VENTAS[[#This Row],[Cantidad]]+VLOOKUP(VENTAS[[#This Row],[Código del producto Vendido]],STOCK[],19,FALSE)*VENTAS[[#This Row],[Cantidad]],VENTAS[[#This Row],[Total]])</f>
        <v>11.4353349001175</v>
      </c>
      <c r="L1344" s="35">
        <f>VENTAS[[#This Row],[Total]]-VENTAS[[#This Row],[Comisión 10%]]-VENTAS[[#This Row],[Costo SIN Comision]]</f>
        <v>9.26466509988249</v>
      </c>
      <c r="M1344" s="35"/>
    </row>
    <row r="1345" ht="20" customHeight="1" spans="1:13">
      <c r="A1345" s="29">
        <v>45515</v>
      </c>
      <c r="B1345" s="30"/>
      <c r="C1345" s="30"/>
      <c r="D1345" s="30" t="s">
        <v>3481</v>
      </c>
      <c r="E1345" s="30" t="s">
        <v>2713</v>
      </c>
      <c r="F1345" s="34" t="str">
        <f>IFERROR(VLOOKUP(VENTAS[[#This Row],[Código del producto Vendido]],STOCK[],5,FALSE),"-")</f>
        <v>Sneakers chunky blancos</v>
      </c>
      <c r="G1345" s="34">
        <v>2</v>
      </c>
      <c r="H1345" s="35">
        <v>45</v>
      </c>
      <c r="I1345" s="35">
        <f>VENTAS[[#This Row],[Cantidad]]*VENTAS[[#This Row],[Precio Venta]]</f>
        <v>90</v>
      </c>
      <c r="J1345" s="35">
        <f>IF(VENTAS[[#This Row],[Nombre del Gestor]]&gt;1,VENTAS[[#This Row],[Total]]*10%,0)</f>
        <v>9</v>
      </c>
      <c r="K1345" s="35">
        <f>IFERROR(VLOOKUP(VENTAS[[#This Row],[Código del producto Vendido]],STOCK[],16,FALSE)*VENTAS[[#This Row],[Cantidad]]+VLOOKUP(VENTAS[[#This Row],[Código del producto Vendido]],STOCK[],19,FALSE)*VENTAS[[#This Row],[Cantidad]],VENTAS[[#This Row],[Total]])</f>
        <v>48.94</v>
      </c>
      <c r="L1345" s="35">
        <f>VENTAS[[#This Row],[Total]]-VENTAS[[#This Row],[Comisión 10%]]-VENTAS[[#This Row],[Costo SIN Comision]]</f>
        <v>32.06</v>
      </c>
      <c r="M1345" s="35"/>
    </row>
    <row r="1346" ht="20" customHeight="1" spans="1:13">
      <c r="A1346" s="29">
        <v>45512</v>
      </c>
      <c r="B1346" s="30"/>
      <c r="C1346" s="30"/>
      <c r="D1346" s="30" t="s">
        <v>3481</v>
      </c>
      <c r="E1346" s="30" t="s">
        <v>1011</v>
      </c>
      <c r="F1346" s="34" t="str">
        <f>IFERROR(VLOOKUP(VENTAS[[#This Row],[Código del producto Vendido]],STOCK[],5,FALSE),"-")</f>
        <v>Maxi Vestido con Bolsillo</v>
      </c>
      <c r="G1346" s="34">
        <v>1</v>
      </c>
      <c r="H1346" s="35">
        <v>27</v>
      </c>
      <c r="I1346" s="35">
        <f>VENTAS[[#This Row],[Cantidad]]*VENTAS[[#This Row],[Precio Venta]]</f>
        <v>27</v>
      </c>
      <c r="J1346" s="35">
        <f>IF(VENTAS[[#This Row],[Nombre del Gestor]]&gt;1,VENTAS[[#This Row],[Total]]*10%,0)</f>
        <v>2.7</v>
      </c>
      <c r="K1346" s="35">
        <f>IFERROR(VLOOKUP(VENTAS[[#This Row],[Código del producto Vendido]],STOCK[],16,FALSE)*VENTAS[[#This Row],[Cantidad]]+VLOOKUP(VENTAS[[#This Row],[Código del producto Vendido]],STOCK[],19,FALSE)*VENTAS[[#This Row],[Cantidad]],VENTAS[[#This Row],[Total]])</f>
        <v>22.1920454545455</v>
      </c>
      <c r="L1346" s="35">
        <f>VENTAS[[#This Row],[Total]]-VENTAS[[#This Row],[Comisión 10%]]-VENTAS[[#This Row],[Costo SIN Comision]]</f>
        <v>2.1079545454545</v>
      </c>
      <c r="M1346" s="35"/>
    </row>
    <row r="1347" ht="20" customHeight="1" spans="1:13">
      <c r="A1347" s="29">
        <v>45512</v>
      </c>
      <c r="B1347" s="30"/>
      <c r="C1347" s="30"/>
      <c r="D1347" s="30" t="s">
        <v>3481</v>
      </c>
      <c r="E1347" s="30" t="s">
        <v>1051</v>
      </c>
      <c r="F1347" s="34" t="str">
        <f>IFERROR(VLOOKUP(VENTAS[[#This Row],[Código del producto Vendido]],STOCK[],5,FALSE),"-")</f>
        <v>Vestido en punto Rosa</v>
      </c>
      <c r="G1347" s="34">
        <v>1</v>
      </c>
      <c r="H1347" s="35">
        <v>25</v>
      </c>
      <c r="I1347" s="35">
        <f>VENTAS[[#This Row],[Cantidad]]*VENTAS[[#This Row],[Precio Venta]]</f>
        <v>25</v>
      </c>
      <c r="J1347" s="35">
        <f>IF(VENTAS[[#This Row],[Nombre del Gestor]]&gt;1,VENTAS[[#This Row],[Total]]*10%,0)</f>
        <v>2.5</v>
      </c>
      <c r="K1347" s="35">
        <f>IFERROR(VLOOKUP(VENTAS[[#This Row],[Código del producto Vendido]],STOCK[],16,FALSE)*VENTAS[[#This Row],[Cantidad]]+VLOOKUP(VENTAS[[#This Row],[Código del producto Vendido]],STOCK[],19,FALSE)*VENTAS[[#This Row],[Cantidad]],VENTAS[[#This Row],[Total]])</f>
        <v>21.4704545454545</v>
      </c>
      <c r="L1347" s="35">
        <f>VENTAS[[#This Row],[Total]]-VENTAS[[#This Row],[Comisión 10%]]-VENTAS[[#This Row],[Costo SIN Comision]]</f>
        <v>1.0295454545455</v>
      </c>
      <c r="M1347" s="35"/>
    </row>
    <row r="1348" ht="20" customHeight="1" spans="1:13">
      <c r="A1348" s="29">
        <v>45512</v>
      </c>
      <c r="B1348" s="30"/>
      <c r="C1348" s="30" t="s">
        <v>3640</v>
      </c>
      <c r="D1348" s="30" t="s">
        <v>3481</v>
      </c>
      <c r="E1348" s="30" t="s">
        <v>2602</v>
      </c>
      <c r="F1348" s="34" t="str">
        <f>IFERROR(VLOOKUP(VENTAS[[#This Row],[Código del producto Vendido]],STOCK[],5,FALSE),"-")</f>
        <v>Vestido crema ajustado de hombro torcido</v>
      </c>
      <c r="G1348" s="34">
        <v>1</v>
      </c>
      <c r="H1348" s="35">
        <v>25</v>
      </c>
      <c r="I1348" s="35">
        <f>VENTAS[[#This Row],[Cantidad]]*VENTAS[[#This Row],[Precio Venta]]</f>
        <v>25</v>
      </c>
      <c r="J1348" s="35">
        <f>IF(VENTAS[[#This Row],[Nombre del Gestor]]&gt;1,VENTAS[[#This Row],[Total]]*10%,0)</f>
        <v>2.5</v>
      </c>
      <c r="K1348" s="35">
        <f>IFERROR(VLOOKUP(VENTAS[[#This Row],[Código del producto Vendido]],STOCK[],16,FALSE)*VENTAS[[#This Row],[Cantidad]]+VLOOKUP(VENTAS[[#This Row],[Código del producto Vendido]],STOCK[],19,FALSE)*VENTAS[[#This Row],[Cantidad]],VENTAS[[#This Row],[Total]])</f>
        <v>13.44</v>
      </c>
      <c r="L1348" s="35">
        <f>VENTAS[[#This Row],[Total]]-VENTAS[[#This Row],[Comisión 10%]]-VENTAS[[#This Row],[Costo SIN Comision]]</f>
        <v>9.06</v>
      </c>
      <c r="M1348" s="35"/>
    </row>
    <row r="1349" ht="20" customHeight="1" spans="1:13">
      <c r="A1349" s="29">
        <v>45508</v>
      </c>
      <c r="B1349" s="30"/>
      <c r="C1349" s="30" t="s">
        <v>3551</v>
      </c>
      <c r="D1349" s="30" t="s">
        <v>3481</v>
      </c>
      <c r="E1349" s="30" t="s">
        <v>2574</v>
      </c>
      <c r="F1349" s="34" t="str">
        <f>IFERROR(VLOOKUP(VENTAS[[#This Row],[Código del producto Vendido]],STOCK[],5,FALSE),"-")</f>
        <v>Vestido Largo con cinturón fruncido</v>
      </c>
      <c r="G1349" s="34">
        <v>1</v>
      </c>
      <c r="H1349" s="35">
        <v>30</v>
      </c>
      <c r="I1349" s="35">
        <f>VENTAS[[#This Row],[Cantidad]]*VENTAS[[#This Row],[Precio Venta]]</f>
        <v>30</v>
      </c>
      <c r="J1349" s="35">
        <f>IF(VENTAS[[#This Row],[Nombre del Gestor]]&gt;1,VENTAS[[#This Row],[Total]]*10%,0)</f>
        <v>3</v>
      </c>
      <c r="K1349" s="35">
        <f>IFERROR(VLOOKUP(VENTAS[[#This Row],[Código del producto Vendido]],STOCK[],16,FALSE)*VENTAS[[#This Row],[Cantidad]]+VLOOKUP(VENTAS[[#This Row],[Código del producto Vendido]],STOCK[],19,FALSE)*VENTAS[[#This Row],[Cantidad]],VENTAS[[#This Row],[Total]])</f>
        <v>13.66</v>
      </c>
      <c r="L1349" s="35">
        <f>VENTAS[[#This Row],[Total]]-VENTAS[[#This Row],[Comisión 10%]]-VENTAS[[#This Row],[Costo SIN Comision]]</f>
        <v>13.34</v>
      </c>
      <c r="M1349" s="35"/>
    </row>
    <row r="1350" ht="20" customHeight="1" spans="1:13">
      <c r="A1350" s="29">
        <v>45509</v>
      </c>
      <c r="B1350" s="30"/>
      <c r="C1350" s="30"/>
      <c r="D1350" s="30"/>
      <c r="E1350" s="30" t="s">
        <v>1560</v>
      </c>
      <c r="F1350" s="34" t="str">
        <f>IFERROR(VLOOKUP(VENTAS[[#This Row],[Código del producto Vendido]],STOCK[],5,FALSE),"-")</f>
        <v>Vestido negro ajustado estilo corset</v>
      </c>
      <c r="G1350" s="34">
        <v>1</v>
      </c>
      <c r="H1350" s="35">
        <v>20</v>
      </c>
      <c r="I1350" s="35">
        <f>VENTAS[[#This Row],[Cantidad]]*VENTAS[[#This Row],[Precio Venta]]</f>
        <v>20</v>
      </c>
      <c r="J1350" s="35">
        <f>IF(VENTAS[[#This Row],[Nombre del Gestor]]&gt;1,VENTAS[[#This Row],[Total]]*10%,0)</f>
        <v>0</v>
      </c>
      <c r="K1350" s="35">
        <f>IFERROR(VLOOKUP(VENTAS[[#This Row],[Código del producto Vendido]],STOCK[],16,FALSE)*VENTAS[[#This Row],[Cantidad]]+VLOOKUP(VENTAS[[#This Row],[Código del producto Vendido]],STOCK[],19,FALSE)*VENTAS[[#This Row],[Cantidad]],VENTAS[[#This Row],[Total]])</f>
        <v>24</v>
      </c>
      <c r="L1350" s="35">
        <f>VENTAS[[#This Row],[Total]]-VENTAS[[#This Row],[Comisión 10%]]-VENTAS[[#This Row],[Costo SIN Comision]]</f>
        <v>-4</v>
      </c>
      <c r="M1350" s="35"/>
    </row>
    <row r="1351" ht="20" customHeight="1" spans="1:13">
      <c r="A1351" s="29">
        <v>45510</v>
      </c>
      <c r="B1351" s="30"/>
      <c r="C1351" s="30" t="s">
        <v>3459</v>
      </c>
      <c r="D1351" s="30"/>
      <c r="E1351" s="30" t="s">
        <v>1839</v>
      </c>
      <c r="F1351" s="34" t="str">
        <f>IFERROR(VLOOKUP(VENTAS[[#This Row],[Código del producto Vendido]],STOCK[],5,FALSE),"-")</f>
        <v>Maxi Vestido Bodycon </v>
      </c>
      <c r="G1351" s="34">
        <v>1</v>
      </c>
      <c r="H1351" s="35">
        <v>20</v>
      </c>
      <c r="I1351" s="35">
        <f>VENTAS[[#This Row],[Cantidad]]*VENTAS[[#This Row],[Precio Venta]]</f>
        <v>20</v>
      </c>
      <c r="J1351" s="35">
        <f>IF(VENTAS[[#This Row],[Nombre del Gestor]]&gt;1,VENTAS[[#This Row],[Total]]*10%,0)</f>
        <v>0</v>
      </c>
      <c r="K1351" s="35">
        <f>IFERROR(VLOOKUP(VENTAS[[#This Row],[Código del producto Vendido]],STOCK[],16,FALSE)*VENTAS[[#This Row],[Cantidad]]+VLOOKUP(VENTAS[[#This Row],[Código del producto Vendido]],STOCK[],19,FALSE)*VENTAS[[#This Row],[Cantidad]],VENTAS[[#This Row],[Total]])</f>
        <v>11.79</v>
      </c>
      <c r="L1351" s="35">
        <f>VENTAS[[#This Row],[Total]]-VENTAS[[#This Row],[Comisión 10%]]-VENTAS[[#This Row],[Costo SIN Comision]]</f>
        <v>8.21</v>
      </c>
      <c r="M1351" s="35"/>
    </row>
    <row r="1352" ht="20" customHeight="1" spans="1:13">
      <c r="A1352" s="29">
        <v>45511</v>
      </c>
      <c r="B1352" s="30"/>
      <c r="C1352" s="30" t="s">
        <v>3449</v>
      </c>
      <c r="D1352" s="30"/>
      <c r="E1352" s="30" t="s">
        <v>1836</v>
      </c>
      <c r="F1352" s="34" t="str">
        <f>IFERROR(VLOOKUP(VENTAS[[#This Row],[Código del producto Vendido]],STOCK[],5,FALSE),"-")</f>
        <v>Maxi Vestido Bodycon </v>
      </c>
      <c r="G1352" s="34">
        <v>1</v>
      </c>
      <c r="H1352" s="35">
        <v>0</v>
      </c>
      <c r="I1352" s="35">
        <f>VENTAS[[#This Row],[Cantidad]]*VENTAS[[#This Row],[Precio Venta]]</f>
        <v>0</v>
      </c>
      <c r="J1352" s="35">
        <f>IF(VENTAS[[#This Row],[Nombre del Gestor]]&gt;1,VENTAS[[#This Row],[Total]]*10%,0)</f>
        <v>0</v>
      </c>
      <c r="K1352" s="35">
        <f>IFERROR(VLOOKUP(VENTAS[[#This Row],[Código del producto Vendido]],STOCK[],16,FALSE)*VENTAS[[#This Row],[Cantidad]]+VLOOKUP(VENTAS[[#This Row],[Código del producto Vendido]],STOCK[],19,FALSE)*VENTAS[[#This Row],[Cantidad]],VENTAS[[#This Row],[Total]])</f>
        <v>11.79</v>
      </c>
      <c r="L1352" s="35">
        <f>VENTAS[[#This Row],[Total]]-VENTAS[[#This Row],[Comisión 10%]]-VENTAS[[#This Row],[Costo SIN Comision]]</f>
        <v>-11.79</v>
      </c>
      <c r="M1352" s="35"/>
    </row>
    <row r="1353" ht="20" customHeight="1" spans="1:13">
      <c r="A1353" s="29">
        <v>45512</v>
      </c>
      <c r="B1353" s="30"/>
      <c r="C1353" s="30" t="s">
        <v>3449</v>
      </c>
      <c r="D1353" s="30"/>
      <c r="E1353" s="30" t="s">
        <v>1424</v>
      </c>
      <c r="F1353" s="34" t="str">
        <f>IFERROR(VLOOKUP(VENTAS[[#This Row],[Código del producto Vendido]],STOCK[],5,FALSE),"-")</f>
        <v>Vestido espalda escotada</v>
      </c>
      <c r="G1353" s="34">
        <v>1</v>
      </c>
      <c r="H1353" s="35">
        <v>28</v>
      </c>
      <c r="I1353" s="35">
        <f>VENTAS[[#This Row],[Cantidad]]*VENTAS[[#This Row],[Precio Venta]]</f>
        <v>28</v>
      </c>
      <c r="J1353" s="35">
        <f>IF(VENTAS[[#This Row],[Nombre del Gestor]]&gt;1,VENTAS[[#This Row],[Total]]*10%,0)</f>
        <v>0</v>
      </c>
      <c r="K1353" s="35">
        <f>IFERROR(VLOOKUP(VENTAS[[#This Row],[Código del producto Vendido]],STOCK[],16,FALSE)*VENTAS[[#This Row],[Cantidad]]+VLOOKUP(VENTAS[[#This Row],[Código del producto Vendido]],STOCK[],19,FALSE)*VENTAS[[#This Row],[Cantidad]],VENTAS[[#This Row],[Total]])</f>
        <v>17</v>
      </c>
      <c r="L1353" s="35">
        <f>VENTAS[[#This Row],[Total]]-VENTAS[[#This Row],[Comisión 10%]]-VENTAS[[#This Row],[Costo SIN Comision]]</f>
        <v>11</v>
      </c>
      <c r="M1353" s="35"/>
    </row>
    <row r="1354" ht="20" customHeight="1" spans="1:13">
      <c r="A1354" s="29">
        <v>45513</v>
      </c>
      <c r="B1354" s="30"/>
      <c r="C1354" s="30" t="s">
        <v>3449</v>
      </c>
      <c r="D1354" s="30"/>
      <c r="E1354" s="30" t="s">
        <v>1409</v>
      </c>
      <c r="F1354" s="34" t="str">
        <f>IFERROR(VLOOKUP(VENTAS[[#This Row],[Código del producto Vendido]],STOCK[],5,FALSE),"-")</f>
        <v>Pantaloneta con abertura</v>
      </c>
      <c r="G1354" s="34">
        <v>1</v>
      </c>
      <c r="H1354" s="35">
        <v>23</v>
      </c>
      <c r="I1354" s="35">
        <f>VENTAS[[#This Row],[Cantidad]]*VENTAS[[#This Row],[Precio Venta]]</f>
        <v>23</v>
      </c>
      <c r="J1354" s="35">
        <f>IF(VENTAS[[#This Row],[Nombre del Gestor]]&gt;1,VENTAS[[#This Row],[Total]]*10%,0)</f>
        <v>0</v>
      </c>
      <c r="K1354" s="35">
        <f>IFERROR(VLOOKUP(VENTAS[[#This Row],[Código del producto Vendido]],STOCK[],16,FALSE)*VENTAS[[#This Row],[Cantidad]]+VLOOKUP(VENTAS[[#This Row],[Código del producto Vendido]],STOCK[],19,FALSE)*VENTAS[[#This Row],[Cantidad]],VENTAS[[#This Row],[Total]])</f>
        <v>14.22</v>
      </c>
      <c r="L1354" s="35">
        <f>VENTAS[[#This Row],[Total]]-VENTAS[[#This Row],[Comisión 10%]]-VENTAS[[#This Row],[Costo SIN Comision]]</f>
        <v>8.78</v>
      </c>
      <c r="M1354" s="35"/>
    </row>
    <row r="1355" ht="20" customHeight="1" spans="1:13">
      <c r="A1355" s="29">
        <v>45514</v>
      </c>
      <c r="B1355" s="30"/>
      <c r="C1355" s="30" t="s">
        <v>3449</v>
      </c>
      <c r="D1355" s="30"/>
      <c r="E1355" s="30" t="s">
        <v>1368</v>
      </c>
      <c r="F1355" s="34" t="str">
        <f>IFERROR(VLOOKUP(VENTAS[[#This Row],[Código del producto Vendido]],STOCK[],5,FALSE),"-")</f>
        <v>Falda plisada de cuadros</v>
      </c>
      <c r="G1355" s="34">
        <v>1</v>
      </c>
      <c r="H1355" s="35">
        <v>20</v>
      </c>
      <c r="I1355" s="35">
        <f>VENTAS[[#This Row],[Cantidad]]*VENTAS[[#This Row],[Precio Venta]]</f>
        <v>20</v>
      </c>
      <c r="J1355" s="35">
        <f>IF(VENTAS[[#This Row],[Nombre del Gestor]]&gt;1,VENTAS[[#This Row],[Total]]*10%,0)</f>
        <v>0</v>
      </c>
      <c r="K1355" s="35">
        <f>IFERROR(VLOOKUP(VENTAS[[#This Row],[Código del producto Vendido]],STOCK[],16,FALSE)*VENTAS[[#This Row],[Cantidad]]+VLOOKUP(VENTAS[[#This Row],[Código del producto Vendido]],STOCK[],19,FALSE)*VENTAS[[#This Row],[Cantidad]],VENTAS[[#This Row],[Total]])</f>
        <v>12.74</v>
      </c>
      <c r="L1355" s="35">
        <f>VENTAS[[#This Row],[Total]]-VENTAS[[#This Row],[Comisión 10%]]-VENTAS[[#This Row],[Costo SIN Comision]]</f>
        <v>7.26</v>
      </c>
      <c r="M1355" s="35"/>
    </row>
    <row r="1356" ht="20" customHeight="1" spans="1:13">
      <c r="A1356" s="29">
        <v>45515</v>
      </c>
      <c r="B1356" s="30"/>
      <c r="C1356" s="30" t="s">
        <v>3449</v>
      </c>
      <c r="D1356" s="30"/>
      <c r="E1356" s="30" t="s">
        <v>1291</v>
      </c>
      <c r="F1356" s="34" t="str">
        <f>IFERROR(VLOOKUP(VENTAS[[#This Row],[Código del producto Vendido]],STOCK[],5,FALSE),"-")</f>
        <v>Jean skinny oscuro </v>
      </c>
      <c r="G1356" s="34">
        <v>1</v>
      </c>
      <c r="H1356" s="35">
        <v>32</v>
      </c>
      <c r="I1356" s="35">
        <f>VENTAS[[#This Row],[Cantidad]]*VENTAS[[#This Row],[Precio Venta]]</f>
        <v>32</v>
      </c>
      <c r="J1356" s="35">
        <f>IF(VENTAS[[#This Row],[Nombre del Gestor]]&gt;1,VENTAS[[#This Row],[Total]]*10%,0)</f>
        <v>0</v>
      </c>
      <c r="K1356" s="35">
        <f>IFERROR(VLOOKUP(VENTAS[[#This Row],[Código del producto Vendido]],STOCK[],16,FALSE)*VENTAS[[#This Row],[Cantidad]]+VLOOKUP(VENTAS[[#This Row],[Código del producto Vendido]],STOCK[],19,FALSE)*VENTAS[[#This Row],[Cantidad]],VENTAS[[#This Row],[Total]])</f>
        <v>20.79</v>
      </c>
      <c r="L1356" s="35">
        <f>VENTAS[[#This Row],[Total]]-VENTAS[[#This Row],[Comisión 10%]]-VENTAS[[#This Row],[Costo SIN Comision]]</f>
        <v>11.21</v>
      </c>
      <c r="M1356" s="35"/>
    </row>
    <row r="1357" ht="20" customHeight="1" spans="1:13">
      <c r="A1357" s="29">
        <v>45516</v>
      </c>
      <c r="B1357" s="30"/>
      <c r="C1357" s="30" t="s">
        <v>3449</v>
      </c>
      <c r="D1357" s="30"/>
      <c r="E1357" s="30" t="s">
        <v>1301</v>
      </c>
      <c r="F1357" s="34" t="str">
        <f>IFERROR(VLOOKUP(VENTAS[[#This Row],[Código del producto Vendido]],STOCK[],5,FALSE),"-")</f>
        <v>Jean ajustado Claro</v>
      </c>
      <c r="G1357" s="34">
        <v>1</v>
      </c>
      <c r="H1357" s="35">
        <v>32</v>
      </c>
      <c r="I1357" s="35">
        <f>VENTAS[[#This Row],[Cantidad]]*VENTAS[[#This Row],[Precio Venta]]</f>
        <v>32</v>
      </c>
      <c r="J1357" s="35">
        <f>IF(VENTAS[[#This Row],[Nombre del Gestor]]&gt;1,VENTAS[[#This Row],[Total]]*10%,0)</f>
        <v>0</v>
      </c>
      <c r="K1357" s="35">
        <f>IFERROR(VLOOKUP(VENTAS[[#This Row],[Código del producto Vendido]],STOCK[],16,FALSE)*VENTAS[[#This Row],[Cantidad]]+VLOOKUP(VENTAS[[#This Row],[Código del producto Vendido]],STOCK[],19,FALSE)*VENTAS[[#This Row],[Cantidad]],VENTAS[[#This Row],[Total]])</f>
        <v>23.79</v>
      </c>
      <c r="L1357" s="35">
        <f>VENTAS[[#This Row],[Total]]-VENTAS[[#This Row],[Comisión 10%]]-VENTAS[[#This Row],[Costo SIN Comision]]</f>
        <v>8.21</v>
      </c>
      <c r="M1357" s="35"/>
    </row>
    <row r="1358" ht="20" customHeight="1" spans="1:13">
      <c r="A1358" s="29">
        <v>45517</v>
      </c>
      <c r="B1358" s="30"/>
      <c r="C1358" s="30" t="s">
        <v>3449</v>
      </c>
      <c r="D1358" s="30"/>
      <c r="E1358" s="30" t="s">
        <v>1333</v>
      </c>
      <c r="F1358" s="34" t="str">
        <f>IFERROR(VLOOKUP(VENTAS[[#This Row],[Código del producto Vendido]],STOCK[],5,FALSE),"-")</f>
        <v>Blusa de manga acampanada</v>
      </c>
      <c r="G1358" s="34">
        <v>1</v>
      </c>
      <c r="H1358" s="35">
        <v>22</v>
      </c>
      <c r="I1358" s="35">
        <f>VENTAS[[#This Row],[Cantidad]]*VENTAS[[#This Row],[Precio Venta]]</f>
        <v>22</v>
      </c>
      <c r="J1358" s="35">
        <f>IF(VENTAS[[#This Row],[Nombre del Gestor]]&gt;1,VENTAS[[#This Row],[Total]]*10%,0)</f>
        <v>0</v>
      </c>
      <c r="K1358" s="35">
        <f>IFERROR(VLOOKUP(VENTAS[[#This Row],[Código del producto Vendido]],STOCK[],16,FALSE)*VENTAS[[#This Row],[Cantidad]]+VLOOKUP(VENTAS[[#This Row],[Código del producto Vendido]],STOCK[],19,FALSE)*VENTAS[[#This Row],[Cantidad]],VENTAS[[#This Row],[Total]])</f>
        <v>14.24</v>
      </c>
      <c r="L1358" s="35">
        <f>VENTAS[[#This Row],[Total]]-VENTAS[[#This Row],[Comisión 10%]]-VENTAS[[#This Row],[Costo SIN Comision]]</f>
        <v>7.76</v>
      </c>
      <c r="M1358" s="35"/>
    </row>
    <row r="1359" ht="20" customHeight="1" spans="1:13">
      <c r="A1359" s="29">
        <v>45518</v>
      </c>
      <c r="B1359" s="30"/>
      <c r="C1359" s="30" t="s">
        <v>3449</v>
      </c>
      <c r="D1359" s="30"/>
      <c r="E1359" s="30" t="s">
        <v>2403</v>
      </c>
      <c r="F1359" s="34" t="str">
        <f>IFERROR(VLOOKUP(VENTAS[[#This Row],[Código del producto Vendido]],STOCK[],5,FALSE),"-")</f>
        <v>Pantalón de vestir de viscosa y lino (beige claro)</v>
      </c>
      <c r="G1359" s="34">
        <v>1</v>
      </c>
      <c r="H1359" s="35">
        <v>35</v>
      </c>
      <c r="I1359" s="35">
        <f>VENTAS[[#This Row],[Cantidad]]*VENTAS[[#This Row],[Precio Venta]]</f>
        <v>35</v>
      </c>
      <c r="J1359" s="35">
        <f>IF(VENTAS[[#This Row],[Nombre del Gestor]]&gt;1,VENTAS[[#This Row],[Total]]*10%,0)</f>
        <v>0</v>
      </c>
      <c r="K1359" s="35">
        <f>IFERROR(VLOOKUP(VENTAS[[#This Row],[Código del producto Vendido]],STOCK[],16,FALSE)*VENTAS[[#This Row],[Cantidad]]+VLOOKUP(VENTAS[[#This Row],[Código del producto Vendido]],STOCK[],19,FALSE)*VENTAS[[#This Row],[Cantidad]],VENTAS[[#This Row],[Total]])</f>
        <v>17.2520211515864</v>
      </c>
      <c r="L1359" s="35">
        <f>VENTAS[[#This Row],[Total]]-VENTAS[[#This Row],[Comisión 10%]]-VENTAS[[#This Row],[Costo SIN Comision]]</f>
        <v>17.7479788484136</v>
      </c>
      <c r="M1359" s="35"/>
    </row>
    <row r="1360" ht="20" customHeight="1" spans="1:13">
      <c r="A1360" s="29">
        <v>45519</v>
      </c>
      <c r="B1360" s="30"/>
      <c r="C1360" s="30" t="s">
        <v>3449</v>
      </c>
      <c r="D1360" s="30"/>
      <c r="E1360" s="30" t="s">
        <v>2408</v>
      </c>
      <c r="F1360" s="34" t="str">
        <f>IFERROR(VLOOKUP(VENTAS[[#This Row],[Código del producto Vendido]],STOCK[],5,FALSE),"-")</f>
        <v>Pantalón de vestir de viscosa y lino (beige claro)</v>
      </c>
      <c r="G1360" s="34">
        <v>1</v>
      </c>
      <c r="H1360" s="35">
        <v>35</v>
      </c>
      <c r="I1360" s="35">
        <f>VENTAS[[#This Row],[Cantidad]]*VENTAS[[#This Row],[Precio Venta]]</f>
        <v>35</v>
      </c>
      <c r="J1360" s="35">
        <f>IF(VENTAS[[#This Row],[Nombre del Gestor]]&gt;1,VENTAS[[#This Row],[Total]]*10%,0)</f>
        <v>0</v>
      </c>
      <c r="K1360" s="35">
        <f>IFERROR(VLOOKUP(VENTAS[[#This Row],[Código del producto Vendido]],STOCK[],16,FALSE)*VENTAS[[#This Row],[Cantidad]]+VLOOKUP(VENTAS[[#This Row],[Código del producto Vendido]],STOCK[],19,FALSE)*VENTAS[[#This Row],[Cantidad]],VENTAS[[#This Row],[Total]])</f>
        <v>17.2520211515864</v>
      </c>
      <c r="L1360" s="35">
        <f>VENTAS[[#This Row],[Total]]-VENTAS[[#This Row],[Comisión 10%]]-VENTAS[[#This Row],[Costo SIN Comision]]</f>
        <v>17.7479788484136</v>
      </c>
      <c r="M1360" s="35"/>
    </row>
    <row r="1361" ht="20" customHeight="1" spans="1:13">
      <c r="A1361" s="29">
        <v>45520</v>
      </c>
      <c r="B1361" s="30"/>
      <c r="C1361" s="30" t="s">
        <v>3573</v>
      </c>
      <c r="D1361" s="30"/>
      <c r="E1361" s="30" t="s">
        <v>264</v>
      </c>
      <c r="F1361" s="34" t="str">
        <f>IFERROR(VLOOKUP(VENTAS[[#This Row],[Código del producto Vendido]],STOCK[],5,FALSE),"-")</f>
        <v>Vestido de  lunares de cintura con cordó</v>
      </c>
      <c r="G1361" s="34">
        <v>1</v>
      </c>
      <c r="H1361" s="35">
        <v>0</v>
      </c>
      <c r="I1361" s="35">
        <f>VENTAS[[#This Row],[Cantidad]]*VENTAS[[#This Row],[Precio Venta]]</f>
        <v>0</v>
      </c>
      <c r="J1361" s="35">
        <f>IF(VENTAS[[#This Row],[Nombre del Gestor]]&gt;1,VENTAS[[#This Row],[Total]]*10%,0)</f>
        <v>0</v>
      </c>
      <c r="K1361" s="35">
        <f>IFERROR(VLOOKUP(VENTAS[[#This Row],[Código del producto Vendido]],STOCK[],16,FALSE)*VENTAS[[#This Row],[Cantidad]]+VLOOKUP(VENTAS[[#This Row],[Código del producto Vendido]],STOCK[],19,FALSE)*VENTAS[[#This Row],[Cantidad]],VENTAS[[#This Row],[Total]])</f>
        <v>17.9155555555556</v>
      </c>
      <c r="L1361" s="35">
        <f>VENTAS[[#This Row],[Total]]-VENTAS[[#This Row],[Comisión 10%]]-VENTAS[[#This Row],[Costo SIN Comision]]</f>
        <v>-17.9155555555556</v>
      </c>
      <c r="M1361" s="35"/>
    </row>
    <row r="1362" ht="20" customHeight="1" spans="1:13">
      <c r="A1362" s="29">
        <v>45531</v>
      </c>
      <c r="B1362" s="30"/>
      <c r="C1362" s="30"/>
      <c r="D1362" s="30" t="s">
        <v>3481</v>
      </c>
      <c r="E1362" s="30" t="s">
        <v>1098</v>
      </c>
      <c r="F1362" s="34" t="str">
        <f>IFERROR(VLOOKUP(VENTAS[[#This Row],[Código del producto Vendido]],STOCK[],5,FALSE),"-")</f>
        <v>Sandalias crema</v>
      </c>
      <c r="G1362" s="34">
        <v>1</v>
      </c>
      <c r="H1362" s="35">
        <v>35</v>
      </c>
      <c r="I1362" s="35">
        <f>VENTAS[[#This Row],[Cantidad]]*VENTAS[[#This Row],[Precio Venta]]</f>
        <v>35</v>
      </c>
      <c r="J1362" s="35">
        <f>IF(VENTAS[[#This Row],[Nombre del Gestor]]&gt;1,VENTAS[[#This Row],[Total]]*10%,0)</f>
        <v>3.5</v>
      </c>
      <c r="K1362" s="35">
        <f>IFERROR(VLOOKUP(VENTAS[[#This Row],[Código del producto Vendido]],STOCK[],16,FALSE)*VENTAS[[#This Row],[Cantidad]]+VLOOKUP(VENTAS[[#This Row],[Código del producto Vendido]],STOCK[],19,FALSE)*VENTAS[[#This Row],[Cantidad]],VENTAS[[#This Row],[Total]])</f>
        <v>26.8529411764706</v>
      </c>
      <c r="L1362" s="35">
        <f>VENTAS[[#This Row],[Total]]-VENTAS[[#This Row],[Comisión 10%]]-VENTAS[[#This Row],[Costo SIN Comision]]</f>
        <v>4.6470588235294</v>
      </c>
      <c r="M1362" s="35"/>
    </row>
    <row r="1363" ht="20" customHeight="1" spans="1:13">
      <c r="A1363" s="29"/>
      <c r="B1363" s="30"/>
      <c r="C1363" s="30" t="s">
        <v>3449</v>
      </c>
      <c r="D1363" s="30"/>
      <c r="E1363" s="30" t="s">
        <v>2418</v>
      </c>
      <c r="F1363" s="34" t="str">
        <f>IFERROR(VLOOKUP(VENTAS[[#This Row],[Código del producto Vendido]],STOCK[],5,FALSE),"-")</f>
        <v>Camisa blanca en mezcla de algodón</v>
      </c>
      <c r="G1363" s="34">
        <v>1</v>
      </c>
      <c r="H1363" s="35">
        <v>0</v>
      </c>
      <c r="I1363" s="35">
        <f>VENTAS[[#This Row],[Cantidad]]*VENTAS[[#This Row],[Precio Venta]]</f>
        <v>0</v>
      </c>
      <c r="J1363" s="35">
        <f>IF(VENTAS[[#This Row],[Nombre del Gestor]]&gt;1,VENTAS[[#This Row],[Total]]*10%,0)</f>
        <v>0</v>
      </c>
      <c r="K1363" s="35">
        <f>IFERROR(VLOOKUP(VENTAS[[#This Row],[Código del producto Vendido]],STOCK[],16,FALSE)*VENTAS[[#This Row],[Cantidad]]+VLOOKUP(VENTAS[[#This Row],[Código del producto Vendido]],STOCK[],19,FALSE)*VENTAS[[#This Row],[Cantidad]],VENTAS[[#This Row],[Total]])</f>
        <v>17.7808108108108</v>
      </c>
      <c r="L1363" s="35">
        <f>VENTAS[[#This Row],[Total]]-VENTAS[[#This Row],[Comisión 10%]]-VENTAS[[#This Row],[Costo SIN Comision]]</f>
        <v>-17.7808108108108</v>
      </c>
      <c r="M1363" s="35"/>
    </row>
    <row r="1364" ht="20" customHeight="1" spans="1:13">
      <c r="A1364" s="29">
        <v>45517</v>
      </c>
      <c r="B1364" s="30"/>
      <c r="C1364" s="30" t="s">
        <v>3637</v>
      </c>
      <c r="D1364" s="30"/>
      <c r="E1364" s="30" t="s">
        <v>2645</v>
      </c>
      <c r="F1364" s="34" t="str">
        <f>IFERROR(VLOOKUP(VENTAS[[#This Row],[Código del producto Vendido]],STOCK[],5,FALSE),"-")</f>
        <v>Camisa Oversize blanca en mezcla de lino H&amp;M (encargo mónica)</v>
      </c>
      <c r="G1364" s="34">
        <v>1</v>
      </c>
      <c r="H1364" s="35">
        <v>35</v>
      </c>
      <c r="I1364" s="35">
        <f>VENTAS[[#This Row],[Cantidad]]*VENTAS[[#This Row],[Precio Venta]]</f>
        <v>35</v>
      </c>
      <c r="J1364" s="35">
        <f>IF(VENTAS[[#This Row],[Nombre del Gestor]]&gt;1,VENTAS[[#This Row],[Total]]*10%,0)</f>
        <v>0</v>
      </c>
      <c r="K1364" s="35">
        <f>IFERROR(VLOOKUP(VENTAS[[#This Row],[Código del producto Vendido]],STOCK[],16,FALSE)*VENTAS[[#This Row],[Cantidad]]+VLOOKUP(VENTAS[[#This Row],[Código del producto Vendido]],STOCK[],19,FALSE)*VENTAS[[#This Row],[Cantidad]],VENTAS[[#This Row],[Total]])</f>
        <v>28.22</v>
      </c>
      <c r="L1364" s="35">
        <f>VENTAS[[#This Row],[Total]]-VENTAS[[#This Row],[Comisión 10%]]-VENTAS[[#This Row],[Costo SIN Comision]]</f>
        <v>6.78</v>
      </c>
      <c r="M1364" s="35"/>
    </row>
    <row r="1365" ht="20" customHeight="1" spans="1:13">
      <c r="A1365" s="29">
        <v>45517</v>
      </c>
      <c r="B1365" s="30"/>
      <c r="C1365" s="30" t="s">
        <v>3641</v>
      </c>
      <c r="D1365" s="30"/>
      <c r="E1365" s="30" t="s">
        <v>2677</v>
      </c>
      <c r="F1365" s="34" t="str">
        <f>IFERROR(VLOOKUP(VENTAS[[#This Row],[Código del producto Vendido]],STOCK[],5,FALSE),"-")</f>
        <v>Camisa verde oversize (encargo)</v>
      </c>
      <c r="G1365" s="34">
        <v>1</v>
      </c>
      <c r="H1365" s="35">
        <v>20</v>
      </c>
      <c r="I1365" s="35">
        <f>VENTAS[[#This Row],[Cantidad]]*VENTAS[[#This Row],[Precio Venta]]</f>
        <v>20</v>
      </c>
      <c r="J1365" s="35">
        <f>IF(VENTAS[[#This Row],[Nombre del Gestor]]&gt;1,VENTAS[[#This Row],[Total]]*10%,0)</f>
        <v>0</v>
      </c>
      <c r="K1365" s="35">
        <f>IFERROR(VLOOKUP(VENTAS[[#This Row],[Código del producto Vendido]],STOCK[],16,FALSE)*VENTAS[[#This Row],[Cantidad]]+VLOOKUP(VENTAS[[#This Row],[Código del producto Vendido]],STOCK[],19,FALSE)*VENTAS[[#This Row],[Cantidad]],VENTAS[[#This Row],[Total]])</f>
        <v>13.15</v>
      </c>
      <c r="L1365" s="35">
        <f>VENTAS[[#This Row],[Total]]-VENTAS[[#This Row],[Comisión 10%]]-VENTAS[[#This Row],[Costo SIN Comision]]</f>
        <v>6.85</v>
      </c>
      <c r="M1365" s="35"/>
    </row>
    <row r="1366" ht="20" customHeight="1" spans="1:13">
      <c r="A1366" s="29">
        <v>45517</v>
      </c>
      <c r="B1366" s="30"/>
      <c r="C1366" s="30" t="s">
        <v>3641</v>
      </c>
      <c r="D1366" s="30"/>
      <c r="E1366" s="30" t="s">
        <v>2679</v>
      </c>
      <c r="F1366" s="34" t="str">
        <f>IFERROR(VLOOKUP(VENTAS[[#This Row],[Código del producto Vendido]],STOCK[],5,FALSE),"-")</f>
        <v>Top corto verde de tirantes (encargo)</v>
      </c>
      <c r="G1366" s="34">
        <v>1</v>
      </c>
      <c r="H1366" s="35">
        <v>8</v>
      </c>
      <c r="I1366" s="35">
        <f>VENTAS[[#This Row],[Cantidad]]*VENTAS[[#This Row],[Precio Venta]]</f>
        <v>8</v>
      </c>
      <c r="J1366" s="35">
        <f>IF(VENTAS[[#This Row],[Nombre del Gestor]]&gt;1,VENTAS[[#This Row],[Total]]*10%,0)</f>
        <v>0</v>
      </c>
      <c r="K1366" s="35">
        <f>IFERROR(VLOOKUP(VENTAS[[#This Row],[Código del producto Vendido]],STOCK[],16,FALSE)*VENTAS[[#This Row],[Cantidad]]+VLOOKUP(VENTAS[[#This Row],[Código del producto Vendido]],STOCK[],19,FALSE)*VENTAS[[#This Row],[Cantidad]],VENTAS[[#This Row],[Total]])</f>
        <v>4.58</v>
      </c>
      <c r="L1366" s="35">
        <f>VENTAS[[#This Row],[Total]]-VENTAS[[#This Row],[Comisión 10%]]-VENTAS[[#This Row],[Costo SIN Comision]]</f>
        <v>3.42</v>
      </c>
      <c r="M1366" s="35"/>
    </row>
    <row r="1367" ht="20" customHeight="1" spans="1:13">
      <c r="A1367" s="29">
        <v>45517</v>
      </c>
      <c r="B1367" s="30"/>
      <c r="C1367" s="30" t="s">
        <v>3641</v>
      </c>
      <c r="D1367" s="30"/>
      <c r="E1367" s="30" t="s">
        <v>2687</v>
      </c>
      <c r="F1367" s="34" t="str">
        <f>IFERROR(VLOOKUP(VENTAS[[#This Row],[Código del producto Vendido]],STOCK[],5,FALSE),"-")</f>
        <v>Short blanco de talle alto (encargo)</v>
      </c>
      <c r="G1367" s="34">
        <v>1</v>
      </c>
      <c r="H1367" s="35">
        <v>18</v>
      </c>
      <c r="I1367" s="35">
        <f>VENTAS[[#This Row],[Cantidad]]*VENTAS[[#This Row],[Precio Venta]]</f>
        <v>18</v>
      </c>
      <c r="J1367" s="35">
        <f>IF(VENTAS[[#This Row],[Nombre del Gestor]]&gt;1,VENTAS[[#This Row],[Total]]*10%,0)</f>
        <v>0</v>
      </c>
      <c r="K1367" s="35">
        <f>IFERROR(VLOOKUP(VENTAS[[#This Row],[Código del producto Vendido]],STOCK[],16,FALSE)*VENTAS[[#This Row],[Cantidad]]+VLOOKUP(VENTAS[[#This Row],[Código del producto Vendido]],STOCK[],19,FALSE)*VENTAS[[#This Row],[Cantidad]],VENTAS[[#This Row],[Total]])</f>
        <v>10.12</v>
      </c>
      <c r="L1367" s="35">
        <f>VENTAS[[#This Row],[Total]]-VENTAS[[#This Row],[Comisión 10%]]-VENTAS[[#This Row],[Costo SIN Comision]]</f>
        <v>7.88</v>
      </c>
      <c r="M1367" s="35"/>
    </row>
    <row r="1368" ht="20" customHeight="1" spans="1:13">
      <c r="A1368" s="29"/>
      <c r="B1368" s="30"/>
      <c r="C1368" s="30" t="s">
        <v>3449</v>
      </c>
      <c r="D1368" s="30"/>
      <c r="E1368" s="30" t="s">
        <v>600</v>
      </c>
      <c r="F1368" s="34" t="str">
        <f>IFERROR(VLOOKUP(VENTAS[[#This Row],[Código del producto Vendido]],STOCK[],5,FALSE),"-")</f>
        <v>Top corsetero asimétrico</v>
      </c>
      <c r="G1368" s="34">
        <v>1</v>
      </c>
      <c r="H1368" s="35">
        <v>9</v>
      </c>
      <c r="I1368" s="35">
        <f>VENTAS[[#This Row],[Cantidad]]*VENTAS[[#This Row],[Precio Venta]]</f>
        <v>9</v>
      </c>
      <c r="J1368" s="35">
        <f>IF(VENTAS[[#This Row],[Nombre del Gestor]]&gt;1,VENTAS[[#This Row],[Total]]*10%,0)</f>
        <v>0</v>
      </c>
      <c r="K1368" s="35">
        <f>IFERROR(VLOOKUP(VENTAS[[#This Row],[Código del producto Vendido]],STOCK[],16,FALSE)*VENTAS[[#This Row],[Cantidad]]+VLOOKUP(VENTAS[[#This Row],[Código del producto Vendido]],STOCK[],19,FALSE)*VENTAS[[#This Row],[Cantidad]],VENTAS[[#This Row],[Total]])</f>
        <v>5.56833333333333</v>
      </c>
      <c r="L1368" s="35">
        <f>VENTAS[[#This Row],[Total]]-VENTAS[[#This Row],[Comisión 10%]]-VENTAS[[#This Row],[Costo SIN Comision]]</f>
        <v>3.43166666666667</v>
      </c>
      <c r="M1368" s="35"/>
    </row>
    <row r="1369" ht="20" customHeight="1" spans="1:13">
      <c r="A1369" s="29"/>
      <c r="B1369" s="30"/>
      <c r="C1369" s="30" t="s">
        <v>3449</v>
      </c>
      <c r="D1369" s="30"/>
      <c r="E1369" s="30" t="s">
        <v>664</v>
      </c>
      <c r="F1369" s="34" t="str">
        <f>IFERROR(VLOOKUP(VENTAS[[#This Row],[Código del producto Vendido]],STOCK[],5,FALSE),"-")</f>
        <v>Top Cruzado negro</v>
      </c>
      <c r="G1369" s="34">
        <v>1</v>
      </c>
      <c r="H1369" s="35">
        <v>9</v>
      </c>
      <c r="I1369" s="35">
        <f>VENTAS[[#This Row],[Cantidad]]*VENTAS[[#This Row],[Precio Venta]]</f>
        <v>9</v>
      </c>
      <c r="J1369" s="35">
        <f>IF(VENTAS[[#This Row],[Nombre del Gestor]]&gt;1,VENTAS[[#This Row],[Total]]*10%,0)</f>
        <v>0</v>
      </c>
      <c r="K1369" s="35">
        <f>IFERROR(VLOOKUP(VENTAS[[#This Row],[Código del producto Vendido]],STOCK[],16,FALSE)*VENTAS[[#This Row],[Cantidad]]+VLOOKUP(VENTAS[[#This Row],[Código del producto Vendido]],STOCK[],19,FALSE)*VENTAS[[#This Row],[Cantidad]],VENTAS[[#This Row],[Total]])</f>
        <v>4.90166666666667</v>
      </c>
      <c r="L1369" s="35">
        <f>VENTAS[[#This Row],[Total]]-VENTAS[[#This Row],[Comisión 10%]]-VENTAS[[#This Row],[Costo SIN Comision]]</f>
        <v>4.09833333333333</v>
      </c>
      <c r="M1369" s="35"/>
    </row>
    <row r="1370" ht="20" customHeight="1" spans="1:13">
      <c r="A1370" s="29"/>
      <c r="B1370" s="30"/>
      <c r="C1370" s="30" t="s">
        <v>3449</v>
      </c>
      <c r="D1370" s="30"/>
      <c r="E1370" s="30" t="s">
        <v>673</v>
      </c>
      <c r="F1370" s="34" t="str">
        <f>IFERROR(VLOOKUP(VENTAS[[#This Row],[Código del producto Vendido]],STOCK[],5,FALSE),"-")</f>
        <v>Top Cruzado azul</v>
      </c>
      <c r="G1370" s="34">
        <v>1</v>
      </c>
      <c r="H1370" s="35">
        <v>9</v>
      </c>
      <c r="I1370" s="35">
        <f>VENTAS[[#This Row],[Cantidad]]*VENTAS[[#This Row],[Precio Venta]]</f>
        <v>9</v>
      </c>
      <c r="J1370" s="35">
        <f>IF(VENTAS[[#This Row],[Nombre del Gestor]]&gt;1,VENTAS[[#This Row],[Total]]*10%,0)</f>
        <v>0</v>
      </c>
      <c r="K1370" s="35">
        <f>IFERROR(VLOOKUP(VENTAS[[#This Row],[Código del producto Vendido]],STOCK[],16,FALSE)*VENTAS[[#This Row],[Cantidad]]+VLOOKUP(VENTAS[[#This Row],[Código del producto Vendido]],STOCK[],19,FALSE)*VENTAS[[#This Row],[Cantidad]],VENTAS[[#This Row],[Total]])</f>
        <v>5.26833333333333</v>
      </c>
      <c r="L1370" s="35">
        <f>VENTAS[[#This Row],[Total]]-VENTAS[[#This Row],[Comisión 10%]]-VENTAS[[#This Row],[Costo SIN Comision]]</f>
        <v>3.73166666666667</v>
      </c>
      <c r="M1370" s="35"/>
    </row>
    <row r="1371" ht="20" customHeight="1" spans="1:13">
      <c r="A1371" s="29"/>
      <c r="B1371" s="30"/>
      <c r="C1371" s="30" t="s">
        <v>3449</v>
      </c>
      <c r="D1371" s="30"/>
      <c r="E1371" s="30" t="s">
        <v>678</v>
      </c>
      <c r="F1371" s="34" t="str">
        <f>IFERROR(VLOOKUP(VENTAS[[#This Row],[Código del producto Vendido]],STOCK[],5,FALSE),"-")</f>
        <v>Blusa corta de manga farol</v>
      </c>
      <c r="G1371" s="34">
        <v>1</v>
      </c>
      <c r="H1371" s="35">
        <v>9</v>
      </c>
      <c r="I1371" s="35">
        <f>VENTAS[[#This Row],[Cantidad]]*VENTAS[[#This Row],[Precio Venta]]</f>
        <v>9</v>
      </c>
      <c r="J1371" s="35">
        <f>IF(VENTAS[[#This Row],[Nombre del Gestor]]&gt;1,VENTAS[[#This Row],[Total]]*10%,0)</f>
        <v>0</v>
      </c>
      <c r="K1371" s="35">
        <f>IFERROR(VLOOKUP(VENTAS[[#This Row],[Código del producto Vendido]],STOCK[],16,FALSE)*VENTAS[[#This Row],[Cantidad]]+VLOOKUP(VENTAS[[#This Row],[Código del producto Vendido]],STOCK[],19,FALSE)*VENTAS[[#This Row],[Cantidad]],VENTAS[[#This Row],[Total]])</f>
        <v>7.52666666666667</v>
      </c>
      <c r="L1371" s="35">
        <f>VENTAS[[#This Row],[Total]]-VENTAS[[#This Row],[Comisión 10%]]-VENTAS[[#This Row],[Costo SIN Comision]]</f>
        <v>1.47333333333333</v>
      </c>
      <c r="M1371" s="35"/>
    </row>
    <row r="1372" ht="20" customHeight="1" spans="1:13">
      <c r="A1372" s="29"/>
      <c r="B1372" s="30"/>
      <c r="C1372" s="30" t="s">
        <v>3449</v>
      </c>
      <c r="D1372" s="30"/>
      <c r="E1372" s="30" t="s">
        <v>674</v>
      </c>
      <c r="F1372" s="34" t="str">
        <f>IFERROR(VLOOKUP(VENTAS[[#This Row],[Código del producto Vendido]],STOCK[],5,FALSE),"-")</f>
        <v>SHEIN Frenchy Vestido de leopardo &amp; piel de tigre con estampado de manga mariposa sin cinturón_S</v>
      </c>
      <c r="G1372" s="34">
        <v>1</v>
      </c>
      <c r="H1372" s="35">
        <v>0</v>
      </c>
      <c r="I1372" s="35">
        <f>VENTAS[[#This Row],[Cantidad]]*VENTAS[[#This Row],[Precio Venta]]</f>
        <v>0</v>
      </c>
      <c r="J1372" s="35">
        <f>IF(VENTAS[[#This Row],[Nombre del Gestor]]&gt;1,VENTAS[[#This Row],[Total]]*10%,0)</f>
        <v>0</v>
      </c>
      <c r="K1372" s="35">
        <f>IFERROR(VLOOKUP(VENTAS[[#This Row],[Código del producto Vendido]],STOCK[],16,FALSE)*VENTAS[[#This Row],[Cantidad]]+VLOOKUP(VENTAS[[#This Row],[Código del producto Vendido]],STOCK[],19,FALSE)*VENTAS[[#This Row],[Cantidad]],VENTAS[[#This Row],[Total]])</f>
        <v>10.7222222222222</v>
      </c>
      <c r="L1372" s="35">
        <f>VENTAS[[#This Row],[Total]]-VENTAS[[#This Row],[Comisión 10%]]-VENTAS[[#This Row],[Costo SIN Comision]]</f>
        <v>-10.7222222222222</v>
      </c>
      <c r="M1372" s="35"/>
    </row>
    <row r="1373" ht="20" customHeight="1" spans="1:13">
      <c r="A1373" s="29"/>
      <c r="B1373" s="30"/>
      <c r="C1373" s="30" t="s">
        <v>3642</v>
      </c>
      <c r="D1373" s="30"/>
      <c r="E1373" s="30" t="s">
        <v>743</v>
      </c>
      <c r="F1373" s="34" t="str">
        <f>IFERROR(VLOOKUP(VENTAS[[#This Row],[Código del producto Vendido]],STOCK[],5,FALSE),"-")</f>
        <v>Short denim</v>
      </c>
      <c r="G1373" s="34">
        <v>1</v>
      </c>
      <c r="H1373" s="35">
        <v>29</v>
      </c>
      <c r="I1373" s="35">
        <f>VENTAS[[#This Row],[Cantidad]]*VENTAS[[#This Row],[Precio Venta]]</f>
        <v>29</v>
      </c>
      <c r="J1373" s="35">
        <f>IF(VENTAS[[#This Row],[Nombre del Gestor]]&gt;1,VENTAS[[#This Row],[Total]]*10%,0)</f>
        <v>0</v>
      </c>
      <c r="K1373" s="35">
        <f>IFERROR(VLOOKUP(VENTAS[[#This Row],[Código del producto Vendido]],STOCK[],16,FALSE)*VENTAS[[#This Row],[Cantidad]]+VLOOKUP(VENTAS[[#This Row],[Código del producto Vendido]],STOCK[],19,FALSE)*VENTAS[[#This Row],[Cantidad]],VENTAS[[#This Row],[Total]])</f>
        <v>28.3888888888889</v>
      </c>
      <c r="L1373" s="35">
        <f>VENTAS[[#This Row],[Total]]-VENTAS[[#This Row],[Comisión 10%]]-VENTAS[[#This Row],[Costo SIN Comision]]</f>
        <v>0.6111111111111</v>
      </c>
      <c r="M1373" s="35"/>
    </row>
    <row r="1374" ht="20" customHeight="1" spans="1:13">
      <c r="A1374" s="29"/>
      <c r="B1374" s="30"/>
      <c r="C1374" s="30" t="s">
        <v>3459</v>
      </c>
      <c r="D1374" s="30"/>
      <c r="E1374" s="30" t="s">
        <v>774</v>
      </c>
      <c r="F1374" s="34" t="str">
        <f>IFERROR(VLOOKUP(VENTAS[[#This Row],[Código del producto Vendido]],STOCK[],5,FALSE),"-")</f>
        <v>Top berry en tela de algodón</v>
      </c>
      <c r="G1374" s="34">
        <v>1</v>
      </c>
      <c r="H1374" s="35">
        <v>0</v>
      </c>
      <c r="I1374" s="35">
        <f>VENTAS[[#This Row],[Cantidad]]*VENTAS[[#This Row],[Precio Venta]]</f>
        <v>0</v>
      </c>
      <c r="J1374" s="35">
        <f>IF(VENTAS[[#This Row],[Nombre del Gestor]]&gt;1,VENTAS[[#This Row],[Total]]*10%,0)</f>
        <v>0</v>
      </c>
      <c r="K1374" s="35">
        <f>IFERROR(VLOOKUP(VENTAS[[#This Row],[Código del producto Vendido]],STOCK[],16,FALSE)*VENTAS[[#This Row],[Cantidad]]+VLOOKUP(VENTAS[[#This Row],[Código del producto Vendido]],STOCK[],19,FALSE)*VENTAS[[#This Row],[Cantidad]],VENTAS[[#This Row],[Total]])</f>
        <v>6.05555555555556</v>
      </c>
      <c r="L1374" s="35">
        <f>VENTAS[[#This Row],[Total]]-VENTAS[[#This Row],[Comisión 10%]]-VENTAS[[#This Row],[Costo SIN Comision]]</f>
        <v>-6.05555555555556</v>
      </c>
      <c r="M1374" s="35"/>
    </row>
    <row r="1375" ht="20" customHeight="1" spans="1:13">
      <c r="A1375" s="29"/>
      <c r="B1375" s="30"/>
      <c r="C1375" s="30" t="s">
        <v>3449</v>
      </c>
      <c r="D1375" s="30"/>
      <c r="E1375" s="30" t="s">
        <v>774</v>
      </c>
      <c r="F1375" s="34" t="str">
        <f>IFERROR(VLOOKUP(VENTAS[[#This Row],[Código del producto Vendido]],STOCK[],5,FALSE),"-")</f>
        <v>Top berry en tela de algodón</v>
      </c>
      <c r="G1375" s="34">
        <v>2</v>
      </c>
      <c r="H1375" s="35">
        <v>10</v>
      </c>
      <c r="I1375" s="35">
        <f>VENTAS[[#This Row],[Cantidad]]*VENTAS[[#This Row],[Precio Venta]]</f>
        <v>20</v>
      </c>
      <c r="J1375" s="35">
        <f>IF(VENTAS[[#This Row],[Nombre del Gestor]]&gt;1,VENTAS[[#This Row],[Total]]*10%,0)</f>
        <v>0</v>
      </c>
      <c r="K1375" s="35">
        <f>IFERROR(VLOOKUP(VENTAS[[#This Row],[Código del producto Vendido]],STOCK[],16,FALSE)*VENTAS[[#This Row],[Cantidad]]+VLOOKUP(VENTAS[[#This Row],[Código del producto Vendido]],STOCK[],19,FALSE)*VENTAS[[#This Row],[Cantidad]],VENTAS[[#This Row],[Total]])</f>
        <v>12.1111111111111</v>
      </c>
      <c r="L1375" s="35">
        <f>VENTAS[[#This Row],[Total]]-VENTAS[[#This Row],[Comisión 10%]]-VENTAS[[#This Row],[Costo SIN Comision]]</f>
        <v>7.88888888888888</v>
      </c>
      <c r="M1375" s="35"/>
    </row>
    <row r="1376" ht="20" customHeight="1" spans="1:13">
      <c r="A1376" s="29"/>
      <c r="B1376" s="30"/>
      <c r="C1376" s="30" t="s">
        <v>3449</v>
      </c>
      <c r="D1376" s="30"/>
      <c r="E1376" s="30" t="s">
        <v>579</v>
      </c>
      <c r="F1376" s="34" t="str">
        <f>IFERROR(VLOOKUP(VENTAS[[#This Row],[Código del producto Vendido]],STOCK[],5,FALSE),"-")</f>
        <v>Camiseta corta unicolor con abertura</v>
      </c>
      <c r="G1376" s="34">
        <v>1</v>
      </c>
      <c r="H1376" s="35">
        <v>10</v>
      </c>
      <c r="I1376" s="35">
        <f>VENTAS[[#This Row],[Cantidad]]*VENTAS[[#This Row],[Precio Venta]]</f>
        <v>10</v>
      </c>
      <c r="J1376" s="35">
        <f>IF(VENTAS[[#This Row],[Nombre del Gestor]]&gt;1,VENTAS[[#This Row],[Total]]*10%,0)</f>
        <v>0</v>
      </c>
      <c r="K1376" s="35">
        <f>IFERROR(VLOOKUP(VENTAS[[#This Row],[Código del producto Vendido]],STOCK[],16,FALSE)*VENTAS[[#This Row],[Cantidad]]+VLOOKUP(VENTAS[[#This Row],[Código del producto Vendido]],STOCK[],19,FALSE)*VENTAS[[#This Row],[Cantidad]],VENTAS[[#This Row],[Total]])</f>
        <v>5.02666666666667</v>
      </c>
      <c r="L1376" s="35">
        <f>VENTAS[[#This Row],[Total]]-VENTAS[[#This Row],[Comisión 10%]]-VENTAS[[#This Row],[Costo SIN Comision]]</f>
        <v>4.97333333333333</v>
      </c>
      <c r="M1376" s="35"/>
    </row>
    <row r="1377" ht="20" customHeight="1" spans="1:13">
      <c r="A1377" s="29"/>
      <c r="B1377" s="30"/>
      <c r="C1377" s="30" t="s">
        <v>3449</v>
      </c>
      <c r="D1377" s="30"/>
      <c r="E1377" s="30" t="s">
        <v>1168</v>
      </c>
      <c r="F1377" s="34" t="str">
        <f>IFERROR(VLOOKUP(VENTAS[[#This Row],[Código del producto Vendido]],STOCK[],5,FALSE),"-")</f>
        <v>Pullover Dazy cuello redondo Blanco</v>
      </c>
      <c r="G1377" s="34">
        <v>1</v>
      </c>
      <c r="H1377" s="35">
        <v>13</v>
      </c>
      <c r="I1377" s="35">
        <f>VENTAS[[#This Row],[Cantidad]]*VENTAS[[#This Row],[Precio Venta]]</f>
        <v>13</v>
      </c>
      <c r="J1377" s="35">
        <f>IF(VENTAS[[#This Row],[Nombre del Gestor]]&gt;1,VENTAS[[#This Row],[Total]]*10%,0)</f>
        <v>0</v>
      </c>
      <c r="K1377" s="35">
        <f>IFERROR(VLOOKUP(VENTAS[[#This Row],[Código del producto Vendido]],STOCK[],16,FALSE)*VENTAS[[#This Row],[Cantidad]]+VLOOKUP(VENTAS[[#This Row],[Código del producto Vendido]],STOCK[],19,FALSE)*VENTAS[[#This Row],[Cantidad]],VENTAS[[#This Row],[Total]])</f>
        <v>8.61</v>
      </c>
      <c r="L1377" s="35">
        <f>VENTAS[[#This Row],[Total]]-VENTAS[[#This Row],[Comisión 10%]]-VENTAS[[#This Row],[Costo SIN Comision]]</f>
        <v>4.39</v>
      </c>
      <c r="M1377" s="35"/>
    </row>
    <row r="1378" ht="20" customHeight="1" spans="1:13">
      <c r="A1378" s="29"/>
      <c r="B1378" s="30"/>
      <c r="C1378" s="30"/>
      <c r="D1378" s="30" t="s">
        <v>3643</v>
      </c>
      <c r="E1378" s="30" t="s">
        <v>2536</v>
      </c>
      <c r="F1378" s="34" t="str">
        <f>IFERROR(VLOOKUP(VENTAS[[#This Row],[Código del producto Vendido]],STOCK[],5,FALSE),"-")</f>
        <v>Pullover corto unicolor beige</v>
      </c>
      <c r="G1378" s="34">
        <v>1</v>
      </c>
      <c r="H1378" s="35">
        <v>10</v>
      </c>
      <c r="I1378" s="35">
        <f>VENTAS[[#This Row],[Cantidad]]*VENTAS[[#This Row],[Precio Venta]]</f>
        <v>10</v>
      </c>
      <c r="J1378" s="35">
        <f>IF(VENTAS[[#This Row],[Nombre del Gestor]]&gt;1,VENTAS[[#This Row],[Total]]*10%,0)</f>
        <v>1</v>
      </c>
      <c r="K1378" s="35">
        <f>IFERROR(VLOOKUP(VENTAS[[#This Row],[Código del producto Vendido]],STOCK[],16,FALSE)*VENTAS[[#This Row],[Cantidad]]+VLOOKUP(VENTAS[[#This Row],[Código del producto Vendido]],STOCK[],19,FALSE)*VENTAS[[#This Row],[Cantidad]],VENTAS[[#This Row],[Total]])</f>
        <v>2.35</v>
      </c>
      <c r="L1378" s="35">
        <f>VENTAS[[#This Row],[Total]]-VENTAS[[#This Row],[Comisión 10%]]-VENTAS[[#This Row],[Costo SIN Comision]]</f>
        <v>6.65</v>
      </c>
      <c r="M1378" s="35"/>
    </row>
    <row r="1379" ht="20" customHeight="1" spans="1:13">
      <c r="A1379" s="29"/>
      <c r="B1379" s="30"/>
      <c r="C1379" s="30"/>
      <c r="D1379" s="30" t="s">
        <v>3643</v>
      </c>
      <c r="E1379" s="30" t="s">
        <v>2534</v>
      </c>
      <c r="F1379" s="34" t="str">
        <f>IFERROR(VLOOKUP(VENTAS[[#This Row],[Código del producto Vendido]],STOCK[],5,FALSE),"-")</f>
        <v>Pullover corto unicolor blanco</v>
      </c>
      <c r="G1379" s="34">
        <v>1</v>
      </c>
      <c r="H1379" s="35">
        <v>10</v>
      </c>
      <c r="I1379" s="35">
        <f>VENTAS[[#This Row],[Cantidad]]*VENTAS[[#This Row],[Precio Venta]]</f>
        <v>10</v>
      </c>
      <c r="J1379" s="35">
        <f>IF(VENTAS[[#This Row],[Nombre del Gestor]]&gt;1,VENTAS[[#This Row],[Total]]*10%,0)</f>
        <v>1</v>
      </c>
      <c r="K1379" s="35">
        <f>IFERROR(VLOOKUP(VENTAS[[#This Row],[Código del producto Vendido]],STOCK[],16,FALSE)*VENTAS[[#This Row],[Cantidad]]+VLOOKUP(VENTAS[[#This Row],[Código del producto Vendido]],STOCK[],19,FALSE)*VENTAS[[#This Row],[Cantidad]],VENTAS[[#This Row],[Total]])</f>
        <v>4.32</v>
      </c>
      <c r="L1379" s="35">
        <f>VENTAS[[#This Row],[Total]]-VENTAS[[#This Row],[Comisión 10%]]-VENTAS[[#This Row],[Costo SIN Comision]]</f>
        <v>4.68</v>
      </c>
      <c r="M1379" s="35"/>
    </row>
    <row r="1380" ht="20" customHeight="1" spans="1:13">
      <c r="A1380" s="29"/>
      <c r="B1380" s="30"/>
      <c r="C1380" s="30"/>
      <c r="D1380" s="30" t="s">
        <v>3643</v>
      </c>
      <c r="E1380" s="30" t="s">
        <v>2544</v>
      </c>
      <c r="F1380" s="34" t="str">
        <f>IFERROR(VLOOKUP(VENTAS[[#This Row],[Código del producto Vendido]],STOCK[],5,FALSE),"-")</f>
        <v>Pullover largo unicolor tela traslúcida terracota</v>
      </c>
      <c r="G1380" s="34">
        <v>1</v>
      </c>
      <c r="H1380" s="35">
        <v>10</v>
      </c>
      <c r="I1380" s="35">
        <f>VENTAS[[#This Row],[Cantidad]]*VENTAS[[#This Row],[Precio Venta]]</f>
        <v>10</v>
      </c>
      <c r="J1380" s="35">
        <f>IF(VENTAS[[#This Row],[Nombre del Gestor]]&gt;1,VENTAS[[#This Row],[Total]]*10%,0)</f>
        <v>1</v>
      </c>
      <c r="K1380" s="35">
        <f>IFERROR(VLOOKUP(VENTAS[[#This Row],[Código del producto Vendido]],STOCK[],16,FALSE)*VENTAS[[#This Row],[Cantidad]]+VLOOKUP(VENTAS[[#This Row],[Código del producto Vendido]],STOCK[],19,FALSE)*VENTAS[[#This Row],[Cantidad]],VENTAS[[#This Row],[Total]])</f>
        <v>4.32</v>
      </c>
      <c r="L1380" s="35">
        <f>VENTAS[[#This Row],[Total]]-VENTAS[[#This Row],[Comisión 10%]]-VENTAS[[#This Row],[Costo SIN Comision]]</f>
        <v>4.68</v>
      </c>
      <c r="M1380" s="35"/>
    </row>
    <row r="1381" ht="20" customHeight="1" spans="1:13">
      <c r="A1381" s="29"/>
      <c r="B1381" s="30"/>
      <c r="C1381" s="30"/>
      <c r="D1381" s="30" t="s">
        <v>3643</v>
      </c>
      <c r="E1381" s="30" t="s">
        <v>2544</v>
      </c>
      <c r="F1381" s="34" t="str">
        <f>IFERROR(VLOOKUP(VENTAS[[#This Row],[Código del producto Vendido]],STOCK[],5,FALSE),"-")</f>
        <v>Pullover largo unicolor tela traslúcida terracota</v>
      </c>
      <c r="G1381" s="34">
        <v>1</v>
      </c>
      <c r="H1381" s="35">
        <v>10</v>
      </c>
      <c r="I1381" s="35">
        <f>VENTAS[[#This Row],[Cantidad]]*VENTAS[[#This Row],[Precio Venta]]</f>
        <v>10</v>
      </c>
      <c r="J1381" s="35">
        <f>IF(VENTAS[[#This Row],[Nombre del Gestor]]&gt;1,VENTAS[[#This Row],[Total]]*10%,0)</f>
        <v>1</v>
      </c>
      <c r="K1381" s="35">
        <f>IFERROR(VLOOKUP(VENTAS[[#This Row],[Código del producto Vendido]],STOCK[],16,FALSE)*VENTAS[[#This Row],[Cantidad]]+VLOOKUP(VENTAS[[#This Row],[Código del producto Vendido]],STOCK[],19,FALSE)*VENTAS[[#This Row],[Cantidad]],VENTAS[[#This Row],[Total]])</f>
        <v>4.32</v>
      </c>
      <c r="L1381" s="35">
        <f>VENTAS[[#This Row],[Total]]-VENTAS[[#This Row],[Comisión 10%]]-VENTAS[[#This Row],[Costo SIN Comision]]</f>
        <v>4.68</v>
      </c>
      <c r="M1381" s="35"/>
    </row>
    <row r="1382" ht="20" customHeight="1" spans="1:13">
      <c r="A1382" s="29"/>
      <c r="B1382" s="30"/>
      <c r="C1382" s="30"/>
      <c r="D1382" s="30" t="s">
        <v>3643</v>
      </c>
      <c r="E1382" s="30" t="s">
        <v>2546</v>
      </c>
      <c r="F1382" s="34" t="str">
        <f>IFERROR(VLOOKUP(VENTAS[[#This Row],[Código del producto Vendido]],STOCK[],5,FALSE),"-")</f>
        <v>Pullover largo unicolor tela traslúcida terracota</v>
      </c>
      <c r="G1382" s="34">
        <v>1</v>
      </c>
      <c r="H1382" s="35">
        <v>10</v>
      </c>
      <c r="I1382" s="35">
        <f>VENTAS[[#This Row],[Cantidad]]*VENTAS[[#This Row],[Precio Venta]]</f>
        <v>10</v>
      </c>
      <c r="J1382" s="35">
        <f>IF(VENTAS[[#This Row],[Nombre del Gestor]]&gt;1,VENTAS[[#This Row],[Total]]*10%,0)</f>
        <v>1</v>
      </c>
      <c r="K1382" s="35">
        <f>IFERROR(VLOOKUP(VENTAS[[#This Row],[Código del producto Vendido]],STOCK[],16,FALSE)*VENTAS[[#This Row],[Cantidad]]+VLOOKUP(VENTAS[[#This Row],[Código del producto Vendido]],STOCK[],19,FALSE)*VENTAS[[#This Row],[Cantidad]],VENTAS[[#This Row],[Total]])</f>
        <v>4.32</v>
      </c>
      <c r="L1382" s="35">
        <f>VENTAS[[#This Row],[Total]]-VENTAS[[#This Row],[Comisión 10%]]-VENTAS[[#This Row],[Costo SIN Comision]]</f>
        <v>4.68</v>
      </c>
      <c r="M1382" s="35"/>
    </row>
    <row r="1383" ht="20" customHeight="1" spans="1:13">
      <c r="A1383" s="29"/>
      <c r="B1383" s="30"/>
      <c r="C1383" s="30"/>
      <c r="D1383" s="30" t="s">
        <v>3643</v>
      </c>
      <c r="E1383" s="30" t="s">
        <v>2548</v>
      </c>
      <c r="F1383" s="34" t="str">
        <f>IFERROR(VLOOKUP(VENTAS[[#This Row],[Código del producto Vendido]],STOCK[],5,FALSE),"-")</f>
        <v>Pullover largo unicolor tela traslúcida beige</v>
      </c>
      <c r="G1383" s="34">
        <v>1</v>
      </c>
      <c r="H1383" s="35">
        <v>10</v>
      </c>
      <c r="I1383" s="35">
        <f>VENTAS[[#This Row],[Cantidad]]*VENTAS[[#This Row],[Precio Venta]]</f>
        <v>10</v>
      </c>
      <c r="J1383" s="35">
        <f>IF(VENTAS[[#This Row],[Nombre del Gestor]]&gt;1,VENTAS[[#This Row],[Total]]*10%,0)</f>
        <v>1</v>
      </c>
      <c r="K1383" s="35">
        <f>IFERROR(VLOOKUP(VENTAS[[#This Row],[Código del producto Vendido]],STOCK[],16,FALSE)*VENTAS[[#This Row],[Cantidad]]+VLOOKUP(VENTAS[[#This Row],[Código del producto Vendido]],STOCK[],19,FALSE)*VENTAS[[#This Row],[Cantidad]],VENTAS[[#This Row],[Total]])</f>
        <v>4.32</v>
      </c>
      <c r="L1383" s="35">
        <f>VENTAS[[#This Row],[Total]]-VENTAS[[#This Row],[Comisión 10%]]-VENTAS[[#This Row],[Costo SIN Comision]]</f>
        <v>4.68</v>
      </c>
      <c r="M1383" s="35"/>
    </row>
    <row r="1384" ht="20" customHeight="1" spans="1:13">
      <c r="A1384" s="29"/>
      <c r="B1384" s="30"/>
      <c r="C1384" s="30"/>
      <c r="D1384" s="30" t="s">
        <v>3643</v>
      </c>
      <c r="E1384" s="30" t="s">
        <v>2555</v>
      </c>
      <c r="F1384" s="34" t="str">
        <f>IFERROR(VLOOKUP(VENTAS[[#This Row],[Código del producto Vendido]],STOCK[],5,FALSE),"-")</f>
        <v>Pullover largo unicolor tela traslúcida beige</v>
      </c>
      <c r="G1384" s="34">
        <v>1</v>
      </c>
      <c r="H1384" s="35">
        <v>10</v>
      </c>
      <c r="I1384" s="35">
        <f>VENTAS[[#This Row],[Cantidad]]*VENTAS[[#This Row],[Precio Venta]]</f>
        <v>10</v>
      </c>
      <c r="J1384" s="35">
        <f>IF(VENTAS[[#This Row],[Nombre del Gestor]]&gt;1,VENTAS[[#This Row],[Total]]*10%,0)</f>
        <v>1</v>
      </c>
      <c r="K1384" s="35">
        <f>IFERROR(VLOOKUP(VENTAS[[#This Row],[Código del producto Vendido]],STOCK[],16,FALSE)*VENTAS[[#This Row],[Cantidad]]+VLOOKUP(VENTAS[[#This Row],[Código del producto Vendido]],STOCK[],19,FALSE)*VENTAS[[#This Row],[Cantidad]],VENTAS[[#This Row],[Total]])</f>
        <v>4.32</v>
      </c>
      <c r="L1384" s="35">
        <f>VENTAS[[#This Row],[Total]]-VENTAS[[#This Row],[Comisión 10%]]-VENTAS[[#This Row],[Costo SIN Comision]]</f>
        <v>4.68</v>
      </c>
      <c r="M1384" s="35"/>
    </row>
    <row r="1385" ht="20" customHeight="1" spans="1:13">
      <c r="A1385" s="29"/>
      <c r="B1385" s="30"/>
      <c r="C1385" s="30"/>
      <c r="D1385" s="30" t="s">
        <v>3643</v>
      </c>
      <c r="E1385" s="30" t="s">
        <v>2555</v>
      </c>
      <c r="F1385" s="34" t="str">
        <f>IFERROR(VLOOKUP(VENTAS[[#This Row],[Código del producto Vendido]],STOCK[],5,FALSE),"-")</f>
        <v>Pullover largo unicolor tela traslúcida beige</v>
      </c>
      <c r="G1385" s="34">
        <v>1</v>
      </c>
      <c r="H1385" s="35">
        <v>10</v>
      </c>
      <c r="I1385" s="35">
        <f>VENTAS[[#This Row],[Cantidad]]*VENTAS[[#This Row],[Precio Venta]]</f>
        <v>10</v>
      </c>
      <c r="J1385" s="35">
        <f>IF(VENTAS[[#This Row],[Nombre del Gestor]]&gt;1,VENTAS[[#This Row],[Total]]*10%,0)</f>
        <v>1</v>
      </c>
      <c r="K1385" s="35">
        <f>IFERROR(VLOOKUP(VENTAS[[#This Row],[Código del producto Vendido]],STOCK[],16,FALSE)*VENTAS[[#This Row],[Cantidad]]+VLOOKUP(VENTAS[[#This Row],[Código del producto Vendido]],STOCK[],19,FALSE)*VENTAS[[#This Row],[Cantidad]],VENTAS[[#This Row],[Total]])</f>
        <v>4.32</v>
      </c>
      <c r="L1385" s="35">
        <f>VENTAS[[#This Row],[Total]]-VENTAS[[#This Row],[Comisión 10%]]-VENTAS[[#This Row],[Costo SIN Comision]]</f>
        <v>4.68</v>
      </c>
      <c r="M1385" s="35"/>
    </row>
    <row r="1386" ht="20" customHeight="1" spans="1:13">
      <c r="A1386" s="29">
        <v>45544</v>
      </c>
      <c r="B1386" s="30"/>
      <c r="C1386" s="30"/>
      <c r="D1386" s="30" t="s">
        <v>3506</v>
      </c>
      <c r="E1386" s="30" t="s">
        <v>2554</v>
      </c>
      <c r="F1386" s="34" t="str">
        <f>IFERROR(VLOOKUP(VENTAS[[#This Row],[Código del producto Vendido]],STOCK[],5,FALSE),"-")</f>
        <v>Pullover largo unicolor tela traslúcida blanco</v>
      </c>
      <c r="G1386" s="34">
        <v>1</v>
      </c>
      <c r="H1386" s="35">
        <v>10</v>
      </c>
      <c r="I1386" s="35">
        <f>VENTAS[[#This Row],[Cantidad]]*VENTAS[[#This Row],[Precio Venta]]</f>
        <v>10</v>
      </c>
      <c r="J1386" s="35">
        <f>IF(VENTAS[[#This Row],[Nombre del Gestor]]&gt;1,VENTAS[[#This Row],[Total]]*10%,0)</f>
        <v>1</v>
      </c>
      <c r="K1386" s="35">
        <f>IFERROR(VLOOKUP(VENTAS[[#This Row],[Código del producto Vendido]],STOCK[],16,FALSE)*VENTAS[[#This Row],[Cantidad]]+VLOOKUP(VENTAS[[#This Row],[Código del producto Vendido]],STOCK[],19,FALSE)*VENTAS[[#This Row],[Cantidad]],VENTAS[[#This Row],[Total]])</f>
        <v>4.32</v>
      </c>
      <c r="L1386" s="35">
        <f>VENTAS[[#This Row],[Total]]-VENTAS[[#This Row],[Comisión 10%]]-VENTAS[[#This Row],[Costo SIN Comision]]</f>
        <v>4.68</v>
      </c>
      <c r="M1386" s="35"/>
    </row>
    <row r="1387" ht="20" customHeight="1" spans="1:13">
      <c r="A1387" s="29"/>
      <c r="B1387" s="30"/>
      <c r="C1387" s="30"/>
      <c r="D1387" s="30" t="s">
        <v>3643</v>
      </c>
      <c r="E1387" s="30" t="s">
        <v>2554</v>
      </c>
      <c r="F1387" s="34" t="str">
        <f>IFERROR(VLOOKUP(VENTAS[[#This Row],[Código del producto Vendido]],STOCK[],5,FALSE),"-")</f>
        <v>Pullover largo unicolor tela traslúcida blanco</v>
      </c>
      <c r="G1387" s="34">
        <v>1</v>
      </c>
      <c r="H1387" s="35">
        <v>10</v>
      </c>
      <c r="I1387" s="35">
        <f>VENTAS[[#This Row],[Cantidad]]*VENTAS[[#This Row],[Precio Venta]]</f>
        <v>10</v>
      </c>
      <c r="J1387" s="35">
        <f>IF(VENTAS[[#This Row],[Nombre del Gestor]]&gt;1,VENTAS[[#This Row],[Total]]*10%,0)</f>
        <v>1</v>
      </c>
      <c r="K1387" s="35">
        <f>IFERROR(VLOOKUP(VENTAS[[#This Row],[Código del producto Vendido]],STOCK[],16,FALSE)*VENTAS[[#This Row],[Cantidad]]+VLOOKUP(VENTAS[[#This Row],[Código del producto Vendido]],STOCK[],19,FALSE)*VENTAS[[#This Row],[Cantidad]],VENTAS[[#This Row],[Total]])</f>
        <v>4.32</v>
      </c>
      <c r="L1387" s="35">
        <f>VENTAS[[#This Row],[Total]]-VENTAS[[#This Row],[Comisión 10%]]-VENTAS[[#This Row],[Costo SIN Comision]]</f>
        <v>4.68</v>
      </c>
      <c r="M1387" s="35"/>
    </row>
    <row r="1388" ht="20" customHeight="1" spans="1:13">
      <c r="A1388" s="29"/>
      <c r="B1388" s="30"/>
      <c r="C1388" s="30"/>
      <c r="D1388" s="30" t="s">
        <v>3643</v>
      </c>
      <c r="E1388" s="30" t="s">
        <v>2553</v>
      </c>
      <c r="F1388" s="34" t="str">
        <f>IFERROR(VLOOKUP(VENTAS[[#This Row],[Código del producto Vendido]],STOCK[],5,FALSE),"-")</f>
        <v>Pullover largo unicolor tela traslúcida blanco</v>
      </c>
      <c r="G1388" s="34">
        <v>1</v>
      </c>
      <c r="H1388" s="35">
        <v>10</v>
      </c>
      <c r="I1388" s="35">
        <f>VENTAS[[#This Row],[Cantidad]]*VENTAS[[#This Row],[Precio Venta]]</f>
        <v>10</v>
      </c>
      <c r="J1388" s="35">
        <f>IF(VENTAS[[#This Row],[Nombre del Gestor]]&gt;1,VENTAS[[#This Row],[Total]]*10%,0)</f>
        <v>1</v>
      </c>
      <c r="K1388" s="35">
        <f>IFERROR(VLOOKUP(VENTAS[[#This Row],[Código del producto Vendido]],STOCK[],16,FALSE)*VENTAS[[#This Row],[Cantidad]]+VLOOKUP(VENTAS[[#This Row],[Código del producto Vendido]],STOCK[],19,FALSE)*VENTAS[[#This Row],[Cantidad]],VENTAS[[#This Row],[Total]])</f>
        <v>4.32</v>
      </c>
      <c r="L1388" s="35">
        <f>VENTAS[[#This Row],[Total]]-VENTAS[[#This Row],[Comisión 10%]]-VENTAS[[#This Row],[Costo SIN Comision]]</f>
        <v>4.68</v>
      </c>
      <c r="M1388" s="35"/>
    </row>
    <row r="1389" ht="20" customHeight="1" spans="1:13">
      <c r="A1389" s="29"/>
      <c r="B1389" s="30"/>
      <c r="C1389" s="30"/>
      <c r="D1389" s="30" t="s">
        <v>3643</v>
      </c>
      <c r="E1389" s="30" t="s">
        <v>2551</v>
      </c>
      <c r="F1389" s="34" t="str">
        <f>IFERROR(VLOOKUP(VENTAS[[#This Row],[Código del producto Vendido]],STOCK[],5,FALSE),"-")</f>
        <v>Pullover largo unicolor tela traslúcida blanco</v>
      </c>
      <c r="G1389" s="34">
        <v>1</v>
      </c>
      <c r="H1389" s="35">
        <v>10</v>
      </c>
      <c r="I1389" s="35">
        <f>VENTAS[[#This Row],[Cantidad]]*VENTAS[[#This Row],[Precio Venta]]</f>
        <v>10</v>
      </c>
      <c r="J1389" s="35">
        <f>IF(VENTAS[[#This Row],[Nombre del Gestor]]&gt;1,VENTAS[[#This Row],[Total]]*10%,0)</f>
        <v>1</v>
      </c>
      <c r="K1389" s="35">
        <f>IFERROR(VLOOKUP(VENTAS[[#This Row],[Código del producto Vendido]],STOCK[],16,FALSE)*VENTAS[[#This Row],[Cantidad]]+VLOOKUP(VENTAS[[#This Row],[Código del producto Vendido]],STOCK[],19,FALSE)*VENTAS[[#This Row],[Cantidad]],VENTAS[[#This Row],[Total]])</f>
        <v>4.32</v>
      </c>
      <c r="L1389" s="35">
        <f>VENTAS[[#This Row],[Total]]-VENTAS[[#This Row],[Comisión 10%]]-VENTAS[[#This Row],[Costo SIN Comision]]</f>
        <v>4.68</v>
      </c>
      <c r="M1389" s="35"/>
    </row>
    <row r="1390" ht="20" customHeight="1" spans="1:13">
      <c r="A1390" s="29"/>
      <c r="B1390" s="30"/>
      <c r="C1390" s="30" t="s">
        <v>3574</v>
      </c>
      <c r="D1390" s="30"/>
      <c r="E1390" s="30" t="s">
        <v>2664</v>
      </c>
      <c r="F1390" s="34" t="str">
        <f>IFERROR(VLOOKUP(VENTAS[[#This Row],[Código del producto Vendido]],STOCK[],5,FALSE),"-")</f>
        <v>Pullover carmelita letrero de mariposa algodón PRIMARK</v>
      </c>
      <c r="G1390" s="34">
        <v>1</v>
      </c>
      <c r="H1390" s="35">
        <v>13</v>
      </c>
      <c r="I1390" s="35">
        <f>VENTAS[[#This Row],[Cantidad]]*VENTAS[[#This Row],[Precio Venta]]</f>
        <v>13</v>
      </c>
      <c r="J1390" s="35">
        <f>IF(VENTAS[[#This Row],[Nombre del Gestor]]&gt;1,VENTAS[[#This Row],[Total]]*10%,0)</f>
        <v>0</v>
      </c>
      <c r="K1390" s="35">
        <f>IFERROR(VLOOKUP(VENTAS[[#This Row],[Código del producto Vendido]],STOCK[],16,FALSE)*VENTAS[[#This Row],[Cantidad]]+VLOOKUP(VENTAS[[#This Row],[Código del producto Vendido]],STOCK[],19,FALSE)*VENTAS[[#This Row],[Cantidad]],VENTAS[[#This Row],[Total]])</f>
        <v>7</v>
      </c>
      <c r="L1390" s="35">
        <f>VENTAS[[#This Row],[Total]]-VENTAS[[#This Row],[Comisión 10%]]-VENTAS[[#This Row],[Costo SIN Comision]]</f>
        <v>6</v>
      </c>
      <c r="M1390" s="35"/>
    </row>
    <row r="1391" ht="20" customHeight="1" spans="1:13">
      <c r="A1391" s="29">
        <v>45480</v>
      </c>
      <c r="B1391" s="30"/>
      <c r="C1391" s="30"/>
      <c r="D1391" s="30" t="s">
        <v>3481</v>
      </c>
      <c r="E1391" s="30" t="s">
        <v>1860</v>
      </c>
      <c r="F1391" s="34" t="str">
        <f>IFERROR(VLOOKUP(VENTAS[[#This Row],[Código del producto Vendido]],STOCK[],5,FALSE),"-")</f>
        <v>Bolso Baguette Negro</v>
      </c>
      <c r="G1391" s="34">
        <v>1</v>
      </c>
      <c r="H1391" s="35">
        <v>25</v>
      </c>
      <c r="I1391" s="35">
        <f>VENTAS[[#This Row],[Cantidad]]*VENTAS[[#This Row],[Precio Venta]]</f>
        <v>25</v>
      </c>
      <c r="J1391" s="35">
        <f>IF(VENTAS[[#This Row],[Nombre del Gestor]]&gt;1,VENTAS[[#This Row],[Total]]*10%,0)</f>
        <v>2.5</v>
      </c>
      <c r="K1391" s="35">
        <f>IFERROR(VLOOKUP(VENTAS[[#This Row],[Código del producto Vendido]],STOCK[],16,FALSE)*VENTAS[[#This Row],[Cantidad]]+VLOOKUP(VENTAS[[#This Row],[Código del producto Vendido]],STOCK[],19,FALSE)*VENTAS[[#This Row],[Cantidad]],VENTAS[[#This Row],[Total]])</f>
        <v>15.79</v>
      </c>
      <c r="L1391" s="35">
        <f>VENTAS[[#This Row],[Total]]-VENTAS[[#This Row],[Comisión 10%]]-VENTAS[[#This Row],[Costo SIN Comision]]</f>
        <v>6.71</v>
      </c>
      <c r="M1391" s="35"/>
    </row>
    <row r="1392" ht="20" customHeight="1" spans="1:13">
      <c r="A1392" s="29"/>
      <c r="B1392" s="30"/>
      <c r="C1392" s="30" t="s">
        <v>3449</v>
      </c>
      <c r="D1392" s="30"/>
      <c r="E1392" s="30" t="s">
        <v>476</v>
      </c>
      <c r="F1392" s="34" t="str">
        <f>IFERROR(VLOOKUP(VENTAS[[#This Row],[Código del producto Vendido]],STOCK[],5,FALSE),"-")</f>
        <v>Vestido asimétrico</v>
      </c>
      <c r="G1392" s="34">
        <v>1</v>
      </c>
      <c r="H1392" s="35">
        <v>0</v>
      </c>
      <c r="I1392" s="35">
        <f>VENTAS[[#This Row],[Cantidad]]*VENTAS[[#This Row],[Precio Venta]]</f>
        <v>0</v>
      </c>
      <c r="J1392" s="35">
        <f>IF(VENTAS[[#This Row],[Nombre del Gestor]]&gt;1,VENTAS[[#This Row],[Total]]*10%,0)</f>
        <v>0</v>
      </c>
      <c r="K1392" s="35">
        <f>IFERROR(VLOOKUP(VENTAS[[#This Row],[Código del producto Vendido]],STOCK[],16,FALSE)*VENTAS[[#This Row],[Cantidad]]+VLOOKUP(VENTAS[[#This Row],[Código del producto Vendido]],STOCK[],19,FALSE)*VENTAS[[#This Row],[Cantidad]],VENTAS[[#This Row],[Total]])</f>
        <v>11.3166666666667</v>
      </c>
      <c r="L1392" s="35">
        <f>VENTAS[[#This Row],[Total]]-VENTAS[[#This Row],[Comisión 10%]]-VENTAS[[#This Row],[Costo SIN Comision]]</f>
        <v>-11.3166666666667</v>
      </c>
      <c r="M1392" s="35"/>
    </row>
    <row r="1393" ht="20" customHeight="1" spans="1:13">
      <c r="A1393" s="29"/>
      <c r="B1393" s="30"/>
      <c r="C1393" s="30"/>
      <c r="D1393" s="30" t="s">
        <v>3643</v>
      </c>
      <c r="E1393" s="30" t="s">
        <v>535</v>
      </c>
      <c r="F1393" s="34" t="str">
        <f>IFERROR(VLOOKUP(VENTAS[[#This Row],[Código del producto Vendido]],STOCK[],5,FALSE),"-")</f>
        <v>Gafas minimalista de moda </v>
      </c>
      <c r="G1393" s="34">
        <v>1</v>
      </c>
      <c r="H1393" s="35">
        <v>12</v>
      </c>
      <c r="I1393" s="35">
        <f>VENTAS[[#This Row],[Cantidad]]*VENTAS[[#This Row],[Precio Venta]]</f>
        <v>12</v>
      </c>
      <c r="J1393" s="35">
        <f>IF(VENTAS[[#This Row],[Nombre del Gestor]]&gt;1,VENTAS[[#This Row],[Total]]*10%,0)</f>
        <v>1.2</v>
      </c>
      <c r="K1393" s="35">
        <f>IFERROR(VLOOKUP(VENTAS[[#This Row],[Código del producto Vendido]],STOCK[],16,FALSE)*VENTAS[[#This Row],[Cantidad]]+VLOOKUP(VENTAS[[#This Row],[Código del producto Vendido]],STOCK[],19,FALSE)*VENTAS[[#This Row],[Cantidad]],VENTAS[[#This Row],[Total]])</f>
        <v>5.83055555555556</v>
      </c>
      <c r="L1393" s="35">
        <f>VENTAS[[#This Row],[Total]]-VENTAS[[#This Row],[Comisión 10%]]-VENTAS[[#This Row],[Costo SIN Comision]]</f>
        <v>4.96944444444444</v>
      </c>
      <c r="M1393" s="35"/>
    </row>
    <row r="1394" ht="20" customHeight="1" spans="1:13">
      <c r="A1394" s="29">
        <v>45528</v>
      </c>
      <c r="B1394" s="30"/>
      <c r="C1394" s="30" t="s">
        <v>3587</v>
      </c>
      <c r="D1394" s="30" t="s">
        <v>3506</v>
      </c>
      <c r="E1394" s="30" t="s">
        <v>859</v>
      </c>
      <c r="F1394" s="34" t="str">
        <f>IFERROR(VLOOKUP(VENTAS[[#This Row],[Código del producto Vendido]],STOCK[],5,FALSE),"-")</f>
        <v>Vestido venturina</v>
      </c>
      <c r="G1394" s="34">
        <v>1</v>
      </c>
      <c r="H1394" s="35">
        <v>16</v>
      </c>
      <c r="I1394" s="35">
        <f>VENTAS[[#This Row],[Cantidad]]*VENTAS[[#This Row],[Precio Venta]]</f>
        <v>16</v>
      </c>
      <c r="J1394" s="35">
        <f>IF(VENTAS[[#This Row],[Nombre del Gestor]]&gt;1,VENTAS[[#This Row],[Total]]*10%,0)</f>
        <v>1.6</v>
      </c>
      <c r="K1394" s="35">
        <f>IFERROR(VLOOKUP(VENTAS[[#This Row],[Código del producto Vendido]],STOCK[],16,FALSE)*VENTAS[[#This Row],[Cantidad]]+VLOOKUP(VENTAS[[#This Row],[Código del producto Vendido]],STOCK[],19,FALSE)*VENTAS[[#This Row],[Cantidad]],VENTAS[[#This Row],[Total]])</f>
        <v>9.11111111111111</v>
      </c>
      <c r="L1394" s="35">
        <f>VENTAS[[#This Row],[Total]]-VENTAS[[#This Row],[Comisión 10%]]-VENTAS[[#This Row],[Costo SIN Comision]]</f>
        <v>5.28888888888889</v>
      </c>
      <c r="M1394" s="35"/>
    </row>
    <row r="1395" ht="20" customHeight="1" spans="1:13">
      <c r="A1395" s="29">
        <v>45497</v>
      </c>
      <c r="B1395" s="30"/>
      <c r="C1395" s="30" t="s">
        <v>3644</v>
      </c>
      <c r="D1395" s="30" t="s">
        <v>3506</v>
      </c>
      <c r="E1395" s="30" t="s">
        <v>1712</v>
      </c>
      <c r="F1395" s="34" t="str">
        <f>IFERROR(VLOOKUP(VENTAS[[#This Row],[Código del producto Vendido]],STOCK[],5,FALSE),"-")</f>
        <v>Vestido Asimétrico con cuerdas</v>
      </c>
      <c r="G1395" s="34">
        <v>1</v>
      </c>
      <c r="H1395" s="35">
        <v>13</v>
      </c>
      <c r="I1395" s="35">
        <f>VENTAS[[#This Row],[Cantidad]]*VENTAS[[#This Row],[Precio Venta]]</f>
        <v>13</v>
      </c>
      <c r="J1395" s="35">
        <f>IF(VENTAS[[#This Row],[Nombre del Gestor]]&gt;1,VENTAS[[#This Row],[Total]]*10%,0)</f>
        <v>1.3</v>
      </c>
      <c r="K1395" s="35">
        <f>IFERROR(VLOOKUP(VENTAS[[#This Row],[Código del producto Vendido]],STOCK[],16,FALSE)*VENTAS[[#This Row],[Cantidad]]+VLOOKUP(VENTAS[[#This Row],[Código del producto Vendido]],STOCK[],19,FALSE)*VENTAS[[#This Row],[Cantidad]],VENTAS[[#This Row],[Total]])</f>
        <v>12</v>
      </c>
      <c r="L1395" s="35">
        <f>VENTAS[[#This Row],[Total]]-VENTAS[[#This Row],[Comisión 10%]]-VENTAS[[#This Row],[Costo SIN Comision]]</f>
        <v>-0.300000000000001</v>
      </c>
      <c r="M1395" s="35"/>
    </row>
    <row r="1396" ht="20" customHeight="1" spans="1:13">
      <c r="A1396" s="29">
        <v>45482</v>
      </c>
      <c r="B1396" s="30"/>
      <c r="C1396" s="30"/>
      <c r="D1396" s="30" t="s">
        <v>3643</v>
      </c>
      <c r="E1396" s="30" t="s">
        <v>1712</v>
      </c>
      <c r="F1396" s="34" t="str">
        <f>IFERROR(VLOOKUP(VENTAS[[#This Row],[Código del producto Vendido]],STOCK[],5,FALSE),"-")</f>
        <v>Vestido Asimétrico con cuerdas</v>
      </c>
      <c r="G1396" s="34">
        <v>1</v>
      </c>
      <c r="H1396" s="35">
        <v>13</v>
      </c>
      <c r="I1396" s="35">
        <f>VENTAS[[#This Row],[Cantidad]]*VENTAS[[#This Row],[Precio Venta]]</f>
        <v>13</v>
      </c>
      <c r="J1396" s="35">
        <f>IF(VENTAS[[#This Row],[Nombre del Gestor]]&gt;1,VENTAS[[#This Row],[Total]]*10%,0)</f>
        <v>1.3</v>
      </c>
      <c r="K1396" s="35">
        <f>IFERROR(VLOOKUP(VENTAS[[#This Row],[Código del producto Vendido]],STOCK[],16,FALSE)*VENTAS[[#This Row],[Cantidad]]+VLOOKUP(VENTAS[[#This Row],[Código del producto Vendido]],STOCK[],19,FALSE)*VENTAS[[#This Row],[Cantidad]],VENTAS[[#This Row],[Total]])</f>
        <v>12</v>
      </c>
      <c r="L1396" s="35">
        <f>VENTAS[[#This Row],[Total]]-VENTAS[[#This Row],[Comisión 10%]]-VENTAS[[#This Row],[Costo SIN Comision]]</f>
        <v>-0.300000000000001</v>
      </c>
      <c r="M1396" s="35"/>
    </row>
    <row r="1397" ht="20" customHeight="1" spans="1:13">
      <c r="A1397" s="29">
        <v>45513</v>
      </c>
      <c r="B1397" s="30"/>
      <c r="C1397" s="30" t="s">
        <v>3420</v>
      </c>
      <c r="D1397" s="30" t="s">
        <v>3456</v>
      </c>
      <c r="E1397" s="30" t="s">
        <v>2583</v>
      </c>
      <c r="F1397" s="34" t="str">
        <f>IFERROR(VLOOKUP(VENTAS[[#This Row],[Código del producto Vendido]],STOCK[],5,FALSE),"-")</f>
        <v>Vestido negro espalda cruzada</v>
      </c>
      <c r="G1397" s="34">
        <v>1</v>
      </c>
      <c r="H1397" s="35">
        <v>30</v>
      </c>
      <c r="I1397" s="35">
        <f>VENTAS[[#This Row],[Cantidad]]*VENTAS[[#This Row],[Precio Venta]]</f>
        <v>30</v>
      </c>
      <c r="J1397" s="35">
        <f>IF(VENTAS[[#This Row],[Nombre del Gestor]]&gt;1,VENTAS[[#This Row],[Total]]*10%,0)</f>
        <v>3</v>
      </c>
      <c r="K1397" s="35">
        <f>IFERROR(VLOOKUP(VENTAS[[#This Row],[Código del producto Vendido]],STOCK[],16,FALSE)*VENTAS[[#This Row],[Cantidad]]+VLOOKUP(VENTAS[[#This Row],[Código del producto Vendido]],STOCK[],19,FALSE)*VENTAS[[#This Row],[Cantidad]],VENTAS[[#This Row],[Total]])</f>
        <v>15.44</v>
      </c>
      <c r="L1397" s="35">
        <f>VENTAS[[#This Row],[Total]]-VENTAS[[#This Row],[Comisión 10%]]-VENTAS[[#This Row],[Costo SIN Comision]]</f>
        <v>11.56</v>
      </c>
      <c r="M1397" s="35"/>
    </row>
    <row r="1398" ht="20" customHeight="1" spans="1:13">
      <c r="A1398" s="29"/>
      <c r="B1398" s="30"/>
      <c r="C1398" s="30"/>
      <c r="D1398" s="30" t="s">
        <v>3643</v>
      </c>
      <c r="E1398" s="30" t="s">
        <v>2583</v>
      </c>
      <c r="F1398" s="34" t="str">
        <f>IFERROR(VLOOKUP(VENTAS[[#This Row],[Código del producto Vendido]],STOCK[],5,FALSE),"-")</f>
        <v>Vestido negro espalda cruzada</v>
      </c>
      <c r="G1398" s="34">
        <v>1</v>
      </c>
      <c r="H1398" s="35">
        <v>30</v>
      </c>
      <c r="I1398" s="35">
        <f>VENTAS[[#This Row],[Cantidad]]*VENTAS[[#This Row],[Precio Venta]]</f>
        <v>30</v>
      </c>
      <c r="J1398" s="35">
        <f>IF(VENTAS[[#This Row],[Nombre del Gestor]]&gt;1,VENTAS[[#This Row],[Total]]*10%,0)</f>
        <v>3</v>
      </c>
      <c r="K1398" s="35">
        <f>IFERROR(VLOOKUP(VENTAS[[#This Row],[Código del producto Vendido]],STOCK[],16,FALSE)*VENTAS[[#This Row],[Cantidad]]+VLOOKUP(VENTAS[[#This Row],[Código del producto Vendido]],STOCK[],19,FALSE)*VENTAS[[#This Row],[Cantidad]],VENTAS[[#This Row],[Total]])</f>
        <v>15.44</v>
      </c>
      <c r="L1398" s="35">
        <f>VENTAS[[#This Row],[Total]]-VENTAS[[#This Row],[Comisión 10%]]-VENTAS[[#This Row],[Costo SIN Comision]]</f>
        <v>11.56</v>
      </c>
      <c r="M1398" s="35"/>
    </row>
    <row r="1399" ht="20" customHeight="1" spans="1:13">
      <c r="A1399" s="29">
        <v>45534</v>
      </c>
      <c r="B1399" s="30"/>
      <c r="C1399" s="30"/>
      <c r="D1399" s="30" t="s">
        <v>3462</v>
      </c>
      <c r="E1399" s="30" t="s">
        <v>2590</v>
      </c>
      <c r="F1399" s="34" t="str">
        <f>IFERROR(VLOOKUP(VENTAS[[#This Row],[Código del producto Vendido]],STOCK[],5,FALSE),"-")</f>
        <v>Vestido crochet playero de tirantes</v>
      </c>
      <c r="G1399" s="34">
        <v>1</v>
      </c>
      <c r="H1399" s="35">
        <v>30</v>
      </c>
      <c r="I1399" s="35">
        <f>VENTAS[[#This Row],[Cantidad]]*VENTAS[[#This Row],[Precio Venta]]</f>
        <v>30</v>
      </c>
      <c r="J1399" s="35">
        <f>IF(VENTAS[[#This Row],[Nombre del Gestor]]&gt;1,VENTAS[[#This Row],[Total]]*10%,0)</f>
        <v>3</v>
      </c>
      <c r="K1399" s="35">
        <f>IFERROR(VLOOKUP(VENTAS[[#This Row],[Código del producto Vendido]],STOCK[],16,FALSE)*VENTAS[[#This Row],[Cantidad]]+VLOOKUP(VENTAS[[#This Row],[Código del producto Vendido]],STOCK[],19,FALSE)*VENTAS[[#This Row],[Cantidad]],VENTAS[[#This Row],[Total]])</f>
        <v>13.56</v>
      </c>
      <c r="L1399" s="35">
        <f>VENTAS[[#This Row],[Total]]-VENTAS[[#This Row],[Comisión 10%]]-VENTAS[[#This Row],[Costo SIN Comision]]</f>
        <v>13.44</v>
      </c>
      <c r="M1399" s="35"/>
    </row>
    <row r="1400" ht="20" customHeight="1" spans="1:13">
      <c r="A1400" s="29"/>
      <c r="B1400" s="30"/>
      <c r="C1400" s="30"/>
      <c r="D1400" s="30" t="s">
        <v>3643</v>
      </c>
      <c r="E1400" s="30" t="s">
        <v>1709</v>
      </c>
      <c r="F1400" s="34" t="str">
        <f>IFERROR(VLOOKUP(VENTAS[[#This Row],[Código del producto Vendido]],STOCK[],5,FALSE),"-")</f>
        <v>Vestido Asimétrico con cuerdas</v>
      </c>
      <c r="G1400" s="34">
        <v>1</v>
      </c>
      <c r="H1400" s="35">
        <v>13</v>
      </c>
      <c r="I1400" s="35">
        <f>VENTAS[[#This Row],[Cantidad]]*VENTAS[[#This Row],[Precio Venta]]</f>
        <v>13</v>
      </c>
      <c r="J1400" s="35">
        <f>IF(VENTAS[[#This Row],[Nombre del Gestor]]&gt;1,VENTAS[[#This Row],[Total]]*10%,0)</f>
        <v>1.3</v>
      </c>
      <c r="K1400" s="35">
        <f>IFERROR(VLOOKUP(VENTAS[[#This Row],[Código del producto Vendido]],STOCK[],16,FALSE)*VENTAS[[#This Row],[Cantidad]]+VLOOKUP(VENTAS[[#This Row],[Código del producto Vendido]],STOCK[],19,FALSE)*VENTAS[[#This Row],[Cantidad]],VENTAS[[#This Row],[Total]])</f>
        <v>12</v>
      </c>
      <c r="L1400" s="35">
        <f>VENTAS[[#This Row],[Total]]-VENTAS[[#This Row],[Comisión 10%]]-VENTAS[[#This Row],[Costo SIN Comision]]</f>
        <v>-0.300000000000001</v>
      </c>
      <c r="M1400" s="35"/>
    </row>
    <row r="1401" ht="20" customHeight="1" spans="1:13">
      <c r="A1401" s="29"/>
      <c r="B1401" s="30"/>
      <c r="C1401" s="30"/>
      <c r="D1401" s="30" t="s">
        <v>3643</v>
      </c>
      <c r="E1401" s="30" t="s">
        <v>1709</v>
      </c>
      <c r="F1401" s="34" t="str">
        <f>IFERROR(VLOOKUP(VENTAS[[#This Row],[Código del producto Vendido]],STOCK[],5,FALSE),"-")</f>
        <v>Vestido Asimétrico con cuerdas</v>
      </c>
      <c r="G1401" s="34">
        <v>1</v>
      </c>
      <c r="H1401" s="35">
        <v>13</v>
      </c>
      <c r="I1401" s="35">
        <f>VENTAS[[#This Row],[Cantidad]]*VENTAS[[#This Row],[Precio Venta]]</f>
        <v>13</v>
      </c>
      <c r="J1401" s="35">
        <f>IF(VENTAS[[#This Row],[Nombre del Gestor]]&gt;1,VENTAS[[#This Row],[Total]]*10%,0)</f>
        <v>1.3</v>
      </c>
      <c r="K1401" s="35">
        <f>IFERROR(VLOOKUP(VENTAS[[#This Row],[Código del producto Vendido]],STOCK[],16,FALSE)*VENTAS[[#This Row],[Cantidad]]+VLOOKUP(VENTAS[[#This Row],[Código del producto Vendido]],STOCK[],19,FALSE)*VENTAS[[#This Row],[Cantidad]],VENTAS[[#This Row],[Total]])</f>
        <v>12</v>
      </c>
      <c r="L1401" s="35">
        <f>VENTAS[[#This Row],[Total]]-VENTAS[[#This Row],[Comisión 10%]]-VENTAS[[#This Row],[Costo SIN Comision]]</f>
        <v>-0.300000000000001</v>
      </c>
      <c r="M1401" s="35"/>
    </row>
    <row r="1402" ht="20" customHeight="1" spans="1:13">
      <c r="A1402" s="29"/>
      <c r="B1402" s="30"/>
      <c r="C1402" s="30"/>
      <c r="D1402" s="30" t="s">
        <v>3643</v>
      </c>
      <c r="E1402" s="30" t="s">
        <v>2586</v>
      </c>
      <c r="F1402" s="34" t="str">
        <f>IFERROR(VLOOKUP(VENTAS[[#This Row],[Código del producto Vendido]],STOCK[],5,FALSE),"-")</f>
        <v>Vestido crochet Playero espalda descubierta</v>
      </c>
      <c r="G1402" s="34">
        <v>1</v>
      </c>
      <c r="H1402" s="35">
        <v>30</v>
      </c>
      <c r="I1402" s="35">
        <f>VENTAS[[#This Row],[Cantidad]]*VENTAS[[#This Row],[Precio Venta]]</f>
        <v>30</v>
      </c>
      <c r="J1402" s="35">
        <f>IF(VENTAS[[#This Row],[Nombre del Gestor]]&gt;1,VENTAS[[#This Row],[Total]]*10%,0)</f>
        <v>3</v>
      </c>
      <c r="K1402" s="35">
        <f>IFERROR(VLOOKUP(VENTAS[[#This Row],[Código del producto Vendido]],STOCK[],16,FALSE)*VENTAS[[#This Row],[Cantidad]]+VLOOKUP(VENTAS[[#This Row],[Código del producto Vendido]],STOCK[],19,FALSE)*VENTAS[[#This Row],[Cantidad]],VENTAS[[#This Row],[Total]])</f>
        <v>14.02</v>
      </c>
      <c r="L1402" s="35">
        <f>VENTAS[[#This Row],[Total]]-VENTAS[[#This Row],[Comisión 10%]]-VENTAS[[#This Row],[Costo SIN Comision]]</f>
        <v>12.98</v>
      </c>
      <c r="M1402" s="35"/>
    </row>
    <row r="1403" ht="20" customHeight="1" spans="1:13">
      <c r="A1403" s="29"/>
      <c r="B1403" s="30"/>
      <c r="C1403" s="30"/>
      <c r="D1403" s="30" t="s">
        <v>3643</v>
      </c>
      <c r="E1403" s="30" t="s">
        <v>716</v>
      </c>
      <c r="F1403" s="34" t="str">
        <f>IFERROR(VLOOKUP(VENTAS[[#This Row],[Código del producto Vendido]],STOCK[],5,FALSE),"-")</f>
        <v>Vestido bodycon</v>
      </c>
      <c r="G1403" s="34">
        <v>1</v>
      </c>
      <c r="H1403" s="35">
        <v>10</v>
      </c>
      <c r="I1403" s="35">
        <f>VENTAS[[#This Row],[Cantidad]]*VENTAS[[#This Row],[Precio Venta]]</f>
        <v>10</v>
      </c>
      <c r="J1403" s="35">
        <f>IF(VENTAS[[#This Row],[Nombre del Gestor]]&gt;1,VENTAS[[#This Row],[Total]]*10%,0)</f>
        <v>1</v>
      </c>
      <c r="K1403" s="35">
        <f>IFERROR(VLOOKUP(VENTAS[[#This Row],[Código del producto Vendido]],STOCK[],16,FALSE)*VENTAS[[#This Row],[Cantidad]]+VLOOKUP(VENTAS[[#This Row],[Código del producto Vendido]],STOCK[],19,FALSE)*VENTAS[[#This Row],[Cantidad]],VENTAS[[#This Row],[Total]])</f>
        <v>5.72222222222222</v>
      </c>
      <c r="L1403" s="35">
        <f>VENTAS[[#This Row],[Total]]-VENTAS[[#This Row],[Comisión 10%]]-VENTAS[[#This Row],[Costo SIN Comision]]</f>
        <v>3.27777777777778</v>
      </c>
      <c r="M1403" s="35"/>
    </row>
    <row r="1404" ht="20" customHeight="1" spans="1:13">
      <c r="A1404" s="29"/>
      <c r="B1404" s="30"/>
      <c r="C1404" s="30"/>
      <c r="D1404" s="30" t="s">
        <v>3643</v>
      </c>
      <c r="E1404" s="30" t="s">
        <v>716</v>
      </c>
      <c r="F1404" s="34" t="str">
        <f>IFERROR(VLOOKUP(VENTAS[[#This Row],[Código del producto Vendido]],STOCK[],5,FALSE),"-")</f>
        <v>Vestido bodycon</v>
      </c>
      <c r="G1404" s="34">
        <v>1</v>
      </c>
      <c r="H1404" s="35">
        <v>10</v>
      </c>
      <c r="I1404" s="35">
        <f>VENTAS[[#This Row],[Cantidad]]*VENTAS[[#This Row],[Precio Venta]]</f>
        <v>10</v>
      </c>
      <c r="J1404" s="35">
        <f>IF(VENTAS[[#This Row],[Nombre del Gestor]]&gt;1,VENTAS[[#This Row],[Total]]*10%,0)</f>
        <v>1</v>
      </c>
      <c r="K1404" s="35">
        <f>IFERROR(VLOOKUP(VENTAS[[#This Row],[Código del producto Vendido]],STOCK[],16,FALSE)*VENTAS[[#This Row],[Cantidad]]+VLOOKUP(VENTAS[[#This Row],[Código del producto Vendido]],STOCK[],19,FALSE)*VENTAS[[#This Row],[Cantidad]],VENTAS[[#This Row],[Total]])</f>
        <v>5.72222222222222</v>
      </c>
      <c r="L1404" s="35">
        <f>VENTAS[[#This Row],[Total]]-VENTAS[[#This Row],[Comisión 10%]]-VENTAS[[#This Row],[Costo SIN Comision]]</f>
        <v>3.27777777777778</v>
      </c>
      <c r="M1404" s="35"/>
    </row>
    <row r="1405" ht="20" customHeight="1" spans="1:13">
      <c r="A1405" s="29"/>
      <c r="B1405" s="30"/>
      <c r="C1405" s="30"/>
      <c r="D1405" s="30" t="s">
        <v>3643</v>
      </c>
      <c r="E1405" s="30" t="s">
        <v>2571</v>
      </c>
      <c r="F1405" s="34" t="str">
        <f>IFERROR(VLOOKUP(VENTAS[[#This Row],[Código del producto Vendido]],STOCK[],5,FALSE),"-")</f>
        <v>Vestido Largo con cinturón fruncido</v>
      </c>
      <c r="G1405" s="34">
        <v>1</v>
      </c>
      <c r="H1405" s="35">
        <v>30</v>
      </c>
      <c r="I1405" s="35">
        <f>VENTAS[[#This Row],[Cantidad]]*VENTAS[[#This Row],[Precio Venta]]</f>
        <v>30</v>
      </c>
      <c r="J1405" s="35">
        <f>IF(VENTAS[[#This Row],[Nombre del Gestor]]&gt;1,VENTAS[[#This Row],[Total]]*10%,0)</f>
        <v>3</v>
      </c>
      <c r="K1405" s="35">
        <f>IFERROR(VLOOKUP(VENTAS[[#This Row],[Código del producto Vendido]],STOCK[],16,FALSE)*VENTAS[[#This Row],[Cantidad]]+VLOOKUP(VENTAS[[#This Row],[Código del producto Vendido]],STOCK[],19,FALSE)*VENTAS[[#This Row],[Cantidad]],VENTAS[[#This Row],[Total]])</f>
        <v>13.66</v>
      </c>
      <c r="L1405" s="35">
        <f>VENTAS[[#This Row],[Total]]-VENTAS[[#This Row],[Comisión 10%]]-VENTAS[[#This Row],[Costo SIN Comision]]</f>
        <v>13.34</v>
      </c>
      <c r="M1405" s="35"/>
    </row>
    <row r="1406" ht="20" customHeight="1" spans="1:13">
      <c r="A1406" s="29"/>
      <c r="B1406" s="30"/>
      <c r="C1406" s="30"/>
      <c r="D1406" s="30"/>
      <c r="E1406" s="30" t="s">
        <v>2589</v>
      </c>
      <c r="F1406" s="34" t="str">
        <f>IFERROR(VLOOKUP(VENTAS[[#This Row],[Código del producto Vendido]],STOCK[],5,FALSE),"-")</f>
        <v>Vestido crochet Playero espalda descubierta</v>
      </c>
      <c r="G1406" s="34">
        <v>1</v>
      </c>
      <c r="H1406" s="35">
        <v>30</v>
      </c>
      <c r="I1406" s="35">
        <f>VENTAS[[#This Row],[Cantidad]]*VENTAS[[#This Row],[Precio Venta]]</f>
        <v>30</v>
      </c>
      <c r="J1406" s="35">
        <f>IF(VENTAS[[#This Row],[Nombre del Gestor]]&gt;1,VENTAS[[#This Row],[Total]]*10%,0)</f>
        <v>0</v>
      </c>
      <c r="K1406" s="35">
        <f>IFERROR(VLOOKUP(VENTAS[[#This Row],[Código del producto Vendido]],STOCK[],16,FALSE)*VENTAS[[#This Row],[Cantidad]]+VLOOKUP(VENTAS[[#This Row],[Código del producto Vendido]],STOCK[],19,FALSE)*VENTAS[[#This Row],[Cantidad]],VENTAS[[#This Row],[Total]])</f>
        <v>14.02</v>
      </c>
      <c r="L1406" s="35">
        <f>VENTAS[[#This Row],[Total]]-VENTAS[[#This Row],[Comisión 10%]]-VENTAS[[#This Row],[Costo SIN Comision]]</f>
        <v>15.98</v>
      </c>
      <c r="M1406" s="35"/>
    </row>
    <row r="1407" ht="20" customHeight="1" spans="1:13">
      <c r="A1407" s="29">
        <v>45534</v>
      </c>
      <c r="B1407" s="30"/>
      <c r="C1407" s="30"/>
      <c r="D1407" s="30" t="s">
        <v>3506</v>
      </c>
      <c r="E1407" s="30" t="s">
        <v>2097</v>
      </c>
      <c r="F1407" s="34" t="str">
        <f>IFERROR(VLOOKUP(VENTAS[[#This Row],[Código del producto Vendido]],STOCK[],5,FALSE),"-")</f>
        <v>Vestido acanalado de manga larga</v>
      </c>
      <c r="G1407" s="34">
        <v>1</v>
      </c>
      <c r="H1407" s="35">
        <v>25</v>
      </c>
      <c r="I1407" s="35">
        <f>VENTAS[[#This Row],[Cantidad]]*VENTAS[[#This Row],[Precio Venta]]</f>
        <v>25</v>
      </c>
      <c r="J1407" s="35">
        <f>IF(VENTAS[[#This Row],[Nombre del Gestor]]&gt;1,VENTAS[[#This Row],[Total]]*10%,0)</f>
        <v>2.5</v>
      </c>
      <c r="K1407" s="35">
        <f>IFERROR(VLOOKUP(VENTAS[[#This Row],[Código del producto Vendido]],STOCK[],16,FALSE)*VENTAS[[#This Row],[Cantidad]]+VLOOKUP(VENTAS[[#This Row],[Código del producto Vendido]],STOCK[],19,FALSE)*VENTAS[[#This Row],[Cantidad]],VENTAS[[#This Row],[Total]])</f>
        <v>18.1</v>
      </c>
      <c r="L1407" s="35">
        <f>VENTAS[[#This Row],[Total]]-VENTAS[[#This Row],[Comisión 10%]]-VENTAS[[#This Row],[Costo SIN Comision]]</f>
        <v>4.4</v>
      </c>
      <c r="M1407" s="35"/>
    </row>
    <row r="1408" ht="20" customHeight="1" spans="1:13">
      <c r="A1408" s="29"/>
      <c r="B1408" s="30"/>
      <c r="C1408" s="30" t="s">
        <v>3574</v>
      </c>
      <c r="D1408" s="30"/>
      <c r="E1408" s="30" t="s">
        <v>2662</v>
      </c>
      <c r="F1408" s="34" t="str">
        <f>IFERROR(VLOOKUP(VENTAS[[#This Row],[Código del producto Vendido]],STOCK[],5,FALSE),"-")</f>
        <v>Pullover mariposa multicolor algodón PRIMARK</v>
      </c>
      <c r="G1408" s="34">
        <v>1</v>
      </c>
      <c r="H1408" s="35">
        <v>13</v>
      </c>
      <c r="I1408" s="35">
        <f>VENTAS[[#This Row],[Cantidad]]*VENTAS[[#This Row],[Precio Venta]]</f>
        <v>13</v>
      </c>
      <c r="J1408" s="35">
        <f>IF(VENTAS[[#This Row],[Nombre del Gestor]]&gt;1,VENTAS[[#This Row],[Total]]*10%,0)</f>
        <v>0</v>
      </c>
      <c r="K1408" s="35">
        <f>IFERROR(VLOOKUP(VENTAS[[#This Row],[Código del producto Vendido]],STOCK[],16,FALSE)*VENTAS[[#This Row],[Cantidad]]+VLOOKUP(VENTAS[[#This Row],[Código del producto Vendido]],STOCK[],19,FALSE)*VENTAS[[#This Row],[Cantidad]],VENTAS[[#This Row],[Total]])</f>
        <v>7</v>
      </c>
      <c r="L1408" s="35">
        <f>VENTAS[[#This Row],[Total]]-VENTAS[[#This Row],[Comisión 10%]]-VENTAS[[#This Row],[Costo SIN Comision]]</f>
        <v>6</v>
      </c>
      <c r="M1408" s="35"/>
    </row>
    <row r="1409" ht="20" customHeight="1" spans="1:13">
      <c r="A1409" s="29">
        <v>45531</v>
      </c>
      <c r="B1409" s="30"/>
      <c r="C1409" s="30" t="s">
        <v>3645</v>
      </c>
      <c r="D1409" s="30" t="s">
        <v>3540</v>
      </c>
      <c r="E1409" s="30" t="s">
        <v>2705</v>
      </c>
      <c r="F1409" s="34" t="str">
        <f>IFERROR(VLOOKUP(VENTAS[[#This Row],[Código del producto Vendido]],STOCK[],5,FALSE),"-")</f>
        <v>Splash de Victoria Secret (Original) Pomegranate &amp; Lotus</v>
      </c>
      <c r="G1409" s="34">
        <v>1</v>
      </c>
      <c r="H1409" s="35">
        <v>22</v>
      </c>
      <c r="I1409" s="35">
        <f>VENTAS[[#This Row],[Cantidad]]*VENTAS[[#This Row],[Precio Venta]]</f>
        <v>22</v>
      </c>
      <c r="J1409" s="35">
        <f>IF(VENTAS[[#This Row],[Nombre del Gestor]]&gt;1,VENTAS[[#This Row],[Total]]*10%,0)</f>
        <v>2.2</v>
      </c>
      <c r="K1409" s="35">
        <f>IFERROR(VLOOKUP(VENTAS[[#This Row],[Código del producto Vendido]],STOCK[],16,FALSE)*VENTAS[[#This Row],[Cantidad]]+VLOOKUP(VENTAS[[#This Row],[Código del producto Vendido]],STOCK[],19,FALSE)*VENTAS[[#This Row],[Cantidad]],VENTAS[[#This Row],[Total]])</f>
        <v>9.22</v>
      </c>
      <c r="L1409" s="35">
        <f>VENTAS[[#This Row],[Total]]-VENTAS[[#This Row],[Comisión 10%]]-VENTAS[[#This Row],[Costo SIN Comision]]</f>
        <v>10.58</v>
      </c>
      <c r="M1409" s="35"/>
    </row>
    <row r="1410" ht="20" customHeight="1" spans="1:13">
      <c r="A1410" s="29">
        <v>45533</v>
      </c>
      <c r="B1410" s="29"/>
      <c r="C1410" s="30" t="s">
        <v>3646</v>
      </c>
      <c r="D1410" s="30" t="s">
        <v>3506</v>
      </c>
      <c r="E1410" s="30" t="s">
        <v>1326</v>
      </c>
      <c r="F1410" s="34" t="str">
        <f>IFERROR(VLOOKUP(VENTAS[[#This Row],[Código del producto Vendido]],STOCK[],5,FALSE),"-")</f>
        <v>Blusa de manga acampanada </v>
      </c>
      <c r="G1410" s="34">
        <v>1</v>
      </c>
      <c r="H1410" s="35">
        <v>17</v>
      </c>
      <c r="I1410" s="35">
        <f>VENTAS[[#This Row],[Cantidad]]*VENTAS[[#This Row],[Precio Venta]]</f>
        <v>17</v>
      </c>
      <c r="J1410" s="35">
        <f>IF(VENTAS[[#This Row],[Nombre del Gestor]]&gt;1,VENTAS[[#This Row],[Total]]*10%,0)</f>
        <v>1.7</v>
      </c>
      <c r="K1410" s="35">
        <f>IFERROR(VLOOKUP(VENTAS[[#This Row],[Código del producto Vendido]],STOCK[],16,FALSE)*VENTAS[[#This Row],[Cantidad]]+VLOOKUP(VENTAS[[#This Row],[Código del producto Vendido]],STOCK[],19,FALSE)*VENTAS[[#This Row],[Cantidad]],VENTAS[[#This Row],[Total]])</f>
        <v>13.24</v>
      </c>
      <c r="L1410" s="35">
        <f>VENTAS[[#This Row],[Total]]-VENTAS[[#This Row],[Comisión 10%]]-VENTAS[[#This Row],[Costo SIN Comision]]</f>
        <v>2.06</v>
      </c>
      <c r="M1410" s="35"/>
    </row>
    <row r="1411" ht="20" customHeight="1" spans="1:13">
      <c r="A1411" s="29"/>
      <c r="B1411" s="30"/>
      <c r="C1411" s="30" t="s">
        <v>3449</v>
      </c>
      <c r="D1411" s="30"/>
      <c r="E1411" s="30" t="s">
        <v>1503</v>
      </c>
      <c r="F1411" s="34" t="str">
        <f>IFERROR(VLOOKUP(VENTAS[[#This Row],[Código del producto Vendido]],STOCK[],5,FALSE),"-")</f>
        <v>Pullover Dazy cuello redondo Blanco</v>
      </c>
      <c r="G1411" s="34">
        <v>1</v>
      </c>
      <c r="H1411" s="35">
        <v>13</v>
      </c>
      <c r="I1411" s="35">
        <f>VENTAS[[#This Row],[Cantidad]]*VENTAS[[#This Row],[Precio Venta]]</f>
        <v>13</v>
      </c>
      <c r="J1411" s="35">
        <f>IF(VENTAS[[#This Row],[Nombre del Gestor]]&gt;1,VENTAS[[#This Row],[Total]]*10%,0)</f>
        <v>0</v>
      </c>
      <c r="K1411" s="35">
        <f>IFERROR(VLOOKUP(VENTAS[[#This Row],[Código del producto Vendido]],STOCK[],16,FALSE)*VENTAS[[#This Row],[Cantidad]]+VLOOKUP(VENTAS[[#This Row],[Código del producto Vendido]],STOCK[],19,FALSE)*VENTAS[[#This Row],[Cantidad]],VENTAS[[#This Row],[Total]])</f>
        <v>7.5</v>
      </c>
      <c r="L1411" s="35">
        <f>VENTAS[[#This Row],[Total]]-VENTAS[[#This Row],[Comisión 10%]]-VENTAS[[#This Row],[Costo SIN Comision]]</f>
        <v>5.5</v>
      </c>
      <c r="M1411" s="35"/>
    </row>
    <row r="1412" ht="20" customHeight="1" spans="1:13">
      <c r="A1412" s="29">
        <v>45533</v>
      </c>
      <c r="B1412" s="30"/>
      <c r="C1412" s="30" t="s">
        <v>3646</v>
      </c>
      <c r="D1412" s="30" t="s">
        <v>3506</v>
      </c>
      <c r="E1412" s="30" t="s">
        <v>1727</v>
      </c>
      <c r="F1412" s="34" t="str">
        <f>IFERROR(VLOOKUP(VENTAS[[#This Row],[Código del producto Vendido]],STOCK[],5,FALSE),"-")</f>
        <v>Chaleco de traje Crema</v>
      </c>
      <c r="G1412" s="34">
        <v>1</v>
      </c>
      <c r="H1412" s="35">
        <v>25</v>
      </c>
      <c r="I1412" s="35">
        <f>VENTAS[[#This Row],[Cantidad]]*VENTAS[[#This Row],[Precio Venta]]</f>
        <v>25</v>
      </c>
      <c r="J1412" s="35">
        <f>IF(VENTAS[[#This Row],[Nombre del Gestor]]&gt;1,VENTAS[[#This Row],[Total]]*10%,0)</f>
        <v>2.5</v>
      </c>
      <c r="K1412" s="35">
        <f>IFERROR(VLOOKUP(VENTAS[[#This Row],[Código del producto Vendido]],STOCK[],16,FALSE)*VENTAS[[#This Row],[Cantidad]]+VLOOKUP(VENTAS[[#This Row],[Código del producto Vendido]],STOCK[],19,FALSE)*VENTAS[[#This Row],[Cantidad]],VENTAS[[#This Row],[Total]])</f>
        <v>17.9411764705882</v>
      </c>
      <c r="L1412" s="35">
        <f>VENTAS[[#This Row],[Total]]-VENTAS[[#This Row],[Comisión 10%]]-VENTAS[[#This Row],[Costo SIN Comision]]</f>
        <v>4.5588235294118</v>
      </c>
      <c r="M1412" s="35"/>
    </row>
    <row r="1413" ht="20" customHeight="1" spans="1:13">
      <c r="A1413" s="29">
        <v>45536</v>
      </c>
      <c r="B1413" s="30"/>
      <c r="C1413" s="30"/>
      <c r="D1413" s="30" t="s">
        <v>3481</v>
      </c>
      <c r="E1413" s="30" t="s">
        <v>2450</v>
      </c>
      <c r="F1413" s="34" t="str">
        <f>IFERROR(VLOOKUP(VENTAS[[#This Row],[Código del producto Vendido]],STOCK[],5,FALSE),"-")</f>
        <v>Sandalias carmelitas de moda con correa de velcro</v>
      </c>
      <c r="G1413" s="34">
        <v>1</v>
      </c>
      <c r="H1413" s="35">
        <v>35</v>
      </c>
      <c r="I1413" s="35">
        <f>VENTAS[[#This Row],[Cantidad]]*VENTAS[[#This Row],[Precio Venta]]</f>
        <v>35</v>
      </c>
      <c r="J1413" s="35">
        <f>IF(VENTAS[[#This Row],[Nombre del Gestor]]&gt;1,VENTAS[[#This Row],[Total]]*10%,0)</f>
        <v>3.5</v>
      </c>
      <c r="K1413" s="35">
        <f>IFERROR(VLOOKUP(VENTAS[[#This Row],[Código del producto Vendido]],STOCK[],16,FALSE)*VENTAS[[#This Row],[Cantidad]]+VLOOKUP(VENTAS[[#This Row],[Código del producto Vendido]],STOCK[],19,FALSE)*VENTAS[[#This Row],[Cantidad]],VENTAS[[#This Row],[Total]])</f>
        <v>19.47</v>
      </c>
      <c r="L1413" s="35">
        <f>VENTAS[[#This Row],[Total]]-VENTAS[[#This Row],[Comisión 10%]]-VENTAS[[#This Row],[Costo SIN Comision]]</f>
        <v>12.03</v>
      </c>
      <c r="M1413" s="35"/>
    </row>
    <row r="1414" ht="20" customHeight="1" spans="1:13">
      <c r="A1414" s="29">
        <v>45536</v>
      </c>
      <c r="B1414" s="30"/>
      <c r="C1414" s="30"/>
      <c r="D1414" s="30" t="s">
        <v>3315</v>
      </c>
      <c r="E1414" s="30" t="s">
        <v>1438</v>
      </c>
      <c r="F1414" s="34" t="str">
        <f>IFERROR(VLOOKUP(VENTAS[[#This Row],[Código del producto Vendido]],STOCK[],5,FALSE),"-")</f>
        <v>Sandalias negras acolchadas Marca F21</v>
      </c>
      <c r="G1414" s="34">
        <v>1</v>
      </c>
      <c r="H1414" s="35">
        <v>27</v>
      </c>
      <c r="I1414" s="35">
        <f>VENTAS[[#This Row],[Cantidad]]*VENTAS[[#This Row],[Precio Venta]]</f>
        <v>27</v>
      </c>
      <c r="J1414" s="35">
        <f>IF(VENTAS[[#This Row],[Nombre del Gestor]]&gt;1,VENTAS[[#This Row],[Total]]*10%,0)</f>
        <v>2.7</v>
      </c>
      <c r="K1414" s="35">
        <f>IFERROR(VLOOKUP(VENTAS[[#This Row],[Código del producto Vendido]],STOCK[],16,FALSE)*VENTAS[[#This Row],[Cantidad]]+VLOOKUP(VENTAS[[#This Row],[Código del producto Vendido]],STOCK[],19,FALSE)*VENTAS[[#This Row],[Cantidad]],VENTAS[[#This Row],[Total]])</f>
        <v>12.49</v>
      </c>
      <c r="L1414" s="35">
        <f>VENTAS[[#This Row],[Total]]-VENTAS[[#This Row],[Comisión 10%]]-VENTAS[[#This Row],[Costo SIN Comision]]</f>
        <v>11.81</v>
      </c>
      <c r="M1414" s="35"/>
    </row>
    <row r="1415" ht="20" customHeight="1" spans="1:13">
      <c r="A1415" s="29">
        <v>45536</v>
      </c>
      <c r="B1415" s="30"/>
      <c r="C1415" s="30" t="s">
        <v>3518</v>
      </c>
      <c r="D1415" s="30" t="s">
        <v>3540</v>
      </c>
      <c r="E1415" s="30" t="s">
        <v>2700</v>
      </c>
      <c r="F1415" s="34" t="str">
        <f>IFERROR(VLOOKUP(VENTAS[[#This Row],[Código del producto Vendido]],STOCK[],5,FALSE),"-")</f>
        <v> Splash de Victoria Secret (Original) Strawberries &amp; Champagne</v>
      </c>
      <c r="G1415" s="34">
        <v>1</v>
      </c>
      <c r="H1415" s="35">
        <v>22</v>
      </c>
      <c r="I1415" s="35">
        <f>VENTAS[[#This Row],[Cantidad]]*VENTAS[[#This Row],[Precio Venta]]</f>
        <v>22</v>
      </c>
      <c r="J1415" s="35">
        <f>IF(VENTAS[[#This Row],[Nombre del Gestor]]&gt;1,VENTAS[[#This Row],[Total]]*10%,0)</f>
        <v>2.2</v>
      </c>
      <c r="K1415" s="35">
        <f>IFERROR(VLOOKUP(VENTAS[[#This Row],[Código del producto Vendido]],STOCK[],16,FALSE)*VENTAS[[#This Row],[Cantidad]]+VLOOKUP(VENTAS[[#This Row],[Código del producto Vendido]],STOCK[],19,FALSE)*VENTAS[[#This Row],[Cantidad]],VENTAS[[#This Row],[Total]])</f>
        <v>9.22</v>
      </c>
      <c r="L1415" s="35">
        <f>VENTAS[[#This Row],[Total]]-VENTAS[[#This Row],[Comisión 10%]]-VENTAS[[#This Row],[Costo SIN Comision]]</f>
        <v>10.58</v>
      </c>
      <c r="M1415" s="35"/>
    </row>
    <row r="1416" ht="20" customHeight="1" spans="1:13">
      <c r="A1416" s="29">
        <v>45534</v>
      </c>
      <c r="B1416" s="30"/>
      <c r="C1416" s="30"/>
      <c r="D1416" s="30" t="s">
        <v>3462</v>
      </c>
      <c r="E1416" s="30" t="s">
        <v>2683</v>
      </c>
      <c r="F1416" s="34" t="str">
        <f>IFERROR(VLOOKUP(VENTAS[[#This Row],[Código del producto Vendido]],STOCK[],5,FALSE),"-")</f>
        <v>Camisa verde oversize</v>
      </c>
      <c r="G1416" s="34">
        <v>1</v>
      </c>
      <c r="H1416" s="35">
        <v>22</v>
      </c>
      <c r="I1416" s="35">
        <f>VENTAS[[#This Row],[Cantidad]]*VENTAS[[#This Row],[Precio Venta]]</f>
        <v>22</v>
      </c>
      <c r="J1416" s="35">
        <f>IF(VENTAS[[#This Row],[Nombre del Gestor]]&gt;1,VENTAS[[#This Row],[Total]]*10%,0)</f>
        <v>2.2</v>
      </c>
      <c r="K1416" s="35">
        <f>IFERROR(VLOOKUP(VENTAS[[#This Row],[Código del producto Vendido]],STOCK[],16,FALSE)*VENTAS[[#This Row],[Cantidad]]+VLOOKUP(VENTAS[[#This Row],[Código del producto Vendido]],STOCK[],19,FALSE)*VENTAS[[#This Row],[Cantidad]],VENTAS[[#This Row],[Total]])</f>
        <v>12.69</v>
      </c>
      <c r="L1416" s="35">
        <f>VENTAS[[#This Row],[Total]]-VENTAS[[#This Row],[Comisión 10%]]-VENTAS[[#This Row],[Costo SIN Comision]]</f>
        <v>7.11</v>
      </c>
      <c r="M1416" s="35"/>
    </row>
    <row r="1417" ht="20" customHeight="1" spans="1:13">
      <c r="A1417" s="29">
        <v>45536</v>
      </c>
      <c r="B1417" s="30"/>
      <c r="C1417" s="30"/>
      <c r="D1417" s="30" t="s">
        <v>3512</v>
      </c>
      <c r="E1417" s="30" t="s">
        <v>2655</v>
      </c>
      <c r="F1417" s="34" t="str">
        <f>IFERROR(VLOOKUP(VENTAS[[#This Row],[Código del producto Vendido]],STOCK[],5,FALSE),"-")</f>
        <v>Sandalias de hebilla Pull&amp;Bear</v>
      </c>
      <c r="G1417" s="34">
        <v>1</v>
      </c>
      <c r="H1417" s="35">
        <v>40</v>
      </c>
      <c r="I1417" s="35">
        <f>VENTAS[[#This Row],[Cantidad]]*VENTAS[[#This Row],[Precio Venta]]</f>
        <v>40</v>
      </c>
      <c r="J1417" s="35">
        <f>IF(VENTAS[[#This Row],[Nombre del Gestor]]&gt;1,VENTAS[[#This Row],[Total]]*10%,0)</f>
        <v>4</v>
      </c>
      <c r="K1417" s="35">
        <f>IFERROR(VLOOKUP(VENTAS[[#This Row],[Código del producto Vendido]],STOCK[],16,FALSE)*VENTAS[[#This Row],[Cantidad]]+VLOOKUP(VENTAS[[#This Row],[Código del producto Vendido]],STOCK[],19,FALSE)*VENTAS[[#This Row],[Cantidad]],VENTAS[[#This Row],[Total]])</f>
        <v>28</v>
      </c>
      <c r="L1417" s="35">
        <f>VENTAS[[#This Row],[Total]]-VENTAS[[#This Row],[Comisión 10%]]-VENTAS[[#This Row],[Costo SIN Comision]]</f>
        <v>8</v>
      </c>
      <c r="M1417" s="35"/>
    </row>
    <row r="1418" ht="20" customHeight="1" spans="1:13">
      <c r="A1418" s="29">
        <v>45534</v>
      </c>
      <c r="B1418" s="30"/>
      <c r="C1418" s="30"/>
      <c r="D1418" s="30" t="s">
        <v>3462</v>
      </c>
      <c r="E1418" s="30" t="s">
        <v>2643</v>
      </c>
      <c r="F1418" s="34" t="str">
        <f>IFERROR(VLOOKUP(VENTAS[[#This Row],[Código del producto Vendido]],STOCK[],5,FALSE),"-")</f>
        <v>Camisa Oversize en mezcla de lino H&amp;M</v>
      </c>
      <c r="G1418" s="34">
        <v>1</v>
      </c>
      <c r="H1418" s="35">
        <v>25</v>
      </c>
      <c r="I1418" s="35">
        <f>VENTAS[[#This Row],[Cantidad]]*VENTAS[[#This Row],[Precio Venta]]</f>
        <v>25</v>
      </c>
      <c r="J1418" s="35">
        <f>IF(VENTAS[[#This Row],[Nombre del Gestor]]&gt;1,VENTAS[[#This Row],[Total]]*10%,0)</f>
        <v>2.5</v>
      </c>
      <c r="K1418" s="35">
        <f>IFERROR(VLOOKUP(VENTAS[[#This Row],[Código del producto Vendido]],STOCK[],16,FALSE)*VENTAS[[#This Row],[Cantidad]]+VLOOKUP(VENTAS[[#This Row],[Código del producto Vendido]],STOCK[],19,FALSE)*VENTAS[[#This Row],[Cantidad]],VENTAS[[#This Row],[Total]])</f>
        <v>11.96</v>
      </c>
      <c r="L1418" s="35">
        <f>VENTAS[[#This Row],[Total]]-VENTAS[[#This Row],[Comisión 10%]]-VENTAS[[#This Row],[Costo SIN Comision]]</f>
        <v>10.54</v>
      </c>
      <c r="M1418" s="35"/>
    </row>
    <row r="1419" ht="20" customHeight="1" spans="1:13">
      <c r="A1419" s="29">
        <v>45536</v>
      </c>
      <c r="B1419" s="30"/>
      <c r="C1419" s="30"/>
      <c r="D1419" s="30" t="s">
        <v>3451</v>
      </c>
      <c r="E1419" s="30" t="s">
        <v>2112</v>
      </c>
      <c r="F1419" s="34" t="str">
        <f>IFERROR(VLOOKUP(VENTAS[[#This Row],[Código del producto Vendido]],STOCK[],5,FALSE),"-")</f>
        <v>Flor TOTE fashion bag</v>
      </c>
      <c r="G1419" s="34">
        <v>1</v>
      </c>
      <c r="H1419" s="35">
        <v>12</v>
      </c>
      <c r="I1419" s="35">
        <f>VENTAS[[#This Row],[Cantidad]]*VENTAS[[#This Row],[Precio Venta]]</f>
        <v>12</v>
      </c>
      <c r="J1419" s="35">
        <f>IF(VENTAS[[#This Row],[Nombre del Gestor]]&gt;1,VENTAS[[#This Row],[Total]]*10%,0)</f>
        <v>1.2</v>
      </c>
      <c r="K1419" s="35">
        <f>IFERROR(VLOOKUP(VENTAS[[#This Row],[Código del producto Vendido]],STOCK[],16,FALSE)*VENTAS[[#This Row],[Cantidad]]+VLOOKUP(VENTAS[[#This Row],[Código del producto Vendido]],STOCK[],19,FALSE)*VENTAS[[#This Row],[Cantidad]],VENTAS[[#This Row],[Total]])</f>
        <v>3.77</v>
      </c>
      <c r="L1419" s="35">
        <f>VENTAS[[#This Row],[Total]]-VENTAS[[#This Row],[Comisión 10%]]-VENTAS[[#This Row],[Costo SIN Comision]]</f>
        <v>7.03</v>
      </c>
      <c r="M1419" s="35"/>
    </row>
    <row r="1420" ht="20" customHeight="1" spans="1:13">
      <c r="A1420" s="29"/>
      <c r="B1420" s="30"/>
      <c r="C1420" s="30" t="s">
        <v>3449</v>
      </c>
      <c r="D1420" s="30"/>
      <c r="E1420" s="30" t="s">
        <v>1780</v>
      </c>
      <c r="F1420" s="34" t="str">
        <f>IFERROR(VLOOKUP(VENTAS[[#This Row],[Código del producto Vendido]],STOCK[],5,FALSE),"-")</f>
        <v>Cinturón de hebilla redonda</v>
      </c>
      <c r="G1420" s="34">
        <v>1</v>
      </c>
      <c r="H1420" s="35">
        <v>10</v>
      </c>
      <c r="I1420" s="35">
        <f>VENTAS[[#This Row],[Cantidad]]*VENTAS[[#This Row],[Precio Venta]]</f>
        <v>10</v>
      </c>
      <c r="J1420" s="35">
        <f>IF(VENTAS[[#This Row],[Nombre del Gestor]]&gt;1,VENTAS[[#This Row],[Total]]*10%,0)</f>
        <v>0</v>
      </c>
      <c r="K1420" s="35">
        <f>IFERROR(VLOOKUP(VENTAS[[#This Row],[Código del producto Vendido]],STOCK[],16,FALSE)*VENTAS[[#This Row],[Cantidad]]+VLOOKUP(VENTAS[[#This Row],[Código del producto Vendido]],STOCK[],19,FALSE)*VENTAS[[#This Row],[Cantidad]],VENTAS[[#This Row],[Total]])</f>
        <v>3.82352941176471</v>
      </c>
      <c r="L1420" s="35">
        <f>VENTAS[[#This Row],[Total]]-VENTAS[[#This Row],[Comisión 10%]]-VENTAS[[#This Row],[Costo SIN Comision]]</f>
        <v>6.17647058823529</v>
      </c>
      <c r="M1420" s="35"/>
    </row>
    <row r="1421" ht="20" customHeight="1" spans="1:13">
      <c r="A1421" s="29">
        <v>45534</v>
      </c>
      <c r="B1421" s="30"/>
      <c r="C1421" s="30" t="s">
        <v>3626</v>
      </c>
      <c r="D1421" s="30" t="s">
        <v>3451</v>
      </c>
      <c r="E1421" s="30" t="s">
        <v>2592</v>
      </c>
      <c r="F1421" s="34" t="str">
        <f>IFERROR(VLOOKUP(VENTAS[[#This Row],[Código del producto Vendido]],STOCK[],5,FALSE),"-")</f>
        <v>Falda larga de visillo con maxi estampado de flor</v>
      </c>
      <c r="G1421" s="34">
        <v>1</v>
      </c>
      <c r="H1421" s="35">
        <v>25</v>
      </c>
      <c r="I1421" s="35">
        <f>VENTAS[[#This Row],[Cantidad]]*VENTAS[[#This Row],[Precio Venta]]</f>
        <v>25</v>
      </c>
      <c r="J1421" s="35">
        <f>IF(VENTAS[[#This Row],[Nombre del Gestor]]&gt;1,VENTAS[[#This Row],[Total]]*10%,0)</f>
        <v>2.5</v>
      </c>
      <c r="K1421" s="35">
        <f>IFERROR(VLOOKUP(VENTAS[[#This Row],[Código del producto Vendido]],STOCK[],16,FALSE)*VENTAS[[#This Row],[Cantidad]]+VLOOKUP(VENTAS[[#This Row],[Código del producto Vendido]],STOCK[],19,FALSE)*VENTAS[[#This Row],[Cantidad]],VENTAS[[#This Row],[Total]])</f>
        <v>14.46</v>
      </c>
      <c r="L1421" s="35">
        <f>VENTAS[[#This Row],[Total]]-VENTAS[[#This Row],[Comisión 10%]]-VENTAS[[#This Row],[Costo SIN Comision]]</f>
        <v>8.04</v>
      </c>
      <c r="M1421" s="35"/>
    </row>
    <row r="1422" ht="20" customHeight="1" spans="1:13">
      <c r="A1422" s="29">
        <v>45534</v>
      </c>
      <c r="B1422" s="30"/>
      <c r="C1422" s="30" t="s">
        <v>3646</v>
      </c>
      <c r="D1422" s="30" t="s">
        <v>3506</v>
      </c>
      <c r="E1422" s="30" t="s">
        <v>2508</v>
      </c>
      <c r="F1422" s="34" t="str">
        <f>IFERROR(VLOOKUP(VENTAS[[#This Row],[Código del producto Vendido]],STOCK[],5,FALSE),"-")</f>
        <v>Camisa elegante de listas</v>
      </c>
      <c r="G1422" s="34">
        <v>1</v>
      </c>
      <c r="H1422" s="35">
        <v>22</v>
      </c>
      <c r="I1422" s="35">
        <f>VENTAS[[#This Row],[Cantidad]]*VENTAS[[#This Row],[Precio Venta]]</f>
        <v>22</v>
      </c>
      <c r="J1422" s="35">
        <f>IF(VENTAS[[#This Row],[Nombre del Gestor]]&gt;1,VENTAS[[#This Row],[Total]]*10%,0)</f>
        <v>2.2</v>
      </c>
      <c r="K1422" s="35">
        <f>IFERROR(VLOOKUP(VENTAS[[#This Row],[Código del producto Vendido]],STOCK[],16,FALSE)*VENTAS[[#This Row],[Cantidad]]+VLOOKUP(VENTAS[[#This Row],[Código del producto Vendido]],STOCK[],19,FALSE)*VENTAS[[#This Row],[Cantidad]],VENTAS[[#This Row],[Total]])</f>
        <v>11.3</v>
      </c>
      <c r="L1422" s="35">
        <f>VENTAS[[#This Row],[Total]]-VENTAS[[#This Row],[Comisión 10%]]-VENTAS[[#This Row],[Costo SIN Comision]]</f>
        <v>8.5</v>
      </c>
      <c r="M1422" s="35"/>
    </row>
    <row r="1423" ht="20" customHeight="1" spans="1:13">
      <c r="A1423" s="29">
        <v>45534</v>
      </c>
      <c r="B1423" s="30"/>
      <c r="C1423" s="30"/>
      <c r="D1423" s="30" t="s">
        <v>3512</v>
      </c>
      <c r="E1423" s="30" t="s">
        <v>2530</v>
      </c>
      <c r="F1423" s="34" t="str">
        <f>IFERROR(VLOOKUP(VENTAS[[#This Row],[Código del producto Vendido]],STOCK[],5,FALSE),"-")</f>
        <v>Pullover corto unicolor carmelita</v>
      </c>
      <c r="G1423" s="34">
        <v>1</v>
      </c>
      <c r="H1423" s="35">
        <v>10</v>
      </c>
      <c r="I1423" s="35">
        <f>VENTAS[[#This Row],[Cantidad]]*VENTAS[[#This Row],[Precio Venta]]</f>
        <v>10</v>
      </c>
      <c r="J1423" s="35">
        <f>IF(VENTAS[[#This Row],[Nombre del Gestor]]&gt;1,VENTAS[[#This Row],[Total]]*10%,0)</f>
        <v>1</v>
      </c>
      <c r="K1423" s="35">
        <f>IFERROR(VLOOKUP(VENTAS[[#This Row],[Código del producto Vendido]],STOCK[],16,FALSE)*VENTAS[[#This Row],[Cantidad]]+VLOOKUP(VENTAS[[#This Row],[Código del producto Vendido]],STOCK[],19,FALSE)*VENTAS[[#This Row],[Cantidad]],VENTAS[[#This Row],[Total]])</f>
        <v>4.32</v>
      </c>
      <c r="L1423" s="35">
        <f>VENTAS[[#This Row],[Total]]-VENTAS[[#This Row],[Comisión 10%]]-VENTAS[[#This Row],[Costo SIN Comision]]</f>
        <v>4.68</v>
      </c>
      <c r="M1423" s="35"/>
    </row>
    <row r="1424" ht="20" customHeight="1" spans="1:13">
      <c r="A1424" s="29">
        <v>45534</v>
      </c>
      <c r="B1424" s="30"/>
      <c r="C1424" s="30"/>
      <c r="D1424" s="30" t="s">
        <v>3512</v>
      </c>
      <c r="E1424" s="30" t="s">
        <v>2534</v>
      </c>
      <c r="F1424" s="34" t="str">
        <f>IFERROR(VLOOKUP(VENTAS[[#This Row],[Código del producto Vendido]],STOCK[],5,FALSE),"-")</f>
        <v>Pullover corto unicolor blanco</v>
      </c>
      <c r="G1424" s="34">
        <v>1</v>
      </c>
      <c r="H1424" s="35">
        <v>10</v>
      </c>
      <c r="I1424" s="35">
        <f>VENTAS[[#This Row],[Cantidad]]*VENTAS[[#This Row],[Precio Venta]]</f>
        <v>10</v>
      </c>
      <c r="J1424" s="35">
        <f>IF(VENTAS[[#This Row],[Nombre del Gestor]]&gt;1,VENTAS[[#This Row],[Total]]*10%,0)</f>
        <v>1</v>
      </c>
      <c r="K1424" s="35">
        <f>IFERROR(VLOOKUP(VENTAS[[#This Row],[Código del producto Vendido]],STOCK[],16,FALSE)*VENTAS[[#This Row],[Cantidad]]+VLOOKUP(VENTAS[[#This Row],[Código del producto Vendido]],STOCK[],19,FALSE)*VENTAS[[#This Row],[Cantidad]],VENTAS[[#This Row],[Total]])</f>
        <v>4.32</v>
      </c>
      <c r="L1424" s="35">
        <f>VENTAS[[#This Row],[Total]]-VENTAS[[#This Row],[Comisión 10%]]-VENTAS[[#This Row],[Costo SIN Comision]]</f>
        <v>4.68</v>
      </c>
      <c r="M1424" s="35"/>
    </row>
    <row r="1425" ht="20" customHeight="1" spans="1:13">
      <c r="A1425" s="29">
        <v>45540</v>
      </c>
      <c r="B1425" s="30"/>
      <c r="C1425" s="30" t="s">
        <v>3647</v>
      </c>
      <c r="D1425" s="30" t="s">
        <v>3540</v>
      </c>
      <c r="E1425" s="30" t="s">
        <v>496</v>
      </c>
      <c r="F1425" s="34" t="str">
        <f>IFERROR(VLOOKUP(VENTAS[[#This Row],[Código del producto Vendido]],STOCK[],5,FALSE),"-")</f>
        <v>Bikini estampado de cebra</v>
      </c>
      <c r="G1425" s="34">
        <v>1</v>
      </c>
      <c r="H1425" s="35">
        <v>12</v>
      </c>
      <c r="I1425" s="35">
        <f>VENTAS[[#This Row],[Cantidad]]*VENTAS[[#This Row],[Precio Venta]]</f>
        <v>12</v>
      </c>
      <c r="J1425" s="35">
        <f>IF(VENTAS[[#This Row],[Nombre del Gestor]]&gt;1,VENTAS[[#This Row],[Total]]*10%,0)</f>
        <v>1.2</v>
      </c>
      <c r="K1425" s="35">
        <f>IFERROR(VLOOKUP(VENTAS[[#This Row],[Código del producto Vendido]],STOCK[],16,FALSE)*VENTAS[[#This Row],[Cantidad]]+VLOOKUP(VENTAS[[#This Row],[Código del producto Vendido]],STOCK[],19,FALSE)*VENTAS[[#This Row],[Cantidad]],VENTAS[[#This Row],[Total]])</f>
        <v>8.78722222222222</v>
      </c>
      <c r="L1425" s="35">
        <f>VENTAS[[#This Row],[Total]]-VENTAS[[#This Row],[Comisión 10%]]-VENTAS[[#This Row],[Costo SIN Comision]]</f>
        <v>2.01277777777778</v>
      </c>
      <c r="M1425" s="35"/>
    </row>
    <row r="1426" ht="20" customHeight="1" spans="1:13">
      <c r="A1426" s="29">
        <v>45540</v>
      </c>
      <c r="B1426" s="30"/>
      <c r="C1426" s="30" t="s">
        <v>3648</v>
      </c>
      <c r="D1426" s="30" t="s">
        <v>3540</v>
      </c>
      <c r="E1426" s="30" t="s">
        <v>815</v>
      </c>
      <c r="F1426" s="34" t="str">
        <f>IFERROR(VLOOKUP(VENTAS[[#This Row],[Código del producto Vendido]],STOCK[],5,FALSE),"-")</f>
        <v>Blusa verde menta vuelos</v>
      </c>
      <c r="G1426" s="34">
        <v>1</v>
      </c>
      <c r="H1426" s="35">
        <v>10</v>
      </c>
      <c r="I1426" s="35">
        <f>VENTAS[[#This Row],[Cantidad]]*VENTAS[[#This Row],[Precio Venta]]</f>
        <v>10</v>
      </c>
      <c r="J1426" s="35">
        <f>IF(VENTAS[[#This Row],[Nombre del Gestor]]&gt;1,VENTAS[[#This Row],[Total]]*10%,0)</f>
        <v>1</v>
      </c>
      <c r="K1426" s="35">
        <f>IFERROR(VLOOKUP(VENTAS[[#This Row],[Código del producto Vendido]],STOCK[],16,FALSE)*VENTAS[[#This Row],[Cantidad]]+VLOOKUP(VENTAS[[#This Row],[Código del producto Vendido]],STOCK[],19,FALSE)*VENTAS[[#This Row],[Cantidad]],VENTAS[[#This Row],[Total]])</f>
        <v>6.77777777777778</v>
      </c>
      <c r="L1426" s="35">
        <f>VENTAS[[#This Row],[Total]]-VENTAS[[#This Row],[Comisión 10%]]-VENTAS[[#This Row],[Costo SIN Comision]]</f>
        <v>2.22222222222222</v>
      </c>
      <c r="M1426" s="35"/>
    </row>
    <row r="1427" ht="20" customHeight="1" spans="1:13">
      <c r="A1427" s="29">
        <v>45540</v>
      </c>
      <c r="B1427" s="30"/>
      <c r="C1427" s="30" t="s">
        <v>3649</v>
      </c>
      <c r="D1427" s="30" t="s">
        <v>3524</v>
      </c>
      <c r="E1427" s="30" t="s">
        <v>815</v>
      </c>
      <c r="F1427" s="34" t="str">
        <f>IFERROR(VLOOKUP(VENTAS[[#This Row],[Código del producto Vendido]],STOCK[],5,FALSE),"-")</f>
        <v>Blusa verde menta vuelos</v>
      </c>
      <c r="G1427" s="34">
        <v>1</v>
      </c>
      <c r="H1427" s="35">
        <v>10</v>
      </c>
      <c r="I1427" s="35">
        <f>VENTAS[[#This Row],[Cantidad]]*VENTAS[[#This Row],[Precio Venta]]</f>
        <v>10</v>
      </c>
      <c r="J1427" s="35">
        <f>IF(VENTAS[[#This Row],[Nombre del Gestor]]&gt;1,VENTAS[[#This Row],[Total]]*10%,0)</f>
        <v>1</v>
      </c>
      <c r="K1427" s="35">
        <f>IFERROR(VLOOKUP(VENTAS[[#This Row],[Código del producto Vendido]],STOCK[],16,FALSE)*VENTAS[[#This Row],[Cantidad]]+VLOOKUP(VENTAS[[#This Row],[Código del producto Vendido]],STOCK[],19,FALSE)*VENTAS[[#This Row],[Cantidad]],VENTAS[[#This Row],[Total]])</f>
        <v>6.77777777777778</v>
      </c>
      <c r="L1427" s="35">
        <f>VENTAS[[#This Row],[Total]]-VENTAS[[#This Row],[Comisión 10%]]-VENTAS[[#This Row],[Costo SIN Comision]]</f>
        <v>2.22222222222222</v>
      </c>
      <c r="M1427" s="35"/>
    </row>
    <row r="1428" ht="20" customHeight="1" spans="1:13">
      <c r="A1428" s="29">
        <v>45539</v>
      </c>
      <c r="B1428" s="30"/>
      <c r="C1428" s="30" t="s">
        <v>3629</v>
      </c>
      <c r="D1428" s="30" t="s">
        <v>3524</v>
      </c>
      <c r="E1428" s="30" t="s">
        <v>2613</v>
      </c>
      <c r="F1428" s="34" t="str">
        <f>IFERROR(VLOOKUP(VENTAS[[#This Row],[Código del producto Vendido]],STOCK[],5,FALSE),"-")</f>
        <v>Vestido Blanco en Bordado Inglés</v>
      </c>
      <c r="G1428" s="34">
        <v>1</v>
      </c>
      <c r="H1428" s="35">
        <v>25</v>
      </c>
      <c r="I1428" s="35">
        <f>VENTAS[[#This Row],[Cantidad]]*VENTAS[[#This Row],[Precio Venta]]</f>
        <v>25</v>
      </c>
      <c r="J1428" s="35">
        <f>IF(VENTAS[[#This Row],[Nombre del Gestor]]&gt;1,VENTAS[[#This Row],[Total]]*10%,0)</f>
        <v>2.5</v>
      </c>
      <c r="K1428" s="35">
        <f>IFERROR(VLOOKUP(VENTAS[[#This Row],[Código del producto Vendido]],STOCK[],16,FALSE)*VENTAS[[#This Row],[Cantidad]]+VLOOKUP(VENTAS[[#This Row],[Código del producto Vendido]],STOCK[],19,FALSE)*VENTAS[[#This Row],[Cantidad]],VENTAS[[#This Row],[Total]])</f>
        <v>13.48</v>
      </c>
      <c r="L1428" s="35">
        <f>VENTAS[[#This Row],[Total]]-VENTAS[[#This Row],[Comisión 10%]]-VENTAS[[#This Row],[Costo SIN Comision]]</f>
        <v>9.02</v>
      </c>
      <c r="M1428" s="35"/>
    </row>
    <row r="1429" ht="20" customHeight="1" spans="1:13">
      <c r="A1429" s="29">
        <v>45542</v>
      </c>
      <c r="B1429" s="30"/>
      <c r="C1429" s="30" t="s">
        <v>3650</v>
      </c>
      <c r="D1429" s="30" t="s">
        <v>3540</v>
      </c>
      <c r="E1429" s="30" t="s">
        <v>2415</v>
      </c>
      <c r="F1429" s="34" t="str">
        <f>IFERROR(VLOOKUP(VENTAS[[#This Row],[Código del producto Vendido]],STOCK[],5,FALSE),"-")</f>
        <v>Camisa blanca en mezcla de algodón</v>
      </c>
      <c r="G1429" s="34">
        <v>1</v>
      </c>
      <c r="H1429" s="35">
        <v>25</v>
      </c>
      <c r="I1429" s="35">
        <f>VENTAS[[#This Row],[Cantidad]]*VENTAS[[#This Row],[Precio Venta]]</f>
        <v>25</v>
      </c>
      <c r="J1429" s="35">
        <f>IF(VENTAS[[#This Row],[Nombre del Gestor]]&gt;1,VENTAS[[#This Row],[Total]]*10%,0)</f>
        <v>2.5</v>
      </c>
      <c r="K1429" s="35">
        <f>IFERROR(VLOOKUP(VENTAS[[#This Row],[Código del producto Vendido]],STOCK[],16,FALSE)*VENTAS[[#This Row],[Cantidad]]+VLOOKUP(VENTAS[[#This Row],[Código del producto Vendido]],STOCK[],19,FALSE)*VENTAS[[#This Row],[Cantidad]],VENTAS[[#This Row],[Total]])</f>
        <v>17.7808108108108</v>
      </c>
      <c r="L1429" s="35">
        <f>VENTAS[[#This Row],[Total]]-VENTAS[[#This Row],[Comisión 10%]]-VENTAS[[#This Row],[Costo SIN Comision]]</f>
        <v>4.7191891891892</v>
      </c>
      <c r="M1429" s="35"/>
    </row>
    <row r="1430" ht="20" customHeight="1" spans="1:13">
      <c r="A1430" s="29">
        <v>45542</v>
      </c>
      <c r="B1430" s="30"/>
      <c r="C1430" s="30" t="s">
        <v>3651</v>
      </c>
      <c r="D1430" s="30" t="s">
        <v>3451</v>
      </c>
      <c r="E1430" s="30" t="s">
        <v>1612</v>
      </c>
      <c r="F1430" s="34" t="str">
        <f>IFERROR(VLOOKUP(VENTAS[[#This Row],[Código del producto Vendido]],STOCK[],5,FALSE),"-")</f>
        <v>Camisa Modely</v>
      </c>
      <c r="G1430" s="34">
        <v>1</v>
      </c>
      <c r="H1430" s="35">
        <v>20</v>
      </c>
      <c r="I1430" s="35">
        <f>VENTAS[[#This Row],[Cantidad]]*VENTAS[[#This Row],[Precio Venta]]</f>
        <v>20</v>
      </c>
      <c r="J1430" s="35">
        <f>IF(VENTAS[[#This Row],[Nombre del Gestor]]&gt;1,VENTAS[[#This Row],[Total]]*10%,0)</f>
        <v>2</v>
      </c>
      <c r="K1430" s="35">
        <f>IFERROR(VLOOKUP(VENTAS[[#This Row],[Código del producto Vendido]],STOCK[],16,FALSE)*VENTAS[[#This Row],[Cantidad]]+VLOOKUP(VENTAS[[#This Row],[Código del producto Vendido]],STOCK[],19,FALSE)*VENTAS[[#This Row],[Cantidad]],VENTAS[[#This Row],[Total]])</f>
        <v>9.74</v>
      </c>
      <c r="L1430" s="35">
        <f>VENTAS[[#This Row],[Total]]-VENTAS[[#This Row],[Comisión 10%]]-VENTAS[[#This Row],[Costo SIN Comision]]</f>
        <v>8.26</v>
      </c>
      <c r="M1430" s="35"/>
    </row>
    <row r="1431" ht="20" customHeight="1" spans="1:13">
      <c r="A1431" s="29">
        <v>45541</v>
      </c>
      <c r="B1431" s="30"/>
      <c r="C1431" s="30" t="s">
        <v>3259</v>
      </c>
      <c r="D1431" s="30"/>
      <c r="E1431" s="30" t="s">
        <v>1746</v>
      </c>
      <c r="F1431" s="34" t="str">
        <f>IFERROR(VLOOKUP(VENTAS[[#This Row],[Código del producto Vendido]],STOCK[],5,FALSE),"-")</f>
        <v>Traje de baño Oliva</v>
      </c>
      <c r="G1431" s="34">
        <v>1</v>
      </c>
      <c r="H1431" s="35">
        <v>0</v>
      </c>
      <c r="I1431" s="35">
        <f>VENTAS[[#This Row],[Cantidad]]*VENTAS[[#This Row],[Precio Venta]]</f>
        <v>0</v>
      </c>
      <c r="J1431" s="35">
        <f>IF(VENTAS[[#This Row],[Nombre del Gestor]]&gt;1,VENTAS[[#This Row],[Total]]*10%,0)</f>
        <v>0</v>
      </c>
      <c r="K1431" s="35">
        <f>IFERROR(VLOOKUP(VENTAS[[#This Row],[Código del producto Vendido]],STOCK[],16,FALSE)*VENTAS[[#This Row],[Cantidad]]+VLOOKUP(VENTAS[[#This Row],[Código del producto Vendido]],STOCK[],19,FALSE)*VENTAS[[#This Row],[Cantidad]],VENTAS[[#This Row],[Total]])</f>
        <v>29</v>
      </c>
      <c r="L1431" s="35">
        <f>VENTAS[[#This Row],[Total]]-VENTAS[[#This Row],[Comisión 10%]]-VENTAS[[#This Row],[Costo SIN Comision]]</f>
        <v>-29</v>
      </c>
      <c r="M1431" s="35"/>
    </row>
    <row r="1432" ht="20" customHeight="1" spans="1:13">
      <c r="A1432" s="29">
        <v>45541</v>
      </c>
      <c r="B1432" s="30"/>
      <c r="C1432" s="30" t="s">
        <v>3652</v>
      </c>
      <c r="D1432" s="30" t="s">
        <v>3506</v>
      </c>
      <c r="E1432" s="30" t="s">
        <v>1736</v>
      </c>
      <c r="F1432" s="34" t="str">
        <f>IFERROR(VLOOKUP(VENTAS[[#This Row],[Código del producto Vendido]],STOCK[],5,FALSE),"-")</f>
        <v>Chaleco de traje Blanco</v>
      </c>
      <c r="G1432" s="34">
        <v>1</v>
      </c>
      <c r="H1432" s="35">
        <v>25</v>
      </c>
      <c r="I1432" s="35">
        <f>VENTAS[[#This Row],[Cantidad]]*VENTAS[[#This Row],[Precio Venta]]</f>
        <v>25</v>
      </c>
      <c r="J1432" s="35">
        <f>IF(VENTAS[[#This Row],[Nombre del Gestor]]&gt;1,VENTAS[[#This Row],[Total]]*10%,0)</f>
        <v>2.5</v>
      </c>
      <c r="K1432" s="35">
        <f>IFERROR(VLOOKUP(VENTAS[[#This Row],[Código del producto Vendido]],STOCK[],16,FALSE)*VENTAS[[#This Row],[Cantidad]]+VLOOKUP(VENTAS[[#This Row],[Código del producto Vendido]],STOCK[],19,FALSE)*VENTAS[[#This Row],[Cantidad]],VENTAS[[#This Row],[Total]])</f>
        <v>17.9411764705882</v>
      </c>
      <c r="L1432" s="35">
        <f>VENTAS[[#This Row],[Total]]-VENTAS[[#This Row],[Comisión 10%]]-VENTAS[[#This Row],[Costo SIN Comision]]</f>
        <v>4.5588235294118</v>
      </c>
      <c r="M1432" s="35"/>
    </row>
    <row r="1433" ht="20" customHeight="1" spans="1:13">
      <c r="A1433" s="29">
        <v>45541</v>
      </c>
      <c r="B1433" s="30"/>
      <c r="C1433" s="30" t="s">
        <v>3652</v>
      </c>
      <c r="D1433" s="30" t="s">
        <v>3506</v>
      </c>
      <c r="E1433" s="30" t="s">
        <v>1733</v>
      </c>
      <c r="F1433" s="34" t="str">
        <f>IFERROR(VLOOKUP(VENTAS[[#This Row],[Código del producto Vendido]],STOCK[],5,FALSE),"-")</f>
        <v>Chaleco de traje Negro</v>
      </c>
      <c r="G1433" s="34">
        <v>1</v>
      </c>
      <c r="H1433" s="35">
        <v>25</v>
      </c>
      <c r="I1433" s="35">
        <f>VENTAS[[#This Row],[Cantidad]]*VENTAS[[#This Row],[Precio Venta]]</f>
        <v>25</v>
      </c>
      <c r="J1433" s="35">
        <f>IF(VENTAS[[#This Row],[Nombre del Gestor]]&gt;1,VENTAS[[#This Row],[Total]]*10%,0)</f>
        <v>2.5</v>
      </c>
      <c r="K1433" s="35">
        <f>IFERROR(VLOOKUP(VENTAS[[#This Row],[Código del producto Vendido]],STOCK[],16,FALSE)*VENTAS[[#This Row],[Cantidad]]+VLOOKUP(VENTAS[[#This Row],[Código del producto Vendido]],STOCK[],19,FALSE)*VENTAS[[#This Row],[Cantidad]],VENTAS[[#This Row],[Total]])</f>
        <v>17.9411764705882</v>
      </c>
      <c r="L1433" s="35">
        <f>VENTAS[[#This Row],[Total]]-VENTAS[[#This Row],[Comisión 10%]]-VENTAS[[#This Row],[Costo SIN Comision]]</f>
        <v>4.5588235294118</v>
      </c>
      <c r="M1433" s="35"/>
    </row>
    <row r="1434" ht="20" customHeight="1" spans="1:13">
      <c r="A1434" s="29">
        <v>45542</v>
      </c>
      <c r="B1434" s="30"/>
      <c r="C1434" s="30" t="s">
        <v>3651</v>
      </c>
      <c r="D1434" s="30" t="s">
        <v>3451</v>
      </c>
      <c r="E1434" s="30" t="s">
        <v>2630</v>
      </c>
      <c r="F1434" s="34" t="str">
        <f>IFERROR(VLOOKUP(VENTAS[[#This Row],[Código del producto Vendido]],STOCK[],5,FALSE),"-")</f>
        <v>Pantalón Caqui de Pierna Ancha De Talle Alto y Bolsillos H&amp;M</v>
      </c>
      <c r="G1434" s="34">
        <v>1</v>
      </c>
      <c r="H1434" s="35">
        <v>35</v>
      </c>
      <c r="I1434" s="35">
        <f>VENTAS[[#This Row],[Cantidad]]*VENTAS[[#This Row],[Precio Venta]]</f>
        <v>35</v>
      </c>
      <c r="J1434" s="35">
        <f>IF(VENTAS[[#This Row],[Nombre del Gestor]]&gt;1,VENTAS[[#This Row],[Total]]*10%,0)</f>
        <v>3.5</v>
      </c>
      <c r="K1434" s="35">
        <f>IFERROR(VLOOKUP(VENTAS[[#This Row],[Código del producto Vendido]],STOCK[],16,FALSE)*VENTAS[[#This Row],[Cantidad]]+VLOOKUP(VENTAS[[#This Row],[Código del producto Vendido]],STOCK[],19,FALSE)*VENTAS[[#This Row],[Cantidad]],VENTAS[[#This Row],[Total]])</f>
        <v>20.96</v>
      </c>
      <c r="L1434" s="35">
        <f>VENTAS[[#This Row],[Total]]-VENTAS[[#This Row],[Comisión 10%]]-VENTAS[[#This Row],[Costo SIN Comision]]</f>
        <v>10.54</v>
      </c>
      <c r="M1434" s="35"/>
    </row>
    <row r="1435" ht="20" customHeight="1" spans="1:13">
      <c r="A1435" s="29">
        <v>45541</v>
      </c>
      <c r="B1435" s="30"/>
      <c r="C1435" s="30" t="s">
        <v>3653</v>
      </c>
      <c r="D1435" s="30" t="s">
        <v>3451</v>
      </c>
      <c r="E1435" s="30" t="s">
        <v>2604</v>
      </c>
      <c r="F1435" s="34" t="str">
        <f>IFERROR(VLOOKUP(VENTAS[[#This Row],[Código del producto Vendido]],STOCK[],5,FALSE),"-")</f>
        <v>Vestido crema ajustado de hombro torcido</v>
      </c>
      <c r="G1435" s="34">
        <v>1</v>
      </c>
      <c r="H1435" s="35">
        <v>25</v>
      </c>
      <c r="I1435" s="35">
        <f>VENTAS[[#This Row],[Cantidad]]*VENTAS[[#This Row],[Precio Venta]]</f>
        <v>25</v>
      </c>
      <c r="J1435" s="35">
        <f>IF(VENTAS[[#This Row],[Nombre del Gestor]]&gt;1,VENTAS[[#This Row],[Total]]*10%,0)</f>
        <v>2.5</v>
      </c>
      <c r="K1435" s="35">
        <f>IFERROR(VLOOKUP(VENTAS[[#This Row],[Código del producto Vendido]],STOCK[],16,FALSE)*VENTAS[[#This Row],[Cantidad]]+VLOOKUP(VENTAS[[#This Row],[Código del producto Vendido]],STOCK[],19,FALSE)*VENTAS[[#This Row],[Cantidad]],VENTAS[[#This Row],[Total]])</f>
        <v>13.44</v>
      </c>
      <c r="L1435" s="35">
        <f>VENTAS[[#This Row],[Total]]-VENTAS[[#This Row],[Comisión 10%]]-VENTAS[[#This Row],[Costo SIN Comision]]</f>
        <v>9.06</v>
      </c>
      <c r="M1435" s="35"/>
    </row>
    <row r="1436" ht="20" customHeight="1" spans="1:13">
      <c r="A1436" s="29">
        <v>45541</v>
      </c>
      <c r="B1436" s="30"/>
      <c r="C1436" s="30" t="s">
        <v>3654</v>
      </c>
      <c r="D1436" s="30" t="s">
        <v>3481</v>
      </c>
      <c r="E1436" s="30" t="s">
        <v>2660</v>
      </c>
      <c r="F1436" s="34" t="str">
        <f>IFERROR(VLOOKUP(VENTAS[[#This Row],[Código del producto Vendido]],STOCK[],5,FALSE),"-")</f>
        <v>Pullover negro acanalado de algodón PRIMARK</v>
      </c>
      <c r="G1436" s="34">
        <v>1</v>
      </c>
      <c r="H1436" s="35">
        <v>13</v>
      </c>
      <c r="I1436" s="35">
        <f>VENTAS[[#This Row],[Cantidad]]*VENTAS[[#This Row],[Precio Venta]]</f>
        <v>13</v>
      </c>
      <c r="J1436" s="35">
        <f>IF(VENTAS[[#This Row],[Nombre del Gestor]]&gt;1,VENTAS[[#This Row],[Total]]*10%,0)</f>
        <v>1.3</v>
      </c>
      <c r="K1436" s="35">
        <f>IFERROR(VLOOKUP(VENTAS[[#This Row],[Código del producto Vendido]],STOCK[],16,FALSE)*VENTAS[[#This Row],[Cantidad]]+VLOOKUP(VENTAS[[#This Row],[Código del producto Vendido]],STOCK[],19,FALSE)*VENTAS[[#This Row],[Cantidad]],VENTAS[[#This Row],[Total]])</f>
        <v>7</v>
      </c>
      <c r="L1436" s="35">
        <f>VENTAS[[#This Row],[Total]]-VENTAS[[#This Row],[Comisión 10%]]-VENTAS[[#This Row],[Costo SIN Comision]]</f>
        <v>4.7</v>
      </c>
      <c r="M1436" s="35"/>
    </row>
    <row r="1437" ht="20" customHeight="1" spans="1:13">
      <c r="A1437" s="29">
        <v>45541</v>
      </c>
      <c r="B1437" s="30"/>
      <c r="C1437" s="30" t="s">
        <v>3654</v>
      </c>
      <c r="D1437" s="30" t="s">
        <v>3481</v>
      </c>
      <c r="E1437" s="30" t="s">
        <v>2542</v>
      </c>
      <c r="F1437" s="34" t="str">
        <f>IFERROR(VLOOKUP(VENTAS[[#This Row],[Código del producto Vendido]],STOCK[],5,FALSE),"-")</f>
        <v>Pullover largo unicolor tela traslúcida negro</v>
      </c>
      <c r="G1437" s="34">
        <v>1</v>
      </c>
      <c r="H1437" s="35">
        <v>10</v>
      </c>
      <c r="I1437" s="35">
        <f>VENTAS[[#This Row],[Cantidad]]*VENTAS[[#This Row],[Precio Venta]]</f>
        <v>10</v>
      </c>
      <c r="J1437" s="35">
        <f>IF(VENTAS[[#This Row],[Nombre del Gestor]]&gt;1,VENTAS[[#This Row],[Total]]*10%,0)</f>
        <v>1</v>
      </c>
      <c r="K1437" s="35">
        <f>IFERROR(VLOOKUP(VENTAS[[#This Row],[Código del producto Vendido]],STOCK[],16,FALSE)*VENTAS[[#This Row],[Cantidad]]+VLOOKUP(VENTAS[[#This Row],[Código del producto Vendido]],STOCK[],19,FALSE)*VENTAS[[#This Row],[Cantidad]],VENTAS[[#This Row],[Total]])</f>
        <v>4.32</v>
      </c>
      <c r="L1437" s="35">
        <f>VENTAS[[#This Row],[Total]]-VENTAS[[#This Row],[Comisión 10%]]-VENTAS[[#This Row],[Costo SIN Comision]]</f>
        <v>4.68</v>
      </c>
      <c r="M1437" s="35"/>
    </row>
    <row r="1438" ht="20" customHeight="1" spans="1:13">
      <c r="A1438" s="29">
        <v>45539</v>
      </c>
      <c r="B1438" s="30"/>
      <c r="C1438" s="30" t="s">
        <v>3655</v>
      </c>
      <c r="D1438" s="30" t="s">
        <v>3481</v>
      </c>
      <c r="E1438" s="30" t="s">
        <v>2488</v>
      </c>
      <c r="F1438" s="34" t="str">
        <f>IFERROR(VLOOKUP(VENTAS[[#This Row],[Código del producto Vendido]],STOCK[],5,FALSE),"-")</f>
        <v>Sandalias prácticas chunky blanco crema</v>
      </c>
      <c r="G1438" s="34">
        <v>1</v>
      </c>
      <c r="H1438" s="35">
        <v>35</v>
      </c>
      <c r="I1438" s="35">
        <f>VENTAS[[#This Row],[Cantidad]]*VENTAS[[#This Row],[Precio Venta]]</f>
        <v>35</v>
      </c>
      <c r="J1438" s="35">
        <f>IF(VENTAS[[#This Row],[Nombre del Gestor]]&gt;1,VENTAS[[#This Row],[Total]]*10%,0)</f>
        <v>3.5</v>
      </c>
      <c r="K1438" s="35">
        <f>IFERROR(VLOOKUP(VENTAS[[#This Row],[Código del producto Vendido]],STOCK[],16,FALSE)*VENTAS[[#This Row],[Cantidad]]+VLOOKUP(VENTAS[[#This Row],[Código del producto Vendido]],STOCK[],19,FALSE)*VENTAS[[#This Row],[Cantidad]],VENTAS[[#This Row],[Total]])</f>
        <v>24.2174</v>
      </c>
      <c r="L1438" s="35">
        <f>VENTAS[[#This Row],[Total]]-VENTAS[[#This Row],[Comisión 10%]]-VENTAS[[#This Row],[Costo SIN Comision]]</f>
        <v>7.2826</v>
      </c>
      <c r="M1438" s="35"/>
    </row>
    <row r="1439" ht="20" customHeight="1" spans="1:13">
      <c r="A1439" s="29">
        <v>45544</v>
      </c>
      <c r="B1439" s="30"/>
      <c r="C1439" s="30" t="s">
        <v>3656</v>
      </c>
      <c r="D1439" s="30" t="s">
        <v>3481</v>
      </c>
      <c r="E1439" s="30" t="s">
        <v>2450</v>
      </c>
      <c r="F1439" s="34" t="str">
        <f>IFERROR(VLOOKUP(VENTAS[[#This Row],[Código del producto Vendido]],STOCK[],5,FALSE),"-")</f>
        <v>Sandalias carmelitas de moda con correa de velcro</v>
      </c>
      <c r="G1439" s="34">
        <v>1</v>
      </c>
      <c r="H1439" s="35">
        <v>35</v>
      </c>
      <c r="I1439" s="35">
        <f>VENTAS[[#This Row],[Cantidad]]*VENTAS[[#This Row],[Precio Venta]]</f>
        <v>35</v>
      </c>
      <c r="J1439" s="35">
        <f>IF(VENTAS[[#This Row],[Nombre del Gestor]]&gt;1,VENTAS[[#This Row],[Total]]*10%,0)</f>
        <v>3.5</v>
      </c>
      <c r="K1439" s="35">
        <f>IFERROR(VLOOKUP(VENTAS[[#This Row],[Código del producto Vendido]],STOCK[],16,FALSE)*VENTAS[[#This Row],[Cantidad]]+VLOOKUP(VENTAS[[#This Row],[Código del producto Vendido]],STOCK[],19,FALSE)*VENTAS[[#This Row],[Cantidad]],VENTAS[[#This Row],[Total]])</f>
        <v>19.47</v>
      </c>
      <c r="L1439" s="35">
        <f>VENTAS[[#This Row],[Total]]-VENTAS[[#This Row],[Comisión 10%]]-VENTAS[[#This Row],[Costo SIN Comision]]</f>
        <v>12.03</v>
      </c>
      <c r="M1439" s="35"/>
    </row>
    <row r="1440" ht="20" customHeight="1" spans="1:13">
      <c r="A1440" s="29">
        <v>45542</v>
      </c>
      <c r="B1440" s="30"/>
      <c r="C1440" s="30" t="s">
        <v>3657</v>
      </c>
      <c r="D1440" s="30" t="s">
        <v>3605</v>
      </c>
      <c r="E1440" s="30" t="s">
        <v>964</v>
      </c>
      <c r="F1440" s="34" t="str">
        <f>IFERROR(VLOOKUP(VENTAS[[#This Row],[Código del producto Vendido]],STOCK[],5,FALSE),"-")</f>
        <v> Top Básico Business </v>
      </c>
      <c r="G1440" s="34">
        <v>1</v>
      </c>
      <c r="H1440" s="35">
        <v>10</v>
      </c>
      <c r="I1440" s="35">
        <f>VENTAS[[#This Row],[Cantidad]]*VENTAS[[#This Row],[Precio Venta]]</f>
        <v>10</v>
      </c>
      <c r="J1440" s="35">
        <f>IF(VENTAS[[#This Row],[Nombre del Gestor]]&gt;1,VENTAS[[#This Row],[Total]]*10%,0)</f>
        <v>1</v>
      </c>
      <c r="K1440" s="35">
        <f>IFERROR(VLOOKUP(VENTAS[[#This Row],[Código del producto Vendido]],STOCK[],16,FALSE)*VENTAS[[#This Row],[Cantidad]]+VLOOKUP(VENTAS[[#This Row],[Código del producto Vendido]],STOCK[],19,FALSE)*VENTAS[[#This Row],[Cantidad]],VENTAS[[#This Row],[Total]])</f>
        <v>6.78409090909091</v>
      </c>
      <c r="L1440" s="35">
        <f>VENTAS[[#This Row],[Total]]-VENTAS[[#This Row],[Comisión 10%]]-VENTAS[[#This Row],[Costo SIN Comision]]</f>
        <v>2.21590909090909</v>
      </c>
      <c r="M1440" s="35"/>
    </row>
    <row r="1441" ht="20" customHeight="1" spans="1:13">
      <c r="A1441" s="29">
        <v>45539</v>
      </c>
      <c r="B1441" s="30"/>
      <c r="C1441" s="30" t="s">
        <v>3658</v>
      </c>
      <c r="D1441" s="30" t="s">
        <v>3315</v>
      </c>
      <c r="E1441" s="30" t="s">
        <v>1291</v>
      </c>
      <c r="F1441" s="34" t="str">
        <f>IFERROR(VLOOKUP(VENTAS[[#This Row],[Código del producto Vendido]],STOCK[],5,FALSE),"-")</f>
        <v>Jean skinny oscuro </v>
      </c>
      <c r="G1441" s="34">
        <v>2</v>
      </c>
      <c r="H1441" s="35">
        <v>27</v>
      </c>
      <c r="I1441" s="35">
        <f>VENTAS[[#This Row],[Cantidad]]*VENTAS[[#This Row],[Precio Venta]]</f>
        <v>54</v>
      </c>
      <c r="J1441" s="35">
        <f>IF(VENTAS[[#This Row],[Nombre del Gestor]]&gt;1,VENTAS[[#This Row],[Total]]*10%,0)</f>
        <v>5.4</v>
      </c>
      <c r="K1441" s="35">
        <f>IFERROR(VLOOKUP(VENTAS[[#This Row],[Código del producto Vendido]],STOCK[],16,FALSE)*VENTAS[[#This Row],[Cantidad]]+VLOOKUP(VENTAS[[#This Row],[Código del producto Vendido]],STOCK[],19,FALSE)*VENTAS[[#This Row],[Cantidad]],VENTAS[[#This Row],[Total]])</f>
        <v>41.58</v>
      </c>
      <c r="L1441" s="35">
        <f>VENTAS[[#This Row],[Total]]-VENTAS[[#This Row],[Comisión 10%]]-VENTAS[[#This Row],[Costo SIN Comision]]</f>
        <v>7.02</v>
      </c>
      <c r="M1441" s="35"/>
    </row>
    <row r="1442" ht="20" customHeight="1" spans="1:13">
      <c r="A1442" s="29">
        <v>45539</v>
      </c>
      <c r="B1442" s="30"/>
      <c r="C1442" s="30" t="s">
        <v>3658</v>
      </c>
      <c r="D1442" s="30" t="s">
        <v>3315</v>
      </c>
      <c r="E1442" s="30" t="s">
        <v>1275</v>
      </c>
      <c r="F1442" s="34" t="str">
        <f>IFERROR(VLOOKUP(VENTAS[[#This Row],[Código del producto Vendido]],STOCK[],5,FALSE),"-")</f>
        <v>Top negro de cuello V con encaje</v>
      </c>
      <c r="G1442" s="34">
        <v>1</v>
      </c>
      <c r="H1442" s="35">
        <v>11</v>
      </c>
      <c r="I1442" s="35">
        <f>VENTAS[[#This Row],[Cantidad]]*VENTAS[[#This Row],[Precio Venta]]</f>
        <v>11</v>
      </c>
      <c r="J1442" s="35">
        <f>IF(VENTAS[[#This Row],[Nombre del Gestor]]&gt;1,VENTAS[[#This Row],[Total]]*10%,0)</f>
        <v>1.1</v>
      </c>
      <c r="K1442" s="35">
        <f>IFERROR(VLOOKUP(VENTAS[[#This Row],[Código del producto Vendido]],STOCK[],16,FALSE)*VENTAS[[#This Row],[Cantidad]]+VLOOKUP(VENTAS[[#This Row],[Código del producto Vendido]],STOCK[],19,FALSE)*VENTAS[[#This Row],[Cantidad]],VENTAS[[#This Row],[Total]])</f>
        <v>8.09</v>
      </c>
      <c r="L1442" s="35">
        <f>VENTAS[[#This Row],[Total]]-VENTAS[[#This Row],[Comisión 10%]]-VENTAS[[#This Row],[Costo SIN Comision]]</f>
        <v>1.81</v>
      </c>
      <c r="M1442" s="35"/>
    </row>
    <row r="1443" ht="20" customHeight="1" spans="1:13">
      <c r="A1443" s="29">
        <v>45539</v>
      </c>
      <c r="B1443" s="30"/>
      <c r="C1443" s="30" t="s">
        <v>3658</v>
      </c>
      <c r="D1443" s="30" t="s">
        <v>3315</v>
      </c>
      <c r="E1443" s="30" t="s">
        <v>1301</v>
      </c>
      <c r="F1443" s="34" t="str">
        <f>IFERROR(VLOOKUP(VENTAS[[#This Row],[Código del producto Vendido]],STOCK[],5,FALSE),"-")</f>
        <v>Jean ajustado Claro</v>
      </c>
      <c r="G1443" s="34">
        <v>2</v>
      </c>
      <c r="H1443" s="35">
        <v>27</v>
      </c>
      <c r="I1443" s="35">
        <f>VENTAS[[#This Row],[Cantidad]]*VENTAS[[#This Row],[Precio Venta]]</f>
        <v>54</v>
      </c>
      <c r="J1443" s="35">
        <f>IF(VENTAS[[#This Row],[Nombre del Gestor]]&gt;1,VENTAS[[#This Row],[Total]]*10%,0)</f>
        <v>5.4</v>
      </c>
      <c r="K1443" s="35">
        <f>IFERROR(VLOOKUP(VENTAS[[#This Row],[Código del producto Vendido]],STOCK[],16,FALSE)*VENTAS[[#This Row],[Cantidad]]+VLOOKUP(VENTAS[[#This Row],[Código del producto Vendido]],STOCK[],19,FALSE)*VENTAS[[#This Row],[Cantidad]],VENTAS[[#This Row],[Total]])</f>
        <v>47.58</v>
      </c>
      <c r="L1443" s="35">
        <f>VENTAS[[#This Row],[Total]]-VENTAS[[#This Row],[Comisión 10%]]-VENTAS[[#This Row],[Costo SIN Comision]]</f>
        <v>1.02</v>
      </c>
      <c r="M1443" s="35"/>
    </row>
    <row r="1444" ht="20" customHeight="1" spans="1:13">
      <c r="A1444" s="29">
        <v>45539</v>
      </c>
      <c r="B1444" s="30"/>
      <c r="C1444" s="30" t="s">
        <v>3658</v>
      </c>
      <c r="D1444" s="30" t="s">
        <v>3315</v>
      </c>
      <c r="E1444" s="30" t="s">
        <v>2530</v>
      </c>
      <c r="F1444" s="34" t="str">
        <f>IFERROR(VLOOKUP(VENTAS[[#This Row],[Código del producto Vendido]],STOCK[],5,FALSE),"-")</f>
        <v>Pullover corto unicolor carmelita</v>
      </c>
      <c r="G1444" s="34">
        <v>1</v>
      </c>
      <c r="H1444" s="35">
        <v>9</v>
      </c>
      <c r="I1444" s="35">
        <f>VENTAS[[#This Row],[Cantidad]]*VENTAS[[#This Row],[Precio Venta]]</f>
        <v>9</v>
      </c>
      <c r="J1444" s="35">
        <f>IF(VENTAS[[#This Row],[Nombre del Gestor]]&gt;1,VENTAS[[#This Row],[Total]]*10%,0)</f>
        <v>0.9</v>
      </c>
      <c r="K1444" s="35">
        <f>IFERROR(VLOOKUP(VENTAS[[#This Row],[Código del producto Vendido]],STOCK[],16,FALSE)*VENTAS[[#This Row],[Cantidad]]+VLOOKUP(VENTAS[[#This Row],[Código del producto Vendido]],STOCK[],19,FALSE)*VENTAS[[#This Row],[Cantidad]],VENTAS[[#This Row],[Total]])</f>
        <v>4.32</v>
      </c>
      <c r="L1444" s="35">
        <f>VENTAS[[#This Row],[Total]]-VENTAS[[#This Row],[Comisión 10%]]-VENTAS[[#This Row],[Costo SIN Comision]]</f>
        <v>3.78</v>
      </c>
      <c r="M1444" s="35"/>
    </row>
    <row r="1445" ht="20" customHeight="1" spans="1:13">
      <c r="A1445" s="29">
        <v>45539</v>
      </c>
      <c r="B1445" s="30"/>
      <c r="C1445" s="30" t="s">
        <v>3658</v>
      </c>
      <c r="D1445" s="30" t="s">
        <v>3315</v>
      </c>
      <c r="E1445" s="30" t="s">
        <v>2539</v>
      </c>
      <c r="F1445" s="34" t="str">
        <f>IFERROR(VLOOKUP(VENTAS[[#This Row],[Código del producto Vendido]],STOCK[],5,FALSE),"-")</f>
        <v>Pullover corto unicolor beige</v>
      </c>
      <c r="G1445" s="34">
        <v>1</v>
      </c>
      <c r="H1445" s="35">
        <v>9</v>
      </c>
      <c r="I1445" s="35">
        <f>VENTAS[[#This Row],[Cantidad]]*VENTAS[[#This Row],[Precio Venta]]</f>
        <v>9</v>
      </c>
      <c r="J1445" s="35">
        <f>IF(VENTAS[[#This Row],[Nombre del Gestor]]&gt;1,VENTAS[[#This Row],[Total]]*10%,0)</f>
        <v>0.9</v>
      </c>
      <c r="K1445" s="35">
        <f>IFERROR(VLOOKUP(VENTAS[[#This Row],[Código del producto Vendido]],STOCK[],16,FALSE)*VENTAS[[#This Row],[Cantidad]]+VLOOKUP(VENTAS[[#This Row],[Código del producto Vendido]],STOCK[],19,FALSE)*VENTAS[[#This Row],[Cantidad]],VENTAS[[#This Row],[Total]])</f>
        <v>4.32</v>
      </c>
      <c r="L1445" s="35">
        <f>VENTAS[[#This Row],[Total]]-VENTAS[[#This Row],[Comisión 10%]]-VENTAS[[#This Row],[Costo SIN Comision]]</f>
        <v>3.78</v>
      </c>
      <c r="M1445" s="35"/>
    </row>
    <row r="1446" ht="20" customHeight="1" spans="1:13">
      <c r="A1446" s="29">
        <v>45538</v>
      </c>
      <c r="B1446" s="30"/>
      <c r="C1446" s="30" t="s">
        <v>3659</v>
      </c>
      <c r="D1446" s="30" t="s">
        <v>3513</v>
      </c>
      <c r="E1446" s="30" t="s">
        <v>1701</v>
      </c>
      <c r="F1446" s="34" t="str">
        <f>IFERROR(VLOOKUP(VENTAS[[#This Row],[Código del producto Vendido]],STOCK[],5,FALSE),"-")</f>
        <v>Vestido Frente Drapeado Negro y Blanco</v>
      </c>
      <c r="G1446" s="34">
        <v>1</v>
      </c>
      <c r="H1446" s="35">
        <v>30</v>
      </c>
      <c r="I1446" s="35">
        <f>VENTAS[[#This Row],[Cantidad]]*VENTAS[[#This Row],[Precio Venta]]</f>
        <v>30</v>
      </c>
      <c r="J1446" s="35">
        <f>IF(VENTAS[[#This Row],[Nombre del Gestor]]&gt;1,VENTAS[[#This Row],[Total]]*10%,0)</f>
        <v>3</v>
      </c>
      <c r="K1446" s="35">
        <f>IFERROR(VLOOKUP(VENTAS[[#This Row],[Código del producto Vendido]],STOCK[],16,FALSE)*VENTAS[[#This Row],[Cantidad]]+VLOOKUP(VENTAS[[#This Row],[Código del producto Vendido]],STOCK[],19,FALSE)*VENTAS[[#This Row],[Cantidad]],VENTAS[[#This Row],[Total]])</f>
        <v>11.4</v>
      </c>
      <c r="L1446" s="35">
        <f>VENTAS[[#This Row],[Total]]-VENTAS[[#This Row],[Comisión 10%]]-VENTAS[[#This Row],[Costo SIN Comision]]</f>
        <v>15.6</v>
      </c>
      <c r="M1446" s="35"/>
    </row>
    <row r="1447" ht="20" customHeight="1" spans="1:13">
      <c r="A1447" s="29">
        <v>45537</v>
      </c>
      <c r="B1447" s="30"/>
      <c r="C1447" s="30"/>
      <c r="D1447" s="30" t="s">
        <v>3616</v>
      </c>
      <c r="E1447" s="30" t="s">
        <v>2445</v>
      </c>
      <c r="F1447" s="34" t="str">
        <f>IFERROR(VLOOKUP(VENTAS[[#This Row],[Código del producto Vendido]],STOCK[],5,FALSE),"-")</f>
        <v>Sandalias carmelitas de moda con correa de velcro</v>
      </c>
      <c r="G1447" s="34">
        <v>1</v>
      </c>
      <c r="H1447" s="35">
        <v>35</v>
      </c>
      <c r="I1447" s="35">
        <f>VENTAS[[#This Row],[Cantidad]]*VENTAS[[#This Row],[Precio Venta]]</f>
        <v>35</v>
      </c>
      <c r="J1447" s="35">
        <f>IF(VENTAS[[#This Row],[Nombre del Gestor]]&gt;1,VENTAS[[#This Row],[Total]]*10%,0)</f>
        <v>3.5</v>
      </c>
      <c r="K1447" s="35">
        <f>IFERROR(VLOOKUP(VENTAS[[#This Row],[Código del producto Vendido]],STOCK[],16,FALSE)*VENTAS[[#This Row],[Cantidad]]+VLOOKUP(VENTAS[[#This Row],[Código del producto Vendido]],STOCK[],19,FALSE)*VENTAS[[#This Row],[Cantidad]],VENTAS[[#This Row],[Total]])</f>
        <v>19.47</v>
      </c>
      <c r="L1447" s="35">
        <f>VENTAS[[#This Row],[Total]]-VENTAS[[#This Row],[Comisión 10%]]-VENTAS[[#This Row],[Costo SIN Comision]]</f>
        <v>12.03</v>
      </c>
      <c r="M1447" s="35"/>
    </row>
    <row r="1448" ht="20" customHeight="1" spans="1:13">
      <c r="A1448" s="29"/>
      <c r="B1448" s="30"/>
      <c r="C1448" s="30"/>
      <c r="D1448" s="30" t="s">
        <v>3660</v>
      </c>
      <c r="E1448" s="30" t="s">
        <v>2285</v>
      </c>
      <c r="F1448" s="34" t="str">
        <f>IFERROR(VLOOKUP(VENTAS[[#This Row],[Código del producto Vendido]],STOCK[],5,FALSE),"-")</f>
        <v>Bolso de lona en bloque de color</v>
      </c>
      <c r="G1448" s="34">
        <v>1</v>
      </c>
      <c r="H1448" s="35">
        <v>10.8</v>
      </c>
      <c r="I1448" s="35">
        <f>VENTAS[[#This Row],[Cantidad]]*VENTAS[[#This Row],[Precio Venta]]</f>
        <v>10.8</v>
      </c>
      <c r="J1448" s="35">
        <f>IF(VENTAS[[#This Row],[Nombre del Gestor]]&gt;1,VENTAS[[#This Row],[Total]]*10%,0)</f>
        <v>1.08</v>
      </c>
      <c r="K1448" s="35">
        <f>IFERROR(VLOOKUP(VENTAS[[#This Row],[Código del producto Vendido]],STOCK[],16,FALSE)*VENTAS[[#This Row],[Cantidad]]+VLOOKUP(VENTAS[[#This Row],[Código del producto Vendido]],STOCK[],19,FALSE)*VENTAS[[#This Row],[Cantidad]],VENTAS[[#This Row],[Total]])</f>
        <v>5.54</v>
      </c>
      <c r="L1448" s="35">
        <f>VENTAS[[#This Row],[Total]]-VENTAS[[#This Row],[Comisión 10%]]-VENTAS[[#This Row],[Costo SIN Comision]]</f>
        <v>4.18</v>
      </c>
      <c r="M1448" s="35"/>
    </row>
    <row r="1449" ht="20" customHeight="1" spans="1:13">
      <c r="A1449" s="29"/>
      <c r="B1449" s="30"/>
      <c r="C1449" s="30"/>
      <c r="D1449" s="30" t="s">
        <v>3605</v>
      </c>
      <c r="E1449" s="30" t="s">
        <v>2543</v>
      </c>
      <c r="F1449" s="34" t="str">
        <f>IFERROR(VLOOKUP(VENTAS[[#This Row],[Código del producto Vendido]],STOCK[],5,FALSE),"-")</f>
        <v>Pullover largo unicolor tela traslúcida negro</v>
      </c>
      <c r="G1449" s="34">
        <v>1</v>
      </c>
      <c r="H1449" s="35">
        <v>10</v>
      </c>
      <c r="I1449" s="35">
        <f>VENTAS[[#This Row],[Cantidad]]*VENTAS[[#This Row],[Precio Venta]]</f>
        <v>10</v>
      </c>
      <c r="J1449" s="35">
        <f>IF(VENTAS[[#This Row],[Nombre del Gestor]]&gt;1,VENTAS[[#This Row],[Total]]*10%,0)</f>
        <v>1</v>
      </c>
      <c r="K1449" s="35">
        <f>IFERROR(VLOOKUP(VENTAS[[#This Row],[Código del producto Vendido]],STOCK[],16,FALSE)*VENTAS[[#This Row],[Cantidad]]+VLOOKUP(VENTAS[[#This Row],[Código del producto Vendido]],STOCK[],19,FALSE)*VENTAS[[#This Row],[Cantidad]],VENTAS[[#This Row],[Total]])</f>
        <v>4.32</v>
      </c>
      <c r="L1449" s="35">
        <f>VENTAS[[#This Row],[Total]]-VENTAS[[#This Row],[Comisión 10%]]-VENTAS[[#This Row],[Costo SIN Comision]]</f>
        <v>4.68</v>
      </c>
      <c r="M1449" s="35"/>
    </row>
    <row r="1450" ht="20" customHeight="1" spans="1:13">
      <c r="A1450" s="29"/>
      <c r="B1450" s="30"/>
      <c r="C1450" s="30"/>
      <c r="D1450" s="30" t="s">
        <v>3605</v>
      </c>
      <c r="E1450" s="30" t="s">
        <v>2547</v>
      </c>
      <c r="F1450" s="34" t="str">
        <f>IFERROR(VLOOKUP(VENTAS[[#This Row],[Código del producto Vendido]],STOCK[],5,FALSE),"-")</f>
        <v>Pullover largo unicolor tela traslúcida terracota</v>
      </c>
      <c r="G1450" s="34">
        <v>1</v>
      </c>
      <c r="H1450" s="35">
        <v>10</v>
      </c>
      <c r="I1450" s="35">
        <f>VENTAS[[#This Row],[Cantidad]]*VENTAS[[#This Row],[Precio Venta]]</f>
        <v>10</v>
      </c>
      <c r="J1450" s="35">
        <f>IF(VENTAS[[#This Row],[Nombre del Gestor]]&gt;1,VENTAS[[#This Row],[Total]]*10%,0)</f>
        <v>1</v>
      </c>
      <c r="K1450" s="35">
        <f>IFERROR(VLOOKUP(VENTAS[[#This Row],[Código del producto Vendido]],STOCK[],16,FALSE)*VENTAS[[#This Row],[Cantidad]]+VLOOKUP(VENTAS[[#This Row],[Código del producto Vendido]],STOCK[],19,FALSE)*VENTAS[[#This Row],[Cantidad]],VENTAS[[#This Row],[Total]])</f>
        <v>4.32</v>
      </c>
      <c r="L1450" s="35">
        <f>VENTAS[[#This Row],[Total]]-VENTAS[[#This Row],[Comisión 10%]]-VENTAS[[#This Row],[Costo SIN Comision]]</f>
        <v>4.68</v>
      </c>
      <c r="M1450" s="35"/>
    </row>
    <row r="1451" ht="20" customHeight="1" spans="1:13">
      <c r="A1451" s="29"/>
      <c r="B1451" s="30"/>
      <c r="C1451" s="30"/>
      <c r="D1451" s="30" t="s">
        <v>3605</v>
      </c>
      <c r="E1451" s="30" t="s">
        <v>2550</v>
      </c>
      <c r="F1451" s="34" t="str">
        <f>IFERROR(VLOOKUP(VENTAS[[#This Row],[Código del producto Vendido]],STOCK[],5,FALSE),"-")</f>
        <v>Pullover largo unicolor tela traslúcida beige</v>
      </c>
      <c r="G1451" s="34">
        <v>1</v>
      </c>
      <c r="H1451" s="35">
        <v>10</v>
      </c>
      <c r="I1451" s="35">
        <f>VENTAS[[#This Row],[Cantidad]]*VENTAS[[#This Row],[Precio Venta]]</f>
        <v>10</v>
      </c>
      <c r="J1451" s="35">
        <f>IF(VENTAS[[#This Row],[Nombre del Gestor]]&gt;1,VENTAS[[#This Row],[Total]]*10%,0)</f>
        <v>1</v>
      </c>
      <c r="K1451" s="35">
        <f>IFERROR(VLOOKUP(VENTAS[[#This Row],[Código del producto Vendido]],STOCK[],16,FALSE)*VENTAS[[#This Row],[Cantidad]]+VLOOKUP(VENTAS[[#This Row],[Código del producto Vendido]],STOCK[],19,FALSE)*VENTAS[[#This Row],[Cantidad]],VENTAS[[#This Row],[Total]])</f>
        <v>4.32</v>
      </c>
      <c r="L1451" s="35">
        <f>VENTAS[[#This Row],[Total]]-VENTAS[[#This Row],[Comisión 10%]]-VENTAS[[#This Row],[Costo SIN Comision]]</f>
        <v>4.68</v>
      </c>
      <c r="M1451" s="35"/>
    </row>
    <row r="1452" ht="20" customHeight="1" spans="1:13">
      <c r="A1452" s="29">
        <v>45544</v>
      </c>
      <c r="B1452" s="30"/>
      <c r="C1452" s="30"/>
      <c r="D1452" s="30" t="s">
        <v>3451</v>
      </c>
      <c r="E1452" s="30" t="s">
        <v>2715</v>
      </c>
      <c r="F1452" s="34" t="str">
        <f>IFERROR(VLOOKUP(VENTAS[[#This Row],[Código del producto Vendido]],STOCK[],5,FALSE),"-")</f>
        <v>Chaleco Healter color crema y botones coral H&amp;M</v>
      </c>
      <c r="G1452" s="34">
        <v>1</v>
      </c>
      <c r="H1452" s="35">
        <v>30</v>
      </c>
      <c r="I1452" s="35">
        <f>VENTAS[[#This Row],[Cantidad]]*VENTAS[[#This Row],[Precio Venta]]</f>
        <v>30</v>
      </c>
      <c r="J1452" s="35">
        <f>IF(VENTAS[[#This Row],[Nombre del Gestor]]&gt;1,VENTAS[[#This Row],[Total]]*10%,0)</f>
        <v>3</v>
      </c>
      <c r="K1452" s="35">
        <f>IFERROR(VLOOKUP(VENTAS[[#This Row],[Código del producto Vendido]],STOCK[],16,FALSE)*VENTAS[[#This Row],[Cantidad]]+VLOOKUP(VENTAS[[#This Row],[Código del producto Vendido]],STOCK[],19,FALSE)*VENTAS[[#This Row],[Cantidad]],VENTAS[[#This Row],[Total]])</f>
        <v>19</v>
      </c>
      <c r="L1452" s="35">
        <f>VENTAS[[#This Row],[Total]]-VENTAS[[#This Row],[Comisión 10%]]-VENTAS[[#This Row],[Costo SIN Comision]]</f>
        <v>8</v>
      </c>
      <c r="M1452" s="35"/>
    </row>
    <row r="1453" ht="20" customHeight="1" spans="1:13">
      <c r="A1453" s="29">
        <v>45544</v>
      </c>
      <c r="B1453" s="30"/>
      <c r="C1453" s="30"/>
      <c r="D1453" s="30" t="s">
        <v>3451</v>
      </c>
      <c r="E1453" s="30" t="s">
        <v>2356</v>
      </c>
      <c r="F1453" s="34" t="str">
        <f>IFERROR(VLOOKUP(VENTAS[[#This Row],[Código del producto Vendido]],STOCK[],5,FALSE),"-")</f>
        <v>Espejuelos rectangulares unisex</v>
      </c>
      <c r="G1453" s="34">
        <v>1</v>
      </c>
      <c r="H1453" s="35">
        <v>10</v>
      </c>
      <c r="I1453" s="35">
        <f>VENTAS[[#This Row],[Cantidad]]*VENTAS[[#This Row],[Precio Venta]]</f>
        <v>10</v>
      </c>
      <c r="J1453" s="35">
        <f>IF(VENTAS[[#This Row],[Nombre del Gestor]]&gt;1,VENTAS[[#This Row],[Total]]*10%,0)</f>
        <v>1</v>
      </c>
      <c r="K1453" s="35">
        <f>IFERROR(VLOOKUP(VENTAS[[#This Row],[Código del producto Vendido]],STOCK[],16,FALSE)*VENTAS[[#This Row],[Cantidad]]+VLOOKUP(VENTAS[[#This Row],[Código del producto Vendido]],STOCK[],19,FALSE)*VENTAS[[#This Row],[Cantidad]],VENTAS[[#This Row],[Total]])</f>
        <v>6.33125</v>
      </c>
      <c r="L1453" s="35">
        <f>VENTAS[[#This Row],[Total]]-VENTAS[[#This Row],[Comisión 10%]]-VENTAS[[#This Row],[Costo SIN Comision]]</f>
        <v>2.66875</v>
      </c>
      <c r="M1453" s="35"/>
    </row>
    <row r="1454" ht="20" customHeight="1" spans="1:13">
      <c r="A1454" s="29"/>
      <c r="B1454" s="30"/>
      <c r="C1454" s="30" t="s">
        <v>3486</v>
      </c>
      <c r="D1454" s="30"/>
      <c r="E1454" s="30" t="s">
        <v>788</v>
      </c>
      <c r="F1454" s="34" t="str">
        <f>IFERROR(VLOOKUP(VENTAS[[#This Row],[Código del producto Vendido]],STOCK[],5,FALSE),"-")</f>
        <v>Visera rosa</v>
      </c>
      <c r="G1454" s="34">
        <v>1</v>
      </c>
      <c r="H1454" s="35">
        <v>0</v>
      </c>
      <c r="I1454" s="35">
        <f>VENTAS[[#This Row],[Cantidad]]*VENTAS[[#This Row],[Precio Venta]]</f>
        <v>0</v>
      </c>
      <c r="J1454" s="35">
        <f>IF(VENTAS[[#This Row],[Nombre del Gestor]]&gt;1,VENTAS[[#This Row],[Total]]*10%,0)</f>
        <v>0</v>
      </c>
      <c r="K1454" s="35">
        <f>IFERROR(VLOOKUP(VENTAS[[#This Row],[Código del producto Vendido]],STOCK[],16,FALSE)*VENTAS[[#This Row],[Cantidad]]+VLOOKUP(VENTAS[[#This Row],[Código del producto Vendido]],STOCK[],19,FALSE)*VENTAS[[#This Row],[Cantidad]],VENTAS[[#This Row],[Total]])</f>
        <v>11.5555555555556</v>
      </c>
      <c r="L1454" s="35">
        <f>VENTAS[[#This Row],[Total]]-VENTAS[[#This Row],[Comisión 10%]]-VENTAS[[#This Row],[Costo SIN Comision]]</f>
        <v>-11.5555555555556</v>
      </c>
      <c r="M1454" s="35"/>
    </row>
    <row r="1455" ht="20" customHeight="1" spans="1:13">
      <c r="A1455" s="29">
        <v>45557</v>
      </c>
      <c r="B1455" s="30"/>
      <c r="C1455" s="30" t="s">
        <v>3661</v>
      </c>
      <c r="D1455" s="30" t="s">
        <v>3506</v>
      </c>
      <c r="E1455" s="30" t="s">
        <v>2615</v>
      </c>
      <c r="F1455" s="34" t="str">
        <f>IFERROR(VLOOKUP(VENTAS[[#This Row],[Código del producto Vendido]],STOCK[],5,FALSE),"-")</f>
        <v>Vestido Blanco en Bordado Inglés</v>
      </c>
      <c r="G1455" s="34">
        <v>1</v>
      </c>
      <c r="H1455" s="35">
        <v>25</v>
      </c>
      <c r="I1455" s="35">
        <f>VENTAS[[#This Row],[Cantidad]]*VENTAS[[#This Row],[Precio Venta]]</f>
        <v>25</v>
      </c>
      <c r="J1455" s="35">
        <f>IF(VENTAS[[#This Row],[Nombre del Gestor]]&gt;1,VENTAS[[#This Row],[Total]]*10%,0)</f>
        <v>2.5</v>
      </c>
      <c r="K1455" s="35">
        <f>IFERROR(VLOOKUP(VENTAS[[#This Row],[Código del producto Vendido]],STOCK[],16,FALSE)*VENTAS[[#This Row],[Cantidad]]+VLOOKUP(VENTAS[[#This Row],[Código del producto Vendido]],STOCK[],19,FALSE)*VENTAS[[#This Row],[Cantidad]],VENTAS[[#This Row],[Total]])</f>
        <v>13.48</v>
      </c>
      <c r="L1455" s="35">
        <f>VENTAS[[#This Row],[Total]]-VENTAS[[#This Row],[Comisión 10%]]-VENTAS[[#This Row],[Costo SIN Comision]]</f>
        <v>9.02</v>
      </c>
      <c r="M1455" s="35"/>
    </row>
    <row r="1456" ht="20" customHeight="1" spans="1:13">
      <c r="A1456" s="29"/>
      <c r="B1456" s="30"/>
      <c r="C1456" s="30" t="s">
        <v>3662</v>
      </c>
      <c r="D1456" s="30" t="s">
        <v>3451</v>
      </c>
      <c r="E1456" s="30" t="s">
        <v>2738</v>
      </c>
      <c r="F1456" s="34" t="str">
        <f>IFERROR(VLOOKUP(VENTAS[[#This Row],[Código del producto Vendido]],STOCK[],5,FALSE),"-")</f>
        <v>Sandalias planas de moda de punta cuadrada (encargo)</v>
      </c>
      <c r="G1456" s="34">
        <v>1</v>
      </c>
      <c r="H1456" s="35">
        <v>12</v>
      </c>
      <c r="I1456" s="35">
        <f>VENTAS[[#This Row],[Cantidad]]*VENTAS[[#This Row],[Precio Venta]]</f>
        <v>12</v>
      </c>
      <c r="J1456" s="35">
        <f>IF(VENTAS[[#This Row],[Nombre del Gestor]]&gt;1,VENTAS[[#This Row],[Total]]*10%,0)</f>
        <v>1.2</v>
      </c>
      <c r="K1456" s="35">
        <f>IFERROR(VLOOKUP(VENTAS[[#This Row],[Código del producto Vendido]],STOCK[],16,FALSE)*VENTAS[[#This Row],[Cantidad]]+VLOOKUP(VENTAS[[#This Row],[Código del producto Vendido]],STOCK[],19,FALSE)*VENTAS[[#This Row],[Cantidad]],VENTAS[[#This Row],[Total]])</f>
        <v>8.34</v>
      </c>
      <c r="L1456" s="35">
        <f>VENTAS[[#This Row],[Total]]-VENTAS[[#This Row],[Comisión 10%]]-VENTAS[[#This Row],[Costo SIN Comision]]</f>
        <v>2.46</v>
      </c>
      <c r="M1456" s="35"/>
    </row>
    <row r="1457" ht="20" customHeight="1" spans="1:13">
      <c r="A1457" s="29"/>
      <c r="B1457" s="30"/>
      <c r="C1457" s="30" t="s">
        <v>3318</v>
      </c>
      <c r="D1457" s="30" t="s">
        <v>3315</v>
      </c>
      <c r="E1457" s="30" t="s">
        <v>2745</v>
      </c>
      <c r="F1457" s="34" t="str">
        <f>IFERROR(VLOOKUP(VENTAS[[#This Row],[Código del producto Vendido]],STOCK[],5,FALSE),"-")</f>
        <v>Yoga Sexy Set Deportivo con abertura trasera color Albaricoque</v>
      </c>
      <c r="G1457" s="34">
        <v>1</v>
      </c>
      <c r="H1457" s="35">
        <v>35</v>
      </c>
      <c r="I1457" s="35">
        <f>VENTAS[[#This Row],[Cantidad]]*VENTAS[[#This Row],[Precio Venta]]</f>
        <v>35</v>
      </c>
      <c r="J1457" s="35">
        <f>IF(VENTAS[[#This Row],[Nombre del Gestor]]&gt;1,VENTAS[[#This Row],[Total]]*10%,0)</f>
        <v>3.5</v>
      </c>
      <c r="K1457" s="35">
        <f>IFERROR(VLOOKUP(VENTAS[[#This Row],[Código del producto Vendido]],STOCK[],16,FALSE)*VENTAS[[#This Row],[Cantidad]]+VLOOKUP(VENTAS[[#This Row],[Código del producto Vendido]],STOCK[],19,FALSE)*VENTAS[[#This Row],[Cantidad]],VENTAS[[#This Row],[Total]])</f>
        <v>14.52</v>
      </c>
      <c r="L1457" s="35">
        <f>VENTAS[[#This Row],[Total]]-VENTAS[[#This Row],[Comisión 10%]]-VENTAS[[#This Row],[Costo SIN Comision]]</f>
        <v>16.98</v>
      </c>
      <c r="M1457" s="35"/>
    </row>
    <row r="1458" ht="20" customHeight="1" spans="1:13">
      <c r="A1458" s="29">
        <v>45548</v>
      </c>
      <c r="B1458" s="30"/>
      <c r="C1458" s="30" t="s">
        <v>3663</v>
      </c>
      <c r="D1458" s="30" t="s">
        <v>3481</v>
      </c>
      <c r="E1458" s="30" t="s">
        <v>2757</v>
      </c>
      <c r="F1458" s="34" t="str">
        <f>IFERROR(VLOOKUP(VENTAS[[#This Row],[Código del producto Vendido]],STOCK[],5,FALSE),"-")</f>
        <v>Vestido semiformal de hombros torcidos color naranja</v>
      </c>
      <c r="G1458" s="34">
        <v>1</v>
      </c>
      <c r="H1458" s="35">
        <v>25</v>
      </c>
      <c r="I1458" s="35">
        <f>VENTAS[[#This Row],[Cantidad]]*VENTAS[[#This Row],[Precio Venta]]</f>
        <v>25</v>
      </c>
      <c r="J1458" s="35">
        <f>IF(VENTAS[[#This Row],[Nombre del Gestor]]&gt;1,VENTAS[[#This Row],[Total]]*10%,0)</f>
        <v>2.5</v>
      </c>
      <c r="K1458" s="35">
        <f>IFERROR(VLOOKUP(VENTAS[[#This Row],[Código del producto Vendido]],STOCK[],16,FALSE)*VENTAS[[#This Row],[Cantidad]]+VLOOKUP(VENTAS[[#This Row],[Código del producto Vendido]],STOCK[],19,FALSE)*VENTAS[[#This Row],[Cantidad]],VENTAS[[#This Row],[Total]])</f>
        <v>11.6</v>
      </c>
      <c r="L1458" s="35">
        <f>VENTAS[[#This Row],[Total]]-VENTAS[[#This Row],[Comisión 10%]]-VENTAS[[#This Row],[Costo SIN Comision]]</f>
        <v>10.9</v>
      </c>
      <c r="M1458" s="35"/>
    </row>
    <row r="1459" ht="20" customHeight="1" spans="1:13">
      <c r="A1459" s="29"/>
      <c r="B1459" s="30"/>
      <c r="C1459" s="30"/>
      <c r="D1459" s="30" t="s">
        <v>3664</v>
      </c>
      <c r="E1459" s="30" t="s">
        <v>2415</v>
      </c>
      <c r="F1459" s="34" t="str">
        <f>IFERROR(VLOOKUP(VENTAS[[#This Row],[Código del producto Vendido]],STOCK[],5,FALSE),"-")</f>
        <v>Camisa blanca en mezcla de algodón</v>
      </c>
      <c r="G1459" s="34">
        <v>1</v>
      </c>
      <c r="H1459" s="35">
        <v>25</v>
      </c>
      <c r="I1459" s="35">
        <f>VENTAS[[#This Row],[Cantidad]]*VENTAS[[#This Row],[Precio Venta]]</f>
        <v>25</v>
      </c>
      <c r="J1459" s="35">
        <f>IF(VENTAS[[#This Row],[Nombre del Gestor]]&gt;1,VENTAS[[#This Row],[Total]]*10%,0)</f>
        <v>2.5</v>
      </c>
      <c r="K1459" s="35">
        <f>IFERROR(VLOOKUP(VENTAS[[#This Row],[Código del producto Vendido]],STOCK[],16,FALSE)*VENTAS[[#This Row],[Cantidad]]+VLOOKUP(VENTAS[[#This Row],[Código del producto Vendido]],STOCK[],19,FALSE)*VENTAS[[#This Row],[Cantidad]],VENTAS[[#This Row],[Total]])</f>
        <v>17.7808108108108</v>
      </c>
      <c r="L1459" s="35">
        <f>VENTAS[[#This Row],[Total]]-VENTAS[[#This Row],[Comisión 10%]]-VENTAS[[#This Row],[Costo SIN Comision]]</f>
        <v>4.7191891891892</v>
      </c>
      <c r="M1459" s="35"/>
    </row>
    <row r="1460" ht="20" customHeight="1" spans="1:13">
      <c r="A1460" s="29"/>
      <c r="B1460" s="30"/>
      <c r="C1460" s="30" t="s">
        <v>3665</v>
      </c>
      <c r="D1460" s="30" t="s">
        <v>3462</v>
      </c>
      <c r="E1460" s="30" t="s">
        <v>2124</v>
      </c>
      <c r="F1460" s="34" t="str">
        <f>IFERROR(VLOOKUP(VENTAS[[#This Row],[Código del producto Vendido]],STOCK[],5,FALSE),"-")</f>
        <v>Set de traje de baño elegante 2 piezas con adorno en forma de V</v>
      </c>
      <c r="G1460" s="34">
        <v>1</v>
      </c>
      <c r="H1460" s="35">
        <v>25</v>
      </c>
      <c r="I1460" s="35">
        <f>VENTAS[[#This Row],[Cantidad]]*VENTAS[[#This Row],[Precio Venta]]</f>
        <v>25</v>
      </c>
      <c r="J1460" s="35">
        <f>IF(VENTAS[[#This Row],[Nombre del Gestor]]&gt;1,VENTAS[[#This Row],[Total]]*10%,0)</f>
        <v>2.5</v>
      </c>
      <c r="K1460" s="35">
        <f>IFERROR(VLOOKUP(VENTAS[[#This Row],[Código del producto Vendido]],STOCK[],16,FALSE)*VENTAS[[#This Row],[Cantidad]]+VLOOKUP(VENTAS[[#This Row],[Código del producto Vendido]],STOCK[],19,FALSE)*VENTAS[[#This Row],[Cantidad]],VENTAS[[#This Row],[Total]])</f>
        <v>11.21</v>
      </c>
      <c r="L1460" s="35">
        <f>VENTAS[[#This Row],[Total]]-VENTAS[[#This Row],[Comisión 10%]]-VENTAS[[#This Row],[Costo SIN Comision]]</f>
        <v>11.29</v>
      </c>
      <c r="M1460" s="35"/>
    </row>
    <row r="1461" ht="20" customHeight="1" spans="1:13">
      <c r="A1461" s="29">
        <v>45553</v>
      </c>
      <c r="B1461" s="30"/>
      <c r="C1461" s="30" t="s">
        <v>3666</v>
      </c>
      <c r="D1461" s="30" t="s">
        <v>3667</v>
      </c>
      <c r="E1461" s="30" t="s">
        <v>2112</v>
      </c>
      <c r="F1461" s="34" t="str">
        <f>IFERROR(VLOOKUP(VENTAS[[#This Row],[Código del producto Vendido]],STOCK[],5,FALSE),"-")</f>
        <v>Flor TOTE fashion bag</v>
      </c>
      <c r="G1461" s="34">
        <v>1</v>
      </c>
      <c r="H1461" s="35">
        <v>10.8</v>
      </c>
      <c r="I1461" s="35">
        <f>VENTAS[[#This Row],[Cantidad]]*VENTAS[[#This Row],[Precio Venta]]</f>
        <v>10.8</v>
      </c>
      <c r="J1461" s="35">
        <f>IF(VENTAS[[#This Row],[Nombre del Gestor]]&gt;1,VENTAS[[#This Row],[Total]]*10%,0)</f>
        <v>1.08</v>
      </c>
      <c r="K1461" s="35">
        <f>IFERROR(VLOOKUP(VENTAS[[#This Row],[Código del producto Vendido]],STOCK[],16,FALSE)*VENTAS[[#This Row],[Cantidad]]+VLOOKUP(VENTAS[[#This Row],[Código del producto Vendido]],STOCK[],19,FALSE)*VENTAS[[#This Row],[Cantidad]],VENTAS[[#This Row],[Total]])</f>
        <v>3.77</v>
      </c>
      <c r="L1461" s="35">
        <f>VENTAS[[#This Row],[Total]]-VENTAS[[#This Row],[Comisión 10%]]-VENTAS[[#This Row],[Costo SIN Comision]]</f>
        <v>5.95</v>
      </c>
      <c r="M1461" s="35"/>
    </row>
    <row r="1462" ht="20" customHeight="1" spans="1:13">
      <c r="A1462" s="29">
        <v>45548</v>
      </c>
      <c r="B1462" s="30"/>
      <c r="C1462" s="30" t="s">
        <v>3668</v>
      </c>
      <c r="D1462" s="30" t="s">
        <v>3506</v>
      </c>
      <c r="E1462" s="30" t="s">
        <v>1832</v>
      </c>
      <c r="F1462" s="34" t="str">
        <f>IFERROR(VLOOKUP(VENTAS[[#This Row],[Código del producto Vendido]],STOCK[],5,FALSE),"-")</f>
        <v>Pantalón en piel </v>
      </c>
      <c r="G1462" s="34">
        <v>1</v>
      </c>
      <c r="H1462" s="35">
        <v>25</v>
      </c>
      <c r="I1462" s="35">
        <f>VENTAS[[#This Row],[Cantidad]]*VENTAS[[#This Row],[Precio Venta]]</f>
        <v>25</v>
      </c>
      <c r="J1462" s="35">
        <f>IF(VENTAS[[#This Row],[Nombre del Gestor]]&gt;1,VENTAS[[#This Row],[Total]]*10%,0)</f>
        <v>2.5</v>
      </c>
      <c r="K1462" s="35">
        <f>IFERROR(VLOOKUP(VENTAS[[#This Row],[Código del producto Vendido]],STOCK[],16,FALSE)*VENTAS[[#This Row],[Cantidad]]+VLOOKUP(VENTAS[[#This Row],[Código del producto Vendido]],STOCK[],19,FALSE)*VENTAS[[#This Row],[Cantidad]],VENTAS[[#This Row],[Total]])</f>
        <v>11.79</v>
      </c>
      <c r="L1462" s="35">
        <f>VENTAS[[#This Row],[Total]]-VENTAS[[#This Row],[Comisión 10%]]-VENTAS[[#This Row],[Costo SIN Comision]]</f>
        <v>10.71</v>
      </c>
      <c r="M1462" s="35"/>
    </row>
    <row r="1463" ht="20" customHeight="1" spans="1:13">
      <c r="A1463" s="29">
        <v>45558</v>
      </c>
      <c r="B1463" s="30"/>
      <c r="C1463" s="30" t="s">
        <v>3669</v>
      </c>
      <c r="D1463" s="30" t="s">
        <v>3481</v>
      </c>
      <c r="E1463" s="30" t="s">
        <v>1830</v>
      </c>
      <c r="F1463" s="34" t="str">
        <f>IFERROR(VLOOKUP(VENTAS[[#This Row],[Código del producto Vendido]],STOCK[],5,FALSE),"-")</f>
        <v>Pantalón en piel </v>
      </c>
      <c r="G1463" s="34">
        <v>1</v>
      </c>
      <c r="H1463" s="35">
        <v>25</v>
      </c>
      <c r="I1463" s="35">
        <f>VENTAS[[#This Row],[Cantidad]]*VENTAS[[#This Row],[Precio Venta]]</f>
        <v>25</v>
      </c>
      <c r="J1463" s="35">
        <f>IF(VENTAS[[#This Row],[Nombre del Gestor]]&gt;1,VENTAS[[#This Row],[Total]]*10%,0)</f>
        <v>2.5</v>
      </c>
      <c r="K1463" s="35">
        <f>IFERROR(VLOOKUP(VENTAS[[#This Row],[Código del producto Vendido]],STOCK[],16,FALSE)*VENTAS[[#This Row],[Cantidad]]+VLOOKUP(VENTAS[[#This Row],[Código del producto Vendido]],STOCK[],19,FALSE)*VENTAS[[#This Row],[Cantidad]],VENTAS[[#This Row],[Total]])</f>
        <v>11.79</v>
      </c>
      <c r="L1463" s="35">
        <f>VENTAS[[#This Row],[Total]]-VENTAS[[#This Row],[Comisión 10%]]-VENTAS[[#This Row],[Costo SIN Comision]]</f>
        <v>10.71</v>
      </c>
      <c r="M1463" s="35"/>
    </row>
    <row r="1464" ht="20" customHeight="1" spans="1:13">
      <c r="A1464" s="29">
        <v>45558</v>
      </c>
      <c r="B1464" s="30"/>
      <c r="C1464" s="30" t="s">
        <v>3669</v>
      </c>
      <c r="D1464" s="30" t="s">
        <v>3481</v>
      </c>
      <c r="E1464" s="30" t="s">
        <v>1487</v>
      </c>
      <c r="F1464" s="34" t="str">
        <f>IFERROR(VLOOKUP(VENTAS[[#This Row],[Código del producto Vendido]],STOCK[],5,FALSE),"-")</f>
        <v>Falda satinada negra línea A </v>
      </c>
      <c r="G1464" s="34">
        <v>2</v>
      </c>
      <c r="H1464" s="35">
        <v>25</v>
      </c>
      <c r="I1464" s="35">
        <f>VENTAS[[#This Row],[Cantidad]]*VENTAS[[#This Row],[Precio Venta]]</f>
        <v>50</v>
      </c>
      <c r="J1464" s="35">
        <f>IF(VENTAS[[#This Row],[Nombre del Gestor]]&gt;1,VENTAS[[#This Row],[Total]]*10%,0)</f>
        <v>5</v>
      </c>
      <c r="K1464" s="35">
        <f>IFERROR(VLOOKUP(VENTAS[[#This Row],[Código del producto Vendido]],STOCK[],16,FALSE)*VENTAS[[#This Row],[Cantidad]]+VLOOKUP(VENTAS[[#This Row],[Código del producto Vendido]],STOCK[],19,FALSE)*VENTAS[[#This Row],[Cantidad]],VENTAS[[#This Row],[Total]])</f>
        <v>30</v>
      </c>
      <c r="L1464" s="35">
        <f>VENTAS[[#This Row],[Total]]-VENTAS[[#This Row],[Comisión 10%]]-VENTAS[[#This Row],[Costo SIN Comision]]</f>
        <v>15</v>
      </c>
      <c r="M1464" s="35"/>
    </row>
    <row r="1465" ht="20" customHeight="1" spans="1:13">
      <c r="A1465" s="29">
        <v>45558</v>
      </c>
      <c r="B1465" s="30"/>
      <c r="C1465" s="30" t="s">
        <v>3669</v>
      </c>
      <c r="D1465" s="30" t="s">
        <v>3481</v>
      </c>
      <c r="E1465" s="30" t="s">
        <v>2508</v>
      </c>
      <c r="F1465" s="34" t="str">
        <f>IFERROR(VLOOKUP(VENTAS[[#This Row],[Código del producto Vendido]],STOCK[],5,FALSE),"-")</f>
        <v>Camisa elegante de listas</v>
      </c>
      <c r="G1465" s="34">
        <v>1</v>
      </c>
      <c r="H1465" s="35">
        <v>22</v>
      </c>
      <c r="I1465" s="35">
        <f>VENTAS[[#This Row],[Cantidad]]*VENTAS[[#This Row],[Precio Venta]]</f>
        <v>22</v>
      </c>
      <c r="J1465" s="35">
        <f>IF(VENTAS[[#This Row],[Nombre del Gestor]]&gt;1,VENTAS[[#This Row],[Total]]*10%,0)</f>
        <v>2.2</v>
      </c>
      <c r="K1465" s="35">
        <f>IFERROR(VLOOKUP(VENTAS[[#This Row],[Código del producto Vendido]],STOCK[],16,FALSE)*VENTAS[[#This Row],[Cantidad]]+VLOOKUP(VENTAS[[#This Row],[Código del producto Vendido]],STOCK[],19,FALSE)*VENTAS[[#This Row],[Cantidad]],VENTAS[[#This Row],[Total]])</f>
        <v>11.3</v>
      </c>
      <c r="L1465" s="35">
        <f>VENTAS[[#This Row],[Total]]-VENTAS[[#This Row],[Comisión 10%]]-VENTAS[[#This Row],[Costo SIN Comision]]</f>
        <v>8.5</v>
      </c>
      <c r="M1465" s="35"/>
    </row>
    <row r="1466" ht="20" customHeight="1" spans="1:13">
      <c r="A1466" s="29">
        <v>45553</v>
      </c>
      <c r="B1466" s="30"/>
      <c r="C1466" s="30" t="s">
        <v>3670</v>
      </c>
      <c r="D1466" s="30" t="s">
        <v>3481</v>
      </c>
      <c r="E1466" s="30" t="s">
        <v>2482</v>
      </c>
      <c r="F1466" s="34" t="str">
        <f>IFERROR(VLOOKUP(VENTAS[[#This Row],[Código del producto Vendido]],STOCK[],5,FALSE),"-")</f>
        <v>Zapatos elegantes de punta fina negros</v>
      </c>
      <c r="G1466" s="34">
        <v>1</v>
      </c>
      <c r="H1466" s="35">
        <v>40</v>
      </c>
      <c r="I1466" s="35">
        <f>VENTAS[[#This Row],[Cantidad]]*VENTAS[[#This Row],[Precio Venta]]</f>
        <v>40</v>
      </c>
      <c r="J1466" s="35">
        <f>IF(VENTAS[[#This Row],[Nombre del Gestor]]&gt;1,VENTAS[[#This Row],[Total]]*10%,0)</f>
        <v>4</v>
      </c>
      <c r="K1466" s="35">
        <f>IFERROR(VLOOKUP(VENTAS[[#This Row],[Código del producto Vendido]],STOCK[],16,FALSE)*VENTAS[[#This Row],[Cantidad]]+VLOOKUP(VENTAS[[#This Row],[Código del producto Vendido]],STOCK[],19,FALSE)*VENTAS[[#This Row],[Cantidad]],VENTAS[[#This Row],[Total]])</f>
        <v>21.11405</v>
      </c>
      <c r="L1466" s="35">
        <f>VENTAS[[#This Row],[Total]]-VENTAS[[#This Row],[Comisión 10%]]-VENTAS[[#This Row],[Costo SIN Comision]]</f>
        <v>14.88595</v>
      </c>
      <c r="M1466" s="35"/>
    </row>
    <row r="1467" ht="20" customHeight="1" spans="1:13">
      <c r="A1467" s="29">
        <v>45553</v>
      </c>
      <c r="B1467" s="30"/>
      <c r="C1467" s="30" t="s">
        <v>3670</v>
      </c>
      <c r="D1467" s="30" t="s">
        <v>3481</v>
      </c>
      <c r="E1467" s="30" t="s">
        <v>2418</v>
      </c>
      <c r="F1467" s="34" t="str">
        <f>IFERROR(VLOOKUP(VENTAS[[#This Row],[Código del producto Vendido]],STOCK[],5,FALSE),"-")</f>
        <v>Camisa blanca en mezcla de algodón</v>
      </c>
      <c r="G1467" s="34">
        <v>1</v>
      </c>
      <c r="H1467" s="35">
        <v>25</v>
      </c>
      <c r="I1467" s="35">
        <f>VENTAS[[#This Row],[Cantidad]]*VENTAS[[#This Row],[Precio Venta]]</f>
        <v>25</v>
      </c>
      <c r="J1467" s="35">
        <f>IF(VENTAS[[#This Row],[Nombre del Gestor]]&gt;1,VENTAS[[#This Row],[Total]]*10%,0)</f>
        <v>2.5</v>
      </c>
      <c r="K1467" s="35">
        <f>IFERROR(VLOOKUP(VENTAS[[#This Row],[Código del producto Vendido]],STOCK[],16,FALSE)*VENTAS[[#This Row],[Cantidad]]+VLOOKUP(VENTAS[[#This Row],[Código del producto Vendido]],STOCK[],19,FALSE)*VENTAS[[#This Row],[Cantidad]],VENTAS[[#This Row],[Total]])</f>
        <v>17.7808108108108</v>
      </c>
      <c r="L1467" s="35">
        <f>VENTAS[[#This Row],[Total]]-VENTAS[[#This Row],[Comisión 10%]]-VENTAS[[#This Row],[Costo SIN Comision]]</f>
        <v>4.7191891891892</v>
      </c>
      <c r="M1467" s="35"/>
    </row>
    <row r="1468" ht="20" customHeight="1" spans="1:13">
      <c r="A1468" s="29">
        <v>45546</v>
      </c>
      <c r="B1468" s="30"/>
      <c r="C1468" s="30" t="s">
        <v>3671</v>
      </c>
      <c r="D1468" s="30" t="s">
        <v>3481</v>
      </c>
      <c r="E1468" s="30" t="s">
        <v>2759</v>
      </c>
      <c r="F1468" s="34" t="str">
        <f>IFERROR(VLOOKUP(VENTAS[[#This Row],[Código del producto Vendido]],STOCK[],5,FALSE),"-")</f>
        <v>Set de bikini estilo europeo blanco en tendencia</v>
      </c>
      <c r="G1468" s="34">
        <v>1</v>
      </c>
      <c r="H1468" s="35">
        <v>22</v>
      </c>
      <c r="I1468" s="35">
        <f>VENTAS[[#This Row],[Cantidad]]*VENTAS[[#This Row],[Precio Venta]]</f>
        <v>22</v>
      </c>
      <c r="J1468" s="35">
        <f>IF(VENTAS[[#This Row],[Nombre del Gestor]]&gt;1,VENTAS[[#This Row],[Total]]*10%,0)</f>
        <v>2.2</v>
      </c>
      <c r="K1468" s="35">
        <f>IFERROR(VLOOKUP(VENTAS[[#This Row],[Código del producto Vendido]],STOCK[],16,FALSE)*VENTAS[[#This Row],[Cantidad]]+VLOOKUP(VENTAS[[#This Row],[Código del producto Vendido]],STOCK[],19,FALSE)*VENTAS[[#This Row],[Cantidad]],VENTAS[[#This Row],[Total]])</f>
        <v>13.23</v>
      </c>
      <c r="L1468" s="35">
        <f>VENTAS[[#This Row],[Total]]-VENTAS[[#This Row],[Comisión 10%]]-VENTAS[[#This Row],[Costo SIN Comision]]</f>
        <v>6.57</v>
      </c>
      <c r="M1468" s="35"/>
    </row>
    <row r="1469" ht="20" customHeight="1" spans="1:13">
      <c r="A1469" s="29">
        <v>45547</v>
      </c>
      <c r="B1469" s="30"/>
      <c r="C1469" s="30" t="s">
        <v>3672</v>
      </c>
      <c r="D1469" s="30" t="s">
        <v>3481</v>
      </c>
      <c r="E1469" s="30" t="s">
        <v>2766</v>
      </c>
      <c r="F1469" s="34" t="str">
        <f>IFERROR(VLOOKUP(VENTAS[[#This Row],[Código del producto Vendido]],STOCK[],5,FALSE),"-")</f>
        <v>Set de bikini de estilo europeo de moda color Oliva</v>
      </c>
      <c r="G1469" s="34">
        <v>1</v>
      </c>
      <c r="H1469" s="35">
        <v>22</v>
      </c>
      <c r="I1469" s="35">
        <f>VENTAS[[#This Row],[Cantidad]]*VENTAS[[#This Row],[Precio Venta]]</f>
        <v>22</v>
      </c>
      <c r="J1469" s="35">
        <f>IF(VENTAS[[#This Row],[Nombre del Gestor]]&gt;1,VENTAS[[#This Row],[Total]]*10%,0)</f>
        <v>2.2</v>
      </c>
      <c r="K1469" s="35">
        <f>IFERROR(VLOOKUP(VENTAS[[#This Row],[Código del producto Vendido]],STOCK[],16,FALSE)*VENTAS[[#This Row],[Cantidad]]+VLOOKUP(VENTAS[[#This Row],[Código del producto Vendido]],STOCK[],19,FALSE)*VENTAS[[#This Row],[Cantidad]],VENTAS[[#This Row],[Total]])</f>
        <v>12.87</v>
      </c>
      <c r="L1469" s="35">
        <f>VENTAS[[#This Row],[Total]]-VENTAS[[#This Row],[Comisión 10%]]-VENTAS[[#This Row],[Costo SIN Comision]]</f>
        <v>6.93</v>
      </c>
      <c r="M1469" s="35"/>
    </row>
    <row r="1470" ht="20" customHeight="1" spans="1:13">
      <c r="A1470" s="29">
        <v>45548</v>
      </c>
      <c r="B1470" s="30"/>
      <c r="C1470" s="30" t="s">
        <v>3663</v>
      </c>
      <c r="D1470" s="30" t="s">
        <v>3481</v>
      </c>
      <c r="E1470" s="30" t="s">
        <v>1923</v>
      </c>
      <c r="F1470" s="34" t="str">
        <f>IFERROR(VLOOKUP(VENTAS[[#This Row],[Código del producto Vendido]],STOCK[],5,FALSE),"-")</f>
        <v>Vestido Fresco Verano en Bloque de Color</v>
      </c>
      <c r="G1470" s="34">
        <v>1</v>
      </c>
      <c r="H1470" s="35">
        <v>30</v>
      </c>
      <c r="I1470" s="35">
        <f>VENTAS[[#This Row],[Cantidad]]*VENTAS[[#This Row],[Precio Venta]]</f>
        <v>30</v>
      </c>
      <c r="J1470" s="35">
        <f>IF(VENTAS[[#This Row],[Nombre del Gestor]]&gt;1,VENTAS[[#This Row],[Total]]*10%,0)</f>
        <v>3</v>
      </c>
      <c r="K1470" s="35">
        <f>IFERROR(VLOOKUP(VENTAS[[#This Row],[Código del producto Vendido]],STOCK[],16,FALSE)*VENTAS[[#This Row],[Cantidad]]+VLOOKUP(VENTAS[[#This Row],[Código del producto Vendido]],STOCK[],19,FALSE)*VENTAS[[#This Row],[Cantidad]],VENTAS[[#This Row],[Total]])</f>
        <v>11.61</v>
      </c>
      <c r="L1470" s="35">
        <f>VENTAS[[#This Row],[Total]]-VENTAS[[#This Row],[Comisión 10%]]-VENTAS[[#This Row],[Costo SIN Comision]]</f>
        <v>15.39</v>
      </c>
      <c r="M1470" s="35"/>
    </row>
    <row r="1471" ht="20" customHeight="1" spans="1:13">
      <c r="A1471" s="29"/>
      <c r="B1471" s="30"/>
      <c r="C1471" s="30" t="s">
        <v>3673</v>
      </c>
      <c r="D1471" s="30"/>
      <c r="E1471" s="30" t="s">
        <v>823</v>
      </c>
      <c r="F1471" s="34" t="str">
        <f>IFERROR(VLOOKUP(VENTAS[[#This Row],[Código del producto Vendido]],STOCK[],5,FALSE),"-")</f>
        <v>Bikini Rosa Viejo Satinado </v>
      </c>
      <c r="G1471" s="34">
        <v>1</v>
      </c>
      <c r="H1471" s="35">
        <v>12</v>
      </c>
      <c r="I1471" s="35">
        <f>VENTAS[[#This Row],[Cantidad]]*VENTAS[[#This Row],[Precio Venta]]</f>
        <v>12</v>
      </c>
      <c r="J1471" s="35">
        <f>IF(VENTAS[[#This Row],[Nombre del Gestor]]&gt;1,VENTAS[[#This Row],[Total]]*10%,0)</f>
        <v>0</v>
      </c>
      <c r="K1471" s="35">
        <f>IFERROR(VLOOKUP(VENTAS[[#This Row],[Código del producto Vendido]],STOCK[],16,FALSE)*VENTAS[[#This Row],[Cantidad]]+VLOOKUP(VENTAS[[#This Row],[Código del producto Vendido]],STOCK[],19,FALSE)*VENTAS[[#This Row],[Cantidad]],VENTAS[[#This Row],[Total]])</f>
        <v>6.55555555555556</v>
      </c>
      <c r="L1471" s="35">
        <f>VENTAS[[#This Row],[Total]]-VENTAS[[#This Row],[Comisión 10%]]-VENTAS[[#This Row],[Costo SIN Comision]]</f>
        <v>5.44444444444444</v>
      </c>
      <c r="M1471" s="35"/>
    </row>
    <row r="1472" ht="20" customHeight="1" spans="1:13">
      <c r="A1472" s="29"/>
      <c r="B1472" s="30"/>
      <c r="C1472" s="30" t="s">
        <v>3673</v>
      </c>
      <c r="D1472" s="30"/>
      <c r="E1472" s="30" t="s">
        <v>2191</v>
      </c>
      <c r="F1472" s="34" t="str">
        <f>IFERROR(VLOOKUP(VENTAS[[#This Row],[Código del producto Vendido]],STOCK[],5,FALSE),"-")</f>
        <v>Set de traje de baño elegante 2 piezas con adorno en forma de V</v>
      </c>
      <c r="G1472" s="34">
        <v>1</v>
      </c>
      <c r="H1472" s="35">
        <v>21</v>
      </c>
      <c r="I1472" s="35">
        <f>VENTAS[[#This Row],[Cantidad]]*VENTAS[[#This Row],[Precio Venta]]</f>
        <v>21</v>
      </c>
      <c r="J1472" s="35">
        <f>IF(VENTAS[[#This Row],[Nombre del Gestor]]&gt;1,VENTAS[[#This Row],[Total]]*10%,0)</f>
        <v>0</v>
      </c>
      <c r="K1472" s="35">
        <f>IFERROR(VLOOKUP(VENTAS[[#This Row],[Código del producto Vendido]],STOCK[],16,FALSE)*VENTAS[[#This Row],[Cantidad]]+VLOOKUP(VENTAS[[#This Row],[Código del producto Vendido]],STOCK[],19,FALSE)*VENTAS[[#This Row],[Cantidad]],VENTAS[[#This Row],[Total]])</f>
        <v>11.21</v>
      </c>
      <c r="L1472" s="35">
        <f>VENTAS[[#This Row],[Total]]-VENTAS[[#This Row],[Comisión 10%]]-VENTAS[[#This Row],[Costo SIN Comision]]</f>
        <v>9.79</v>
      </c>
      <c r="M1472" s="35"/>
    </row>
    <row r="1473" ht="20" customHeight="1" spans="1:13">
      <c r="A1473" s="29"/>
      <c r="B1473" s="30"/>
      <c r="C1473" s="30"/>
      <c r="D1473" s="30" t="s">
        <v>3660</v>
      </c>
      <c r="E1473" s="30" t="s">
        <v>2189</v>
      </c>
      <c r="F1473" s="34" t="str">
        <f>IFERROR(VLOOKUP(VENTAS[[#This Row],[Código del producto Vendido]],STOCK[],5,FALSE),"-")</f>
        <v>Conjunto Playero color verde 2 piezas</v>
      </c>
      <c r="G1473" s="34">
        <v>1</v>
      </c>
      <c r="H1473" s="35">
        <v>25</v>
      </c>
      <c r="I1473" s="35">
        <f>VENTAS[[#This Row],[Cantidad]]*VENTAS[[#This Row],[Precio Venta]]</f>
        <v>25</v>
      </c>
      <c r="J1473" s="35">
        <f>IF(VENTAS[[#This Row],[Nombre del Gestor]]&gt;1,VENTAS[[#This Row],[Total]]*10%,0)</f>
        <v>2.5</v>
      </c>
      <c r="K1473" s="35">
        <f>IFERROR(VLOOKUP(VENTAS[[#This Row],[Código del producto Vendido]],STOCK[],16,FALSE)*VENTAS[[#This Row],[Cantidad]]+VLOOKUP(VENTAS[[#This Row],[Código del producto Vendido]],STOCK[],19,FALSE)*VENTAS[[#This Row],[Cantidad]],VENTAS[[#This Row],[Total]])</f>
        <v>12.48</v>
      </c>
      <c r="L1473" s="35">
        <f>VENTAS[[#This Row],[Total]]-VENTAS[[#This Row],[Comisión 10%]]-VENTAS[[#This Row],[Costo SIN Comision]]</f>
        <v>10.02</v>
      </c>
      <c r="M1473" s="35"/>
    </row>
    <row r="1474" ht="20" customHeight="1" spans="1:13">
      <c r="A1474" s="29">
        <v>45566</v>
      </c>
      <c r="B1474" s="30"/>
      <c r="C1474" s="30"/>
      <c r="D1474" s="30" t="s">
        <v>3451</v>
      </c>
      <c r="E1474" s="30" t="s">
        <v>2854</v>
      </c>
      <c r="F1474" s="34" t="str">
        <f>IFERROR(VLOOKUP(VENTAS[[#This Row],[Código del producto Vendido]],STOCK[],5,FALSE),"-")</f>
        <v>Bolso cuadrado tejido de rafia Tamaño grande Color Carmelita</v>
      </c>
      <c r="G1474" s="34">
        <v>1</v>
      </c>
      <c r="H1474" s="35">
        <v>25</v>
      </c>
      <c r="I1474" s="35">
        <f>VENTAS[[#This Row],[Cantidad]]*VENTAS[[#This Row],[Precio Venta]]</f>
        <v>25</v>
      </c>
      <c r="J1474" s="35">
        <f>IF(VENTAS[[#This Row],[Nombre del Gestor]]&gt;1,VENTAS[[#This Row],[Total]]*10%,0)</f>
        <v>2.5</v>
      </c>
      <c r="K1474" s="35">
        <f>IFERROR(VLOOKUP(VENTAS[[#This Row],[Código del producto Vendido]],STOCK[],16,FALSE)*VENTAS[[#This Row],[Cantidad]]+VLOOKUP(VENTAS[[#This Row],[Código del producto Vendido]],STOCK[],19,FALSE)*VENTAS[[#This Row],[Cantidad]],VENTAS[[#This Row],[Total]])</f>
        <v>14.85</v>
      </c>
      <c r="L1474" s="35">
        <f>VENTAS[[#This Row],[Total]]-VENTAS[[#This Row],[Comisión 10%]]-VENTAS[[#This Row],[Costo SIN Comision]]</f>
        <v>7.65</v>
      </c>
      <c r="M1474" s="35"/>
    </row>
    <row r="1475" ht="20" customHeight="1" spans="1:13">
      <c r="A1475" s="29">
        <v>45565</v>
      </c>
      <c r="B1475" s="30"/>
      <c r="C1475" s="30"/>
      <c r="D1475" s="30" t="s">
        <v>3451</v>
      </c>
      <c r="E1475" s="30" t="s">
        <v>2817</v>
      </c>
      <c r="F1475" s="34" t="str">
        <f>IFERROR(VLOOKUP(VENTAS[[#This Row],[Código del producto Vendido]],STOCK[],5,FALSE),"-")</f>
        <v>Bolso de diario ligero y casual de gran capacidad elegante de cocodrilo</v>
      </c>
      <c r="G1475" s="34">
        <v>1</v>
      </c>
      <c r="H1475" s="35">
        <v>25</v>
      </c>
      <c r="I1475" s="35">
        <f>VENTAS[[#This Row],[Cantidad]]*VENTAS[[#This Row],[Precio Venta]]</f>
        <v>25</v>
      </c>
      <c r="J1475" s="35">
        <f>IF(VENTAS[[#This Row],[Nombre del Gestor]]&gt;1,VENTAS[[#This Row],[Total]]*10%,0)</f>
        <v>2.5</v>
      </c>
      <c r="K1475" s="35">
        <f>IFERROR(VLOOKUP(VENTAS[[#This Row],[Código del producto Vendido]],STOCK[],16,FALSE)*VENTAS[[#This Row],[Cantidad]]+VLOOKUP(VENTAS[[#This Row],[Código del producto Vendido]],STOCK[],19,FALSE)*VENTAS[[#This Row],[Cantidad]],VENTAS[[#This Row],[Total]])</f>
        <v>10.14</v>
      </c>
      <c r="L1475" s="35">
        <f>VENTAS[[#This Row],[Total]]-VENTAS[[#This Row],[Comisión 10%]]-VENTAS[[#This Row],[Costo SIN Comision]]</f>
        <v>12.36</v>
      </c>
      <c r="M1475" s="35"/>
    </row>
    <row r="1476" ht="20" customHeight="1" spans="1:13">
      <c r="A1476" s="29">
        <v>45563</v>
      </c>
      <c r="B1476" s="30"/>
      <c r="C1476" s="30"/>
      <c r="D1476" s="30" t="s">
        <v>3451</v>
      </c>
      <c r="E1476" s="30" t="s">
        <v>2783</v>
      </c>
      <c r="F1476" s="34" t="str">
        <f>IFERROR(VLOOKUP(VENTAS[[#This Row],[Código del producto Vendido]],STOCK[],5,FALSE),"-")</f>
        <v>Sandalias doradas de tiras anchas para toda ocasión</v>
      </c>
      <c r="G1476" s="34">
        <v>1</v>
      </c>
      <c r="H1476" s="35">
        <v>20</v>
      </c>
      <c r="I1476" s="35">
        <f>VENTAS[[#This Row],[Cantidad]]*VENTAS[[#This Row],[Precio Venta]]</f>
        <v>20</v>
      </c>
      <c r="J1476" s="35">
        <f>IF(VENTAS[[#This Row],[Nombre del Gestor]]&gt;1,VENTAS[[#This Row],[Total]]*10%,0)</f>
        <v>2</v>
      </c>
      <c r="K1476" s="35">
        <f>IFERROR(VLOOKUP(VENTAS[[#This Row],[Código del producto Vendido]],STOCK[],16,FALSE)*VENTAS[[#This Row],[Cantidad]]+VLOOKUP(VENTAS[[#This Row],[Código del producto Vendido]],STOCK[],19,FALSE)*VENTAS[[#This Row],[Cantidad]],VENTAS[[#This Row],[Total]])</f>
        <v>6.65</v>
      </c>
      <c r="L1476" s="35">
        <f>VENTAS[[#This Row],[Total]]-VENTAS[[#This Row],[Comisión 10%]]-VENTAS[[#This Row],[Costo SIN Comision]]</f>
        <v>11.35</v>
      </c>
      <c r="M1476" s="35"/>
    </row>
    <row r="1477" ht="20" customHeight="1" spans="1:13">
      <c r="A1477" s="29">
        <v>45563</v>
      </c>
      <c r="B1477" s="30"/>
      <c r="C1477" s="30"/>
      <c r="D1477" s="30" t="s">
        <v>3451</v>
      </c>
      <c r="E1477" s="30" t="s">
        <v>2839</v>
      </c>
      <c r="F1477" s="34" t="str">
        <f>IFERROR(VLOOKUP(VENTAS[[#This Row],[Código del producto Vendido]],STOCK[],5,FALSE),"-")</f>
        <v>Bolso de ratán unicolor con ribete negro</v>
      </c>
      <c r="G1477" s="34">
        <v>1</v>
      </c>
      <c r="H1477" s="35">
        <v>30</v>
      </c>
      <c r="I1477" s="35">
        <f>VENTAS[[#This Row],[Cantidad]]*VENTAS[[#This Row],[Precio Venta]]</f>
        <v>30</v>
      </c>
      <c r="J1477" s="35">
        <f>IF(VENTAS[[#This Row],[Nombre del Gestor]]&gt;1,VENTAS[[#This Row],[Total]]*10%,0)</f>
        <v>3</v>
      </c>
      <c r="K1477" s="35">
        <f>IFERROR(VLOOKUP(VENTAS[[#This Row],[Código del producto Vendido]],STOCK[],16,FALSE)*VENTAS[[#This Row],[Cantidad]]+VLOOKUP(VENTAS[[#This Row],[Código del producto Vendido]],STOCK[],19,FALSE)*VENTAS[[#This Row],[Cantidad]],VENTAS[[#This Row],[Total]])</f>
        <v>15.59</v>
      </c>
      <c r="L1477" s="35">
        <f>VENTAS[[#This Row],[Total]]-VENTAS[[#This Row],[Comisión 10%]]-VENTAS[[#This Row],[Costo SIN Comision]]</f>
        <v>11.41</v>
      </c>
      <c r="M1477" s="35"/>
    </row>
    <row r="1478" ht="20" customHeight="1" spans="1:13">
      <c r="A1478" s="29">
        <v>45562</v>
      </c>
      <c r="B1478" s="30"/>
      <c r="C1478" s="30"/>
      <c r="D1478" s="30" t="s">
        <v>3451</v>
      </c>
      <c r="E1478" s="30" t="s">
        <v>2954</v>
      </c>
      <c r="F1478" s="34" t="str">
        <f>IFERROR(VLOOKUP(VENTAS[[#This Row],[Código del producto Vendido]],STOCK[],5,FALSE),"-")</f>
        <v>Vestido elegante largo ajustado con hombro atado</v>
      </c>
      <c r="G1478" s="34">
        <v>1</v>
      </c>
      <c r="H1478" s="35">
        <v>30</v>
      </c>
      <c r="I1478" s="35">
        <f>VENTAS[[#This Row],[Cantidad]]*VENTAS[[#This Row],[Precio Venta]]</f>
        <v>30</v>
      </c>
      <c r="J1478" s="35">
        <f>IF(VENTAS[[#This Row],[Nombre del Gestor]]&gt;1,VENTAS[[#This Row],[Total]]*10%,0)</f>
        <v>3</v>
      </c>
      <c r="K1478" s="35">
        <f>IFERROR(VLOOKUP(VENTAS[[#This Row],[Código del producto Vendido]],STOCK[],16,FALSE)*VENTAS[[#This Row],[Cantidad]]+VLOOKUP(VENTAS[[#This Row],[Código del producto Vendido]],STOCK[],19,FALSE)*VENTAS[[#This Row],[Cantidad]],VENTAS[[#This Row],[Total]])</f>
        <v>15.13</v>
      </c>
      <c r="L1478" s="35">
        <f>VENTAS[[#This Row],[Total]]-VENTAS[[#This Row],[Comisión 10%]]-VENTAS[[#This Row],[Costo SIN Comision]]</f>
        <v>11.87</v>
      </c>
      <c r="M1478" s="35"/>
    </row>
    <row r="1479" ht="20" customHeight="1" spans="1:13">
      <c r="A1479" s="29">
        <v>45560</v>
      </c>
      <c r="B1479" s="30"/>
      <c r="C1479" s="30"/>
      <c r="D1479" s="30" t="s">
        <v>3451</v>
      </c>
      <c r="E1479" s="30" t="s">
        <v>2830</v>
      </c>
      <c r="F1479" s="34" t="str">
        <f>IFERROR(VLOOKUP(VENTAS[[#This Row],[Código del producto Vendido]],STOCK[],5,FALSE),"-")</f>
        <v>Vestido elegante de crochet de de cuello profundo y espalda cruzada</v>
      </c>
      <c r="G1479" s="34">
        <v>1</v>
      </c>
      <c r="H1479" s="35">
        <v>30</v>
      </c>
      <c r="I1479" s="35">
        <f>VENTAS[[#This Row],[Cantidad]]*VENTAS[[#This Row],[Precio Venta]]</f>
        <v>30</v>
      </c>
      <c r="J1479" s="35">
        <f>IF(VENTAS[[#This Row],[Nombre del Gestor]]&gt;1,VENTAS[[#This Row],[Total]]*10%,0)</f>
        <v>3</v>
      </c>
      <c r="K1479" s="35">
        <f>IFERROR(VLOOKUP(VENTAS[[#This Row],[Código del producto Vendido]],STOCK[],16,FALSE)*VENTAS[[#This Row],[Cantidad]]+VLOOKUP(VENTAS[[#This Row],[Código del producto Vendido]],STOCK[],19,FALSE)*VENTAS[[#This Row],[Cantidad]],VENTAS[[#This Row],[Total]])</f>
        <v>13.5</v>
      </c>
      <c r="L1479" s="35">
        <f>VENTAS[[#This Row],[Total]]-VENTAS[[#This Row],[Comisión 10%]]-VENTAS[[#This Row],[Costo SIN Comision]]</f>
        <v>13.5</v>
      </c>
      <c r="M1479" s="35"/>
    </row>
    <row r="1480" ht="20" customHeight="1" spans="1:13">
      <c r="A1480" s="29">
        <v>45565</v>
      </c>
      <c r="B1480" s="30" t="s">
        <v>3674</v>
      </c>
      <c r="C1480" s="30" t="s">
        <v>3675</v>
      </c>
      <c r="D1480" s="30" t="s">
        <v>3315</v>
      </c>
      <c r="E1480" s="30" t="s">
        <v>2793</v>
      </c>
      <c r="F1480" s="34" t="str">
        <f>IFERROR(VLOOKUP(VENTAS[[#This Row],[Código del producto Vendido]],STOCK[],5,FALSE),"-")</f>
        <v>Sandalias estilo chunky de suela gruesa en contraste de color</v>
      </c>
      <c r="G1480" s="34">
        <v>1</v>
      </c>
      <c r="H1480" s="35">
        <v>35</v>
      </c>
      <c r="I1480" s="35">
        <f>VENTAS[[#This Row],[Cantidad]]*VENTAS[[#This Row],[Precio Venta]]</f>
        <v>35</v>
      </c>
      <c r="J1480" s="35">
        <f>IF(VENTAS[[#This Row],[Nombre del Gestor]]&gt;1,VENTAS[[#This Row],[Total]]*10%,0)</f>
        <v>3.5</v>
      </c>
      <c r="K1480" s="35">
        <f>IFERROR(VLOOKUP(VENTAS[[#This Row],[Código del producto Vendido]],STOCK[],16,FALSE)*VENTAS[[#This Row],[Cantidad]]+VLOOKUP(VENTAS[[#This Row],[Código del producto Vendido]],STOCK[],19,FALSE)*VENTAS[[#This Row],[Cantidad]],VENTAS[[#This Row],[Total]])</f>
        <v>13.4</v>
      </c>
      <c r="L1480" s="35">
        <f>VENTAS[[#This Row],[Total]]-VENTAS[[#This Row],[Comisión 10%]]-VENTAS[[#This Row],[Costo SIN Comision]]</f>
        <v>18.1</v>
      </c>
      <c r="M1480" s="35"/>
    </row>
    <row r="1481" ht="20" customHeight="1" spans="1:13">
      <c r="A1481" s="29">
        <v>45565</v>
      </c>
      <c r="B1481" s="30"/>
      <c r="C1481" s="30" t="s">
        <v>3675</v>
      </c>
      <c r="D1481" s="30" t="s">
        <v>3315</v>
      </c>
      <c r="E1481" s="30" t="s">
        <v>2770</v>
      </c>
      <c r="F1481" s="34" t="str">
        <f>IFERROR(VLOOKUP(VENTAS[[#This Row],[Código del producto Vendido]],STOCK[],5,FALSE),"-")</f>
        <v>Sandalias de plataforma de rafia natural</v>
      </c>
      <c r="G1481" s="34">
        <v>1</v>
      </c>
      <c r="H1481" s="35">
        <v>45</v>
      </c>
      <c r="I1481" s="35">
        <f>VENTAS[[#This Row],[Cantidad]]*VENTAS[[#This Row],[Precio Venta]]</f>
        <v>45</v>
      </c>
      <c r="J1481" s="35">
        <f>IF(VENTAS[[#This Row],[Nombre del Gestor]]&gt;1,VENTAS[[#This Row],[Total]]*10%,0)</f>
        <v>4.5</v>
      </c>
      <c r="K1481" s="35">
        <f>IFERROR(VLOOKUP(VENTAS[[#This Row],[Código del producto Vendido]],STOCK[],16,FALSE)*VENTAS[[#This Row],[Cantidad]]+VLOOKUP(VENTAS[[#This Row],[Código del producto Vendido]],STOCK[],19,FALSE)*VENTAS[[#This Row],[Cantidad]],VENTAS[[#This Row],[Total]])</f>
        <v>19.65</v>
      </c>
      <c r="L1481" s="35">
        <f>VENTAS[[#This Row],[Total]]-VENTAS[[#This Row],[Comisión 10%]]-VENTAS[[#This Row],[Costo SIN Comision]]</f>
        <v>20.85</v>
      </c>
      <c r="M1481" s="35"/>
    </row>
    <row r="1482" ht="20" customHeight="1" spans="1:13">
      <c r="A1482" s="29">
        <v>45546</v>
      </c>
      <c r="B1482" s="30"/>
      <c r="C1482" s="30" t="s">
        <v>3676</v>
      </c>
      <c r="D1482" s="30" t="s">
        <v>3315</v>
      </c>
      <c r="E1482" s="30" t="s">
        <v>1407</v>
      </c>
      <c r="F1482" s="34" t="str">
        <f>IFERROR(VLOOKUP(VENTAS[[#This Row],[Código del producto Vendido]],STOCK[],5,FALSE),"-")</f>
        <v>Pantaloneta con abertura y bolsillos</v>
      </c>
      <c r="G1482" s="34">
        <v>1</v>
      </c>
      <c r="H1482" s="35">
        <v>20.7</v>
      </c>
      <c r="I1482" s="35">
        <f>VENTAS[[#This Row],[Cantidad]]*VENTAS[[#This Row],[Precio Venta]]</f>
        <v>20.7</v>
      </c>
      <c r="J1482" s="35">
        <f>IF(VENTAS[[#This Row],[Nombre del Gestor]]&gt;1,VENTAS[[#This Row],[Total]]*10%,0)</f>
        <v>2.07</v>
      </c>
      <c r="K1482" s="35">
        <f>IFERROR(VLOOKUP(VENTAS[[#This Row],[Código del producto Vendido]],STOCK[],16,FALSE)*VENTAS[[#This Row],[Cantidad]]+VLOOKUP(VENTAS[[#This Row],[Código del producto Vendido]],STOCK[],19,FALSE)*VENTAS[[#This Row],[Cantidad]],VENTAS[[#This Row],[Total]])</f>
        <v>14.22</v>
      </c>
      <c r="L1482" s="35">
        <f>VENTAS[[#This Row],[Total]]-VENTAS[[#This Row],[Comisión 10%]]-VENTAS[[#This Row],[Costo SIN Comision]]</f>
        <v>4.41</v>
      </c>
      <c r="M1482" s="35"/>
    </row>
    <row r="1483" ht="20" customHeight="1" spans="1:13">
      <c r="A1483" s="29">
        <v>45565</v>
      </c>
      <c r="B1483" s="30"/>
      <c r="C1483" s="30" t="s">
        <v>3677</v>
      </c>
      <c r="D1483" s="30" t="s">
        <v>3540</v>
      </c>
      <c r="E1483" s="30" t="s">
        <v>2935</v>
      </c>
      <c r="F1483" s="34" t="str">
        <f>IFERROR(VLOOKUP(VENTAS[[#This Row],[Código del producto Vendido]],STOCK[],5,FALSE),"-")</f>
        <v>Vestido maxi sólido con espalda ajustable</v>
      </c>
      <c r="G1483" s="34">
        <v>1</v>
      </c>
      <c r="H1483" s="35">
        <v>25</v>
      </c>
      <c r="I1483" s="35">
        <f>VENTAS[[#This Row],[Cantidad]]*VENTAS[[#This Row],[Precio Venta]]</f>
        <v>25</v>
      </c>
      <c r="J1483" s="35">
        <f>IF(VENTAS[[#This Row],[Nombre del Gestor]]&gt;1,VENTAS[[#This Row],[Total]]*10%,0)</f>
        <v>2.5</v>
      </c>
      <c r="K1483" s="35">
        <f>IFERROR(VLOOKUP(VENTAS[[#This Row],[Código del producto Vendido]],STOCK[],16,FALSE)*VENTAS[[#This Row],[Cantidad]]+VLOOKUP(VENTAS[[#This Row],[Código del producto Vendido]],STOCK[],19,FALSE)*VENTAS[[#This Row],[Cantidad]],VENTAS[[#This Row],[Total]])</f>
        <v>10.79</v>
      </c>
      <c r="L1483" s="35">
        <f>VENTAS[[#This Row],[Total]]-VENTAS[[#This Row],[Comisión 10%]]-VENTAS[[#This Row],[Costo SIN Comision]]</f>
        <v>11.71</v>
      </c>
      <c r="M1483" s="35"/>
    </row>
    <row r="1484" ht="20" customHeight="1" spans="1:13">
      <c r="A1484" s="29">
        <v>45564</v>
      </c>
      <c r="B1484" s="30"/>
      <c r="C1484" s="30" t="s">
        <v>3672</v>
      </c>
      <c r="D1484" s="30" t="s">
        <v>3540</v>
      </c>
      <c r="E1484" s="30" t="s">
        <v>1935</v>
      </c>
      <c r="F1484" s="34" t="str">
        <f>IFERROR(VLOOKUP(VENTAS[[#This Row],[Código del producto Vendido]],STOCK[],5,FALSE),"-")</f>
        <v>Sujetador suave de encaje y satén Beige</v>
      </c>
      <c r="G1484" s="34">
        <v>1</v>
      </c>
      <c r="H1484" s="35">
        <v>8</v>
      </c>
      <c r="I1484" s="35">
        <f>VENTAS[[#This Row],[Cantidad]]*VENTAS[[#This Row],[Precio Venta]]</f>
        <v>8</v>
      </c>
      <c r="J1484" s="35">
        <f>IF(VENTAS[[#This Row],[Nombre del Gestor]]&gt;1,VENTAS[[#This Row],[Total]]*10%,0)</f>
        <v>0.8</v>
      </c>
      <c r="K1484" s="35">
        <f>IFERROR(VLOOKUP(VENTAS[[#This Row],[Código del producto Vendido]],STOCK[],16,FALSE)*VENTAS[[#This Row],[Cantidad]]+VLOOKUP(VENTAS[[#This Row],[Código del producto Vendido]],STOCK[],19,FALSE)*VENTAS[[#This Row],[Cantidad]],VENTAS[[#This Row],[Total]])</f>
        <v>3.85</v>
      </c>
      <c r="L1484" s="35">
        <f>VENTAS[[#This Row],[Total]]-VENTAS[[#This Row],[Comisión 10%]]-VENTAS[[#This Row],[Costo SIN Comision]]</f>
        <v>3.35</v>
      </c>
      <c r="M1484" s="35"/>
    </row>
    <row r="1485" ht="20" customHeight="1" spans="1:13">
      <c r="A1485" s="29">
        <v>45562</v>
      </c>
      <c r="B1485" s="30"/>
      <c r="C1485" s="30" t="s">
        <v>3678</v>
      </c>
      <c r="D1485" s="30" t="s">
        <v>3540</v>
      </c>
      <c r="E1485" s="30" t="s">
        <v>2794</v>
      </c>
      <c r="F1485" s="34" t="str">
        <f>IFERROR(VLOOKUP(VENTAS[[#This Row],[Código del producto Vendido]],STOCK[],5,FALSE),"-")</f>
        <v>Sandalias estilo chunky de suela gruesa en contraste de color</v>
      </c>
      <c r="G1485" s="34">
        <v>1</v>
      </c>
      <c r="H1485" s="35">
        <v>35</v>
      </c>
      <c r="I1485" s="35">
        <f>VENTAS[[#This Row],[Cantidad]]*VENTAS[[#This Row],[Precio Venta]]</f>
        <v>35</v>
      </c>
      <c r="J1485" s="35">
        <f>IF(VENTAS[[#This Row],[Nombre del Gestor]]&gt;1,VENTAS[[#This Row],[Total]]*10%,0)</f>
        <v>3.5</v>
      </c>
      <c r="K1485" s="35">
        <f>IFERROR(VLOOKUP(VENTAS[[#This Row],[Código del producto Vendido]],STOCK[],16,FALSE)*VENTAS[[#This Row],[Cantidad]]+VLOOKUP(VENTAS[[#This Row],[Código del producto Vendido]],STOCK[],19,FALSE)*VENTAS[[#This Row],[Cantidad]],VENTAS[[#This Row],[Total]])</f>
        <v>19.65</v>
      </c>
      <c r="L1485" s="35">
        <f>VENTAS[[#This Row],[Total]]-VENTAS[[#This Row],[Comisión 10%]]-VENTAS[[#This Row],[Costo SIN Comision]]</f>
        <v>11.85</v>
      </c>
      <c r="M1485" s="35"/>
    </row>
    <row r="1486" ht="20" customHeight="1" spans="1:13">
      <c r="A1486" s="29">
        <v>45562</v>
      </c>
      <c r="B1486" s="30"/>
      <c r="C1486" s="30" t="s">
        <v>3679</v>
      </c>
      <c r="D1486" s="30" t="s">
        <v>3540</v>
      </c>
      <c r="E1486" s="30" t="s">
        <v>2812</v>
      </c>
      <c r="F1486" s="34" t="str">
        <f>IFERROR(VLOOKUP(VENTAS[[#This Row],[Código del producto Vendido]],STOCK[],5,FALSE),"-")</f>
        <v>Bolso de ratán de Moda para vacaciones tamaño mediano con diseño de listas negras</v>
      </c>
      <c r="G1486" s="34">
        <v>1</v>
      </c>
      <c r="H1486" s="35">
        <v>22</v>
      </c>
      <c r="I1486" s="35">
        <f>VENTAS[[#This Row],[Cantidad]]*VENTAS[[#This Row],[Precio Venta]]</f>
        <v>22</v>
      </c>
      <c r="J1486" s="35">
        <f>IF(VENTAS[[#This Row],[Nombre del Gestor]]&gt;1,VENTAS[[#This Row],[Total]]*10%,0)</f>
        <v>2.2</v>
      </c>
      <c r="K1486" s="35">
        <f>IFERROR(VLOOKUP(VENTAS[[#This Row],[Código del producto Vendido]],STOCK[],16,FALSE)*VENTAS[[#This Row],[Cantidad]]+VLOOKUP(VENTAS[[#This Row],[Código del producto Vendido]],STOCK[],19,FALSE)*VENTAS[[#This Row],[Cantidad]],VENTAS[[#This Row],[Total]])</f>
        <v>12.17</v>
      </c>
      <c r="L1486" s="35">
        <f>VENTAS[[#This Row],[Total]]-VENTAS[[#This Row],[Comisión 10%]]-VENTAS[[#This Row],[Costo SIN Comision]]</f>
        <v>7.63</v>
      </c>
      <c r="M1486" s="35"/>
    </row>
    <row r="1487" ht="20" customHeight="1" spans="1:13">
      <c r="A1487" s="29">
        <v>45558</v>
      </c>
      <c r="B1487" s="30"/>
      <c r="C1487" s="30" t="s">
        <v>3680</v>
      </c>
      <c r="D1487" s="30" t="s">
        <v>3540</v>
      </c>
      <c r="E1487" s="30" t="s">
        <v>2730</v>
      </c>
      <c r="F1487" s="34" t="str">
        <f>IFERROR(VLOOKUP(VENTAS[[#This Row],[Código del producto Vendido]],STOCK[],5,FALSE),"-")</f>
        <v>Traje de baño sexy de una sola pieza negro</v>
      </c>
      <c r="G1487" s="34">
        <v>1</v>
      </c>
      <c r="H1487" s="35">
        <v>20</v>
      </c>
      <c r="I1487" s="35">
        <f>VENTAS[[#This Row],[Cantidad]]*VENTAS[[#This Row],[Precio Venta]]</f>
        <v>20</v>
      </c>
      <c r="J1487" s="35">
        <f>IF(VENTAS[[#This Row],[Nombre del Gestor]]&gt;1,VENTAS[[#This Row],[Total]]*10%,0)</f>
        <v>2</v>
      </c>
      <c r="K1487" s="35">
        <f>IFERROR(VLOOKUP(VENTAS[[#This Row],[Código del producto Vendido]],STOCK[],16,FALSE)*VENTAS[[#This Row],[Cantidad]]+VLOOKUP(VENTAS[[#This Row],[Código del producto Vendido]],STOCK[],19,FALSE)*VENTAS[[#This Row],[Cantidad]],VENTAS[[#This Row],[Total]])</f>
        <v>11.06</v>
      </c>
      <c r="L1487" s="35">
        <f>VENTAS[[#This Row],[Total]]-VENTAS[[#This Row],[Comisión 10%]]-VENTAS[[#This Row],[Costo SIN Comision]]</f>
        <v>6.94</v>
      </c>
      <c r="M1487" s="35"/>
    </row>
    <row r="1488" ht="20" customHeight="1" spans="1:13">
      <c r="A1488" s="29">
        <v>45565</v>
      </c>
      <c r="B1488" s="30"/>
      <c r="C1488" s="30" t="s">
        <v>3681</v>
      </c>
      <c r="D1488" s="30" t="s">
        <v>3481</v>
      </c>
      <c r="E1488" s="30" t="s">
        <v>2822</v>
      </c>
      <c r="F1488" s="34" t="str">
        <f>IFERROR(VLOOKUP(VENTAS[[#This Row],[Código del producto Vendido]],STOCK[],5,FALSE),"-")</f>
        <v>Bolso tejido redondo de gran capacidad Beis</v>
      </c>
      <c r="G1488" s="34">
        <v>1</v>
      </c>
      <c r="H1488" s="35">
        <v>25</v>
      </c>
      <c r="I1488" s="35">
        <f>VENTAS[[#This Row],[Cantidad]]*VENTAS[[#This Row],[Precio Venta]]</f>
        <v>25</v>
      </c>
      <c r="J1488" s="35">
        <f>IF(VENTAS[[#This Row],[Nombre del Gestor]]&gt;1,VENTAS[[#This Row],[Total]]*10%,0)</f>
        <v>2.5</v>
      </c>
      <c r="K1488" s="35">
        <f>IFERROR(VLOOKUP(VENTAS[[#This Row],[Código del producto Vendido]],STOCK[],16,FALSE)*VENTAS[[#This Row],[Cantidad]]+VLOOKUP(VENTAS[[#This Row],[Código del producto Vendido]],STOCK[],19,FALSE)*VENTAS[[#This Row],[Cantidad]],VENTAS[[#This Row],[Total]])</f>
        <v>12.74</v>
      </c>
      <c r="L1488" s="35">
        <f>VENTAS[[#This Row],[Total]]-VENTAS[[#This Row],[Comisión 10%]]-VENTAS[[#This Row],[Costo SIN Comision]]</f>
        <v>9.76</v>
      </c>
      <c r="M1488" s="35"/>
    </row>
    <row r="1489" ht="20" customHeight="1" spans="1:13">
      <c r="A1489" s="29">
        <v>45565</v>
      </c>
      <c r="B1489" s="30"/>
      <c r="C1489" s="30" t="s">
        <v>3682</v>
      </c>
      <c r="D1489" s="30" t="s">
        <v>3481</v>
      </c>
      <c r="E1489" s="30" t="s">
        <v>2826</v>
      </c>
      <c r="F1489" s="34" t="str">
        <f>IFERROR(VLOOKUP(VENTAS[[#This Row],[Código del producto Vendido]],STOCK[],5,FALSE),"-")</f>
        <v>Bolso tejido redondo de gran capacidad Ojo Turco</v>
      </c>
      <c r="G1489" s="34">
        <v>1</v>
      </c>
      <c r="H1489" s="35">
        <v>25</v>
      </c>
      <c r="I1489" s="35">
        <f>VENTAS[[#This Row],[Cantidad]]*VENTAS[[#This Row],[Precio Venta]]</f>
        <v>25</v>
      </c>
      <c r="J1489" s="35">
        <f>IF(VENTAS[[#This Row],[Nombre del Gestor]]&gt;1,VENTAS[[#This Row],[Total]]*10%,0)</f>
        <v>2.5</v>
      </c>
      <c r="K1489" s="35">
        <f>IFERROR(VLOOKUP(VENTAS[[#This Row],[Código del producto Vendido]],STOCK[],16,FALSE)*VENTAS[[#This Row],[Cantidad]]+VLOOKUP(VENTAS[[#This Row],[Código del producto Vendido]],STOCK[],19,FALSE)*VENTAS[[#This Row],[Cantidad]],VENTAS[[#This Row],[Total]])</f>
        <v>13.03</v>
      </c>
      <c r="L1489" s="35">
        <f>VENTAS[[#This Row],[Total]]-VENTAS[[#This Row],[Comisión 10%]]-VENTAS[[#This Row],[Costo SIN Comision]]</f>
        <v>9.47</v>
      </c>
      <c r="M1489" s="35"/>
    </row>
    <row r="1490" ht="20" customHeight="1" spans="1:13">
      <c r="A1490" s="29">
        <v>45564</v>
      </c>
      <c r="B1490" s="30"/>
      <c r="C1490" s="30" t="s">
        <v>3683</v>
      </c>
      <c r="D1490" s="30" t="s">
        <v>3481</v>
      </c>
      <c r="E1490" s="30" t="s">
        <v>2817</v>
      </c>
      <c r="F1490" s="34" t="str">
        <f>IFERROR(VLOOKUP(VENTAS[[#This Row],[Código del producto Vendido]],STOCK[],5,FALSE),"-")</f>
        <v>Bolso de diario ligero y casual de gran capacidad elegante de cocodrilo</v>
      </c>
      <c r="G1490" s="34">
        <v>1</v>
      </c>
      <c r="H1490" s="35">
        <v>25</v>
      </c>
      <c r="I1490" s="35">
        <f>VENTAS[[#This Row],[Cantidad]]*VENTAS[[#This Row],[Precio Venta]]</f>
        <v>25</v>
      </c>
      <c r="J1490" s="35">
        <f>IF(VENTAS[[#This Row],[Nombre del Gestor]]&gt;1,VENTAS[[#This Row],[Total]]*10%,0)</f>
        <v>2.5</v>
      </c>
      <c r="K1490" s="35">
        <f>IFERROR(VLOOKUP(VENTAS[[#This Row],[Código del producto Vendido]],STOCK[],16,FALSE)*VENTAS[[#This Row],[Cantidad]]+VLOOKUP(VENTAS[[#This Row],[Código del producto Vendido]],STOCK[],19,FALSE)*VENTAS[[#This Row],[Cantidad]],VENTAS[[#This Row],[Total]])</f>
        <v>10.14</v>
      </c>
      <c r="L1490" s="35">
        <f>VENTAS[[#This Row],[Total]]-VENTAS[[#This Row],[Comisión 10%]]-VENTAS[[#This Row],[Costo SIN Comision]]</f>
        <v>12.36</v>
      </c>
      <c r="M1490" s="35"/>
    </row>
    <row r="1491" ht="20" customHeight="1" spans="1:13">
      <c r="A1491" s="29">
        <v>45564</v>
      </c>
      <c r="B1491" s="30"/>
      <c r="C1491" s="30" t="s">
        <v>3684</v>
      </c>
      <c r="D1491" s="30" t="s">
        <v>3481</v>
      </c>
      <c r="E1491" s="30" t="s">
        <v>2812</v>
      </c>
      <c r="F1491" s="34" t="str">
        <f>IFERROR(VLOOKUP(VENTAS[[#This Row],[Código del producto Vendido]],STOCK[],5,FALSE),"-")</f>
        <v>Bolso de ratán de Moda para vacaciones tamaño mediano con diseño de listas negras</v>
      </c>
      <c r="G1491" s="34">
        <v>1</v>
      </c>
      <c r="H1491" s="35">
        <v>22</v>
      </c>
      <c r="I1491" s="35">
        <f>VENTAS[[#This Row],[Cantidad]]*VENTAS[[#This Row],[Precio Venta]]</f>
        <v>22</v>
      </c>
      <c r="J1491" s="35">
        <f>IF(VENTAS[[#This Row],[Nombre del Gestor]]&gt;1,VENTAS[[#This Row],[Total]]*10%,0)</f>
        <v>2.2</v>
      </c>
      <c r="K1491" s="35">
        <f>IFERROR(VLOOKUP(VENTAS[[#This Row],[Código del producto Vendido]],STOCK[],16,FALSE)*VENTAS[[#This Row],[Cantidad]]+VLOOKUP(VENTAS[[#This Row],[Código del producto Vendido]],STOCK[],19,FALSE)*VENTAS[[#This Row],[Cantidad]],VENTAS[[#This Row],[Total]])</f>
        <v>12.17</v>
      </c>
      <c r="L1491" s="35">
        <f>VENTAS[[#This Row],[Total]]-VENTAS[[#This Row],[Comisión 10%]]-VENTAS[[#This Row],[Costo SIN Comision]]</f>
        <v>7.63</v>
      </c>
      <c r="M1491" s="35"/>
    </row>
    <row r="1492" ht="20" customHeight="1" spans="1:13">
      <c r="A1492" s="29">
        <v>45563</v>
      </c>
      <c r="B1492" s="30"/>
      <c r="C1492" s="30" t="s">
        <v>3685</v>
      </c>
      <c r="D1492" s="30" t="s">
        <v>3481</v>
      </c>
      <c r="E1492" s="30" t="s">
        <v>2801</v>
      </c>
      <c r="F1492" s="34" t="str">
        <f>IFERROR(VLOOKUP(VENTAS[[#This Row],[Código del producto Vendido]],STOCK[],5,FALSE),"-")</f>
        <v>Sandalias espadriles de cuña de correas transparentes</v>
      </c>
      <c r="G1492" s="34">
        <v>1</v>
      </c>
      <c r="H1492" s="35">
        <v>40</v>
      </c>
      <c r="I1492" s="35">
        <f>VENTAS[[#This Row],[Cantidad]]*VENTAS[[#This Row],[Precio Venta]]</f>
        <v>40</v>
      </c>
      <c r="J1492" s="35">
        <f>IF(VENTAS[[#This Row],[Nombre del Gestor]]&gt;1,VENTAS[[#This Row],[Total]]*10%,0)</f>
        <v>4</v>
      </c>
      <c r="K1492" s="35">
        <f>IFERROR(VLOOKUP(VENTAS[[#This Row],[Código del producto Vendido]],STOCK[],16,FALSE)*VENTAS[[#This Row],[Cantidad]]+VLOOKUP(VENTAS[[#This Row],[Código del producto Vendido]],STOCK[],19,FALSE)*VENTAS[[#This Row],[Cantidad]],VENTAS[[#This Row],[Total]])</f>
        <v>13.01</v>
      </c>
      <c r="L1492" s="35">
        <f>VENTAS[[#This Row],[Total]]-VENTAS[[#This Row],[Comisión 10%]]-VENTAS[[#This Row],[Costo SIN Comision]]</f>
        <v>22.99</v>
      </c>
      <c r="M1492" s="35"/>
    </row>
    <row r="1493" ht="20" customHeight="1" spans="1:13">
      <c r="A1493" s="29">
        <v>45565</v>
      </c>
      <c r="B1493" s="30"/>
      <c r="C1493" s="30" t="s">
        <v>3686</v>
      </c>
      <c r="D1493" s="30" t="s">
        <v>3481</v>
      </c>
      <c r="E1493" s="30" t="s">
        <v>2780</v>
      </c>
      <c r="F1493" s="34" t="str">
        <f>IFERROR(VLOOKUP(VENTAS[[#This Row],[Código del producto Vendido]],STOCK[],5,FALSE),"-")</f>
        <v>Sandalias naranjas espadriles de saco atadas con hebilla al tobillo</v>
      </c>
      <c r="G1493" s="34">
        <v>1</v>
      </c>
      <c r="H1493" s="35">
        <v>35</v>
      </c>
      <c r="I1493" s="35">
        <f>VENTAS[[#This Row],[Cantidad]]*VENTAS[[#This Row],[Precio Venta]]</f>
        <v>35</v>
      </c>
      <c r="J1493" s="35">
        <f>IF(VENTAS[[#This Row],[Nombre del Gestor]]&gt;1,VENTAS[[#This Row],[Total]]*10%,0)</f>
        <v>3.5</v>
      </c>
      <c r="K1493" s="35">
        <f>IFERROR(VLOOKUP(VENTAS[[#This Row],[Código del producto Vendido]],STOCK[],16,FALSE)*VENTAS[[#This Row],[Cantidad]]+VLOOKUP(VENTAS[[#This Row],[Código del producto Vendido]],STOCK[],19,FALSE)*VENTAS[[#This Row],[Cantidad]],VENTAS[[#This Row],[Total]])</f>
        <v>10.4</v>
      </c>
      <c r="L1493" s="35">
        <f>VENTAS[[#This Row],[Total]]-VENTAS[[#This Row],[Comisión 10%]]-VENTAS[[#This Row],[Costo SIN Comision]]</f>
        <v>21.1</v>
      </c>
      <c r="M1493" s="35"/>
    </row>
    <row r="1494" ht="20" customHeight="1" spans="1:13">
      <c r="A1494" s="29">
        <v>45560</v>
      </c>
      <c r="B1494" s="30"/>
      <c r="C1494" s="30" t="s">
        <v>3687</v>
      </c>
      <c r="D1494" s="30" t="s">
        <v>3481</v>
      </c>
      <c r="E1494" s="30" t="s">
        <v>2824</v>
      </c>
      <c r="F1494" s="34" t="str">
        <f>IFERROR(VLOOKUP(VENTAS[[#This Row],[Código del producto Vendido]],STOCK[],5,FALSE),"-")</f>
        <v>Bolso tejido redondo de gran capacidad Carmelita</v>
      </c>
      <c r="G1494" s="34">
        <v>1</v>
      </c>
      <c r="H1494" s="35">
        <v>25</v>
      </c>
      <c r="I1494" s="35">
        <f>VENTAS[[#This Row],[Cantidad]]*VENTAS[[#This Row],[Precio Venta]]</f>
        <v>25</v>
      </c>
      <c r="J1494" s="35">
        <f>IF(VENTAS[[#This Row],[Nombre del Gestor]]&gt;1,VENTAS[[#This Row],[Total]]*10%,0)</f>
        <v>2.5</v>
      </c>
      <c r="K1494" s="35">
        <f>IFERROR(VLOOKUP(VENTAS[[#This Row],[Código del producto Vendido]],STOCK[],16,FALSE)*VENTAS[[#This Row],[Cantidad]]+VLOOKUP(VENTAS[[#This Row],[Código del producto Vendido]],STOCK[],19,FALSE)*VENTAS[[#This Row],[Cantidad]],VENTAS[[#This Row],[Total]])</f>
        <v>13.31</v>
      </c>
      <c r="L1494" s="35">
        <f>VENTAS[[#This Row],[Total]]-VENTAS[[#This Row],[Comisión 10%]]-VENTAS[[#This Row],[Costo SIN Comision]]</f>
        <v>9.19</v>
      </c>
      <c r="M1494" s="35"/>
    </row>
    <row r="1495" ht="20" customHeight="1" spans="1:13">
      <c r="A1495" s="29">
        <v>45560</v>
      </c>
      <c r="B1495" s="30"/>
      <c r="C1495" s="30" t="s">
        <v>3688</v>
      </c>
      <c r="D1495" s="30" t="s">
        <v>3481</v>
      </c>
      <c r="E1495" s="30" t="s">
        <v>2854</v>
      </c>
      <c r="F1495" s="34" t="str">
        <f>IFERROR(VLOOKUP(VENTAS[[#This Row],[Código del producto Vendido]],STOCK[],5,FALSE),"-")</f>
        <v>Bolso cuadrado tejido de rafia Tamaño grande Color Carmelita</v>
      </c>
      <c r="G1495" s="34">
        <v>1</v>
      </c>
      <c r="H1495" s="35">
        <v>25</v>
      </c>
      <c r="I1495" s="35">
        <f>VENTAS[[#This Row],[Cantidad]]*VENTAS[[#This Row],[Precio Venta]]</f>
        <v>25</v>
      </c>
      <c r="J1495" s="35">
        <f>IF(VENTAS[[#This Row],[Nombre del Gestor]]&gt;1,VENTAS[[#This Row],[Total]]*10%,0)</f>
        <v>2.5</v>
      </c>
      <c r="K1495" s="35">
        <f>IFERROR(VLOOKUP(VENTAS[[#This Row],[Código del producto Vendido]],STOCK[],16,FALSE)*VENTAS[[#This Row],[Cantidad]]+VLOOKUP(VENTAS[[#This Row],[Código del producto Vendido]],STOCK[],19,FALSE)*VENTAS[[#This Row],[Cantidad]],VENTAS[[#This Row],[Total]])</f>
        <v>14.85</v>
      </c>
      <c r="L1495" s="35">
        <f>VENTAS[[#This Row],[Total]]-VENTAS[[#This Row],[Comisión 10%]]-VENTAS[[#This Row],[Costo SIN Comision]]</f>
        <v>7.65</v>
      </c>
      <c r="M1495" s="35"/>
    </row>
    <row r="1496" ht="20" customHeight="1" spans="1:13">
      <c r="A1496" s="29">
        <v>45560</v>
      </c>
      <c r="B1496" s="30"/>
      <c r="C1496" s="30" t="s">
        <v>3689</v>
      </c>
      <c r="D1496" s="30" t="s">
        <v>3481</v>
      </c>
      <c r="E1496" s="30" t="s">
        <v>2812</v>
      </c>
      <c r="F1496" s="34" t="str">
        <f>IFERROR(VLOOKUP(VENTAS[[#This Row],[Código del producto Vendido]],STOCK[],5,FALSE),"-")</f>
        <v>Bolso de ratán de Moda para vacaciones tamaño mediano con diseño de listas negras</v>
      </c>
      <c r="G1496" s="34">
        <v>1</v>
      </c>
      <c r="H1496" s="35">
        <v>22</v>
      </c>
      <c r="I1496" s="35">
        <f>VENTAS[[#This Row],[Cantidad]]*VENTAS[[#This Row],[Precio Venta]]</f>
        <v>22</v>
      </c>
      <c r="J1496" s="35">
        <f>IF(VENTAS[[#This Row],[Nombre del Gestor]]&gt;1,VENTAS[[#This Row],[Total]]*10%,0)</f>
        <v>2.2</v>
      </c>
      <c r="K1496" s="35">
        <f>IFERROR(VLOOKUP(VENTAS[[#This Row],[Código del producto Vendido]],STOCK[],16,FALSE)*VENTAS[[#This Row],[Cantidad]]+VLOOKUP(VENTAS[[#This Row],[Código del producto Vendido]],STOCK[],19,FALSE)*VENTAS[[#This Row],[Cantidad]],VENTAS[[#This Row],[Total]])</f>
        <v>12.17</v>
      </c>
      <c r="L1496" s="35">
        <f>VENTAS[[#This Row],[Total]]-VENTAS[[#This Row],[Comisión 10%]]-VENTAS[[#This Row],[Costo SIN Comision]]</f>
        <v>7.63</v>
      </c>
      <c r="M1496" s="35"/>
    </row>
    <row r="1497" ht="20" customHeight="1" spans="1:13">
      <c r="A1497" s="29">
        <v>45558</v>
      </c>
      <c r="B1497" s="30"/>
      <c r="C1497" s="30" t="s">
        <v>3669</v>
      </c>
      <c r="D1497" s="30" t="s">
        <v>3481</v>
      </c>
      <c r="E1497" s="30" t="s">
        <v>3019</v>
      </c>
      <c r="F1497" s="34" t="str">
        <f>IFERROR(VLOOKUP(VENTAS[[#This Row],[Código del producto Vendido]],STOCK[],5,FALSE),"-")</f>
        <v>falda negra con abertura H&amp;M</v>
      </c>
      <c r="G1497" s="34">
        <v>1</v>
      </c>
      <c r="H1497" s="35">
        <v>25</v>
      </c>
      <c r="I1497" s="35">
        <f>VENTAS[[#This Row],[Cantidad]]*VENTAS[[#This Row],[Precio Venta]]</f>
        <v>25</v>
      </c>
      <c r="J1497" s="35">
        <f>IF(VENTAS[[#This Row],[Nombre del Gestor]]&gt;1,VENTAS[[#This Row],[Total]]*10%,0)</f>
        <v>2.5</v>
      </c>
      <c r="K1497" s="35">
        <f>IFERROR(VLOOKUP(VENTAS[[#This Row],[Código del producto Vendido]],STOCK[],16,FALSE)*VENTAS[[#This Row],[Cantidad]]+VLOOKUP(VENTAS[[#This Row],[Código del producto Vendido]],STOCK[],19,FALSE)*VENTAS[[#This Row],[Cantidad]],VENTAS[[#This Row],[Total]])</f>
        <v>14.6</v>
      </c>
      <c r="L1497" s="35">
        <f>VENTAS[[#This Row],[Total]]-VENTAS[[#This Row],[Comisión 10%]]-VENTAS[[#This Row],[Costo SIN Comision]]</f>
        <v>7.9</v>
      </c>
      <c r="M1497" s="35"/>
    </row>
    <row r="1498" ht="20" customHeight="1" spans="1:13">
      <c r="A1498" s="29">
        <v>45536</v>
      </c>
      <c r="B1498" s="30"/>
      <c r="C1498" s="30" t="s">
        <v>3690</v>
      </c>
      <c r="D1498" s="30" t="s">
        <v>3481</v>
      </c>
      <c r="E1498" s="30" t="s">
        <v>2452</v>
      </c>
      <c r="F1498" s="34" t="str">
        <f>IFERROR(VLOOKUP(VENTAS[[#This Row],[Código del producto Vendido]],STOCK[],5,FALSE),"-")</f>
        <v>Sandalias prácticas Chunky Negras</v>
      </c>
      <c r="G1498" s="34">
        <v>1</v>
      </c>
      <c r="H1498" s="35">
        <v>35</v>
      </c>
      <c r="I1498" s="35">
        <f>VENTAS[[#This Row],[Cantidad]]*VENTAS[[#This Row],[Precio Venta]]</f>
        <v>35</v>
      </c>
      <c r="J1498" s="35">
        <f>IF(VENTAS[[#This Row],[Nombre del Gestor]]&gt;1,VENTAS[[#This Row],[Total]]*10%,0)</f>
        <v>3.5</v>
      </c>
      <c r="K1498" s="35">
        <f>IFERROR(VLOOKUP(VENTAS[[#This Row],[Código del producto Vendido]],STOCK[],16,FALSE)*VENTAS[[#This Row],[Cantidad]]+VLOOKUP(VENTAS[[#This Row],[Código del producto Vendido]],STOCK[],19,FALSE)*VENTAS[[#This Row],[Cantidad]],VENTAS[[#This Row],[Total]])</f>
        <v>21.97</v>
      </c>
      <c r="L1498" s="35">
        <f>VENTAS[[#This Row],[Total]]-VENTAS[[#This Row],[Comisión 10%]]-VENTAS[[#This Row],[Costo SIN Comision]]</f>
        <v>9.53</v>
      </c>
      <c r="M1498" s="35"/>
    </row>
    <row r="1499" ht="20" customHeight="1" spans="1:13">
      <c r="A1499" s="29">
        <v>45565</v>
      </c>
      <c r="B1499" s="30"/>
      <c r="C1499" s="30" t="s">
        <v>3601</v>
      </c>
      <c r="D1499" s="30" t="s">
        <v>3506</v>
      </c>
      <c r="E1499" s="30" t="s">
        <v>2817</v>
      </c>
      <c r="F1499" s="34" t="str">
        <f>IFERROR(VLOOKUP(VENTAS[[#This Row],[Código del producto Vendido]],STOCK[],5,FALSE),"-")</f>
        <v>Bolso de diario ligero y casual de gran capacidad elegante de cocodrilo</v>
      </c>
      <c r="G1499" s="34">
        <v>1</v>
      </c>
      <c r="H1499" s="35">
        <v>25</v>
      </c>
      <c r="I1499" s="35">
        <f>VENTAS[[#This Row],[Cantidad]]*VENTAS[[#This Row],[Precio Venta]]</f>
        <v>25</v>
      </c>
      <c r="J1499" s="35">
        <f>IF(VENTAS[[#This Row],[Nombre del Gestor]]&gt;1,VENTAS[[#This Row],[Total]]*10%,0)</f>
        <v>2.5</v>
      </c>
      <c r="K1499" s="35">
        <f>IFERROR(VLOOKUP(VENTAS[[#This Row],[Código del producto Vendido]],STOCK[],16,FALSE)*VENTAS[[#This Row],[Cantidad]]+VLOOKUP(VENTAS[[#This Row],[Código del producto Vendido]],STOCK[],19,FALSE)*VENTAS[[#This Row],[Cantidad]],VENTAS[[#This Row],[Total]])</f>
        <v>10.14</v>
      </c>
      <c r="L1499" s="35">
        <f>VENTAS[[#This Row],[Total]]-VENTAS[[#This Row],[Comisión 10%]]-VENTAS[[#This Row],[Costo SIN Comision]]</f>
        <v>12.36</v>
      </c>
      <c r="M1499" s="35"/>
    </row>
    <row r="1500" ht="20" customHeight="1" spans="1:13">
      <c r="A1500" s="29">
        <v>45565</v>
      </c>
      <c r="B1500" s="30"/>
      <c r="C1500" s="30" t="s">
        <v>3449</v>
      </c>
      <c r="D1500" s="30"/>
      <c r="E1500" s="30" t="s">
        <v>2452</v>
      </c>
      <c r="F1500" s="34" t="str">
        <f>IFERROR(VLOOKUP(VENTAS[[#This Row],[Código del producto Vendido]],STOCK[],5,FALSE),"-")</f>
        <v>Sandalias prácticas Chunky Negras</v>
      </c>
      <c r="G1500" s="34">
        <v>2</v>
      </c>
      <c r="H1500" s="35">
        <v>35</v>
      </c>
      <c r="I1500" s="35">
        <f>VENTAS[[#This Row],[Cantidad]]*VENTAS[[#This Row],[Precio Venta]]</f>
        <v>70</v>
      </c>
      <c r="J1500" s="35">
        <f>IF(VENTAS[[#This Row],[Nombre del Gestor]]&gt;1,VENTAS[[#This Row],[Total]]*10%,0)</f>
        <v>0</v>
      </c>
      <c r="K1500" s="35">
        <f>IFERROR(VLOOKUP(VENTAS[[#This Row],[Código del producto Vendido]],STOCK[],16,FALSE)*VENTAS[[#This Row],[Cantidad]]+VLOOKUP(VENTAS[[#This Row],[Código del producto Vendido]],STOCK[],19,FALSE)*VENTAS[[#This Row],[Cantidad]],VENTAS[[#This Row],[Total]])</f>
        <v>43.94</v>
      </c>
      <c r="L1500" s="35">
        <f>VENTAS[[#This Row],[Total]]-VENTAS[[#This Row],[Comisión 10%]]-VENTAS[[#This Row],[Costo SIN Comision]]</f>
        <v>26.06</v>
      </c>
      <c r="M1500" s="35"/>
    </row>
    <row r="1501" ht="20" customHeight="1" spans="1:13">
      <c r="A1501" s="29">
        <v>45564</v>
      </c>
      <c r="B1501" s="30"/>
      <c r="C1501" s="30" t="s">
        <v>3620</v>
      </c>
      <c r="D1501" s="30" t="s">
        <v>3315</v>
      </c>
      <c r="E1501" s="30" t="s">
        <v>2503</v>
      </c>
      <c r="F1501" s="34" t="str">
        <f>IFERROR(VLOOKUP(VENTAS[[#This Row],[Código del producto Vendido]],STOCK[],5,FALSE),"-")</f>
        <v>Camisa elegante con lazo grande</v>
      </c>
      <c r="G1501" s="34">
        <v>1</v>
      </c>
      <c r="H1501" s="35">
        <v>20</v>
      </c>
      <c r="I1501" s="35">
        <f>VENTAS[[#This Row],[Cantidad]]*VENTAS[[#This Row],[Precio Venta]]</f>
        <v>20</v>
      </c>
      <c r="J1501" s="35">
        <f>IF(VENTAS[[#This Row],[Nombre del Gestor]]&gt;1,VENTAS[[#This Row],[Total]]*10%,0)</f>
        <v>2</v>
      </c>
      <c r="K1501" s="35">
        <f>IFERROR(VLOOKUP(VENTAS[[#This Row],[Código del producto Vendido]],STOCK[],16,FALSE)*VENTAS[[#This Row],[Cantidad]]+VLOOKUP(VENTAS[[#This Row],[Código del producto Vendido]],STOCK[],19,FALSE)*VENTAS[[#This Row],[Cantidad]],VENTAS[[#This Row],[Total]])</f>
        <v>10.92</v>
      </c>
      <c r="L1501" s="35">
        <f>VENTAS[[#This Row],[Total]]-VENTAS[[#This Row],[Comisión 10%]]-VENTAS[[#This Row],[Costo SIN Comision]]</f>
        <v>7.08</v>
      </c>
      <c r="M1501" s="35"/>
    </row>
    <row r="1502" ht="20" customHeight="1" spans="1:13">
      <c r="A1502" s="29">
        <v>45565</v>
      </c>
      <c r="B1502" s="30"/>
      <c r="C1502" s="30" t="s">
        <v>3691</v>
      </c>
      <c r="D1502" s="30" t="s">
        <v>3506</v>
      </c>
      <c r="E1502" s="30" t="s">
        <v>3010</v>
      </c>
      <c r="F1502" s="34" t="str">
        <f>IFERROR(VLOOKUP(VENTAS[[#This Row],[Código del producto Vendido]],STOCK[],5,FALSE),"-")</f>
        <v>Pantalón alto de pierna ancha color caramelo</v>
      </c>
      <c r="G1502" s="34">
        <v>1</v>
      </c>
      <c r="H1502" s="35">
        <v>30</v>
      </c>
      <c r="I1502" s="35">
        <f>VENTAS[[#This Row],[Cantidad]]*VENTAS[[#This Row],[Precio Venta]]</f>
        <v>30</v>
      </c>
      <c r="J1502" s="35">
        <f>IF(VENTAS[[#This Row],[Nombre del Gestor]]&gt;1,VENTAS[[#This Row],[Total]]*10%,0)</f>
        <v>3</v>
      </c>
      <c r="K1502" s="35">
        <f>IFERROR(VLOOKUP(VENTAS[[#This Row],[Código del producto Vendido]],STOCK[],16,FALSE)*VENTAS[[#This Row],[Cantidad]]+VLOOKUP(VENTAS[[#This Row],[Código del producto Vendido]],STOCK[],19,FALSE)*VENTAS[[#This Row],[Cantidad]],VENTAS[[#This Row],[Total]])</f>
        <v>12.63</v>
      </c>
      <c r="L1502" s="35">
        <f>VENTAS[[#This Row],[Total]]-VENTAS[[#This Row],[Comisión 10%]]-VENTAS[[#This Row],[Costo SIN Comision]]</f>
        <v>14.37</v>
      </c>
      <c r="M1502" s="35"/>
    </row>
    <row r="1503" ht="20" customHeight="1" spans="1:13">
      <c r="A1503" s="29">
        <v>45565</v>
      </c>
      <c r="B1503" s="30"/>
      <c r="C1503" s="30" t="s">
        <v>3692</v>
      </c>
      <c r="D1503" s="30" t="s">
        <v>3506</v>
      </c>
      <c r="E1503" s="30" t="s">
        <v>2810</v>
      </c>
      <c r="F1503" s="34" t="str">
        <f>IFERROR(VLOOKUP(VENTAS[[#This Row],[Código del producto Vendido]],STOCK[],5,FALSE),"-")</f>
        <v>Bolso elegante de estilo sillín</v>
      </c>
      <c r="G1503" s="34">
        <v>1</v>
      </c>
      <c r="H1503" s="35">
        <v>22</v>
      </c>
      <c r="I1503" s="35">
        <f>VENTAS[[#This Row],[Cantidad]]*VENTAS[[#This Row],[Precio Venta]]</f>
        <v>22</v>
      </c>
      <c r="J1503" s="35">
        <f>IF(VENTAS[[#This Row],[Nombre del Gestor]]&gt;1,VENTAS[[#This Row],[Total]]*10%,0)</f>
        <v>2.2</v>
      </c>
      <c r="K1503" s="35">
        <f>IFERROR(VLOOKUP(VENTAS[[#This Row],[Código del producto Vendido]],STOCK[],16,FALSE)*VENTAS[[#This Row],[Cantidad]]+VLOOKUP(VENTAS[[#This Row],[Código del producto Vendido]],STOCK[],19,FALSE)*VENTAS[[#This Row],[Cantidad]],VENTAS[[#This Row],[Total]])</f>
        <v>10.28</v>
      </c>
      <c r="L1503" s="35">
        <f>VENTAS[[#This Row],[Total]]-VENTAS[[#This Row],[Comisión 10%]]-VENTAS[[#This Row],[Costo SIN Comision]]</f>
        <v>9.52</v>
      </c>
      <c r="M1503" s="35"/>
    </row>
    <row r="1504" ht="20" customHeight="1" spans="1:13">
      <c r="A1504" s="29">
        <v>45565</v>
      </c>
      <c r="B1504" s="30"/>
      <c r="C1504" s="30" t="s">
        <v>3693</v>
      </c>
      <c r="D1504" s="30" t="s">
        <v>3506</v>
      </c>
      <c r="E1504" s="30" t="s">
        <v>1062</v>
      </c>
      <c r="F1504" s="34" t="str">
        <f>IFERROR(VLOOKUP(VENTAS[[#This Row],[Código del producto Vendido]],STOCK[],5,FALSE),"-")</f>
        <v>Top cami carrera</v>
      </c>
      <c r="G1504" s="34">
        <v>1</v>
      </c>
      <c r="H1504" s="35">
        <v>7</v>
      </c>
      <c r="I1504" s="35">
        <f>VENTAS[[#This Row],[Cantidad]]*VENTAS[[#This Row],[Precio Venta]]</f>
        <v>7</v>
      </c>
      <c r="J1504" s="35">
        <f>IF(VENTAS[[#This Row],[Nombre del Gestor]]&gt;1,VENTAS[[#This Row],[Total]]*10%,0)</f>
        <v>0.7</v>
      </c>
      <c r="K1504" s="35">
        <f>IFERROR(VLOOKUP(VENTAS[[#This Row],[Código del producto Vendido]],STOCK[],16,FALSE)*VENTAS[[#This Row],[Cantidad]]+VLOOKUP(VENTAS[[#This Row],[Código del producto Vendido]],STOCK[],19,FALSE)*VENTAS[[#This Row],[Cantidad]],VENTAS[[#This Row],[Total]])</f>
        <v>4.99264705882353</v>
      </c>
      <c r="L1504" s="35">
        <f>VENTAS[[#This Row],[Total]]-VENTAS[[#This Row],[Comisión 10%]]-VENTAS[[#This Row],[Costo SIN Comision]]</f>
        <v>1.30735294117647</v>
      </c>
      <c r="M1504" s="35"/>
    </row>
    <row r="1505" ht="20" customHeight="1" spans="1:13">
      <c r="A1505" s="29">
        <v>45565</v>
      </c>
      <c r="B1505" s="30"/>
      <c r="C1505" s="30" t="s">
        <v>3693</v>
      </c>
      <c r="D1505" s="30" t="s">
        <v>3506</v>
      </c>
      <c r="E1505" s="30" t="s">
        <v>2992</v>
      </c>
      <c r="F1505" s="34" t="str">
        <f>IFERROR(VLOOKUP(VENTAS[[#This Row],[Código del producto Vendido]],STOCK[],5,FALSE),"-")</f>
        <v>Camiseta de moda con estampado de cereza</v>
      </c>
      <c r="G1505" s="34">
        <v>1</v>
      </c>
      <c r="H1505" s="35">
        <v>15</v>
      </c>
      <c r="I1505" s="35">
        <f>VENTAS[[#This Row],[Cantidad]]*VENTAS[[#This Row],[Precio Venta]]</f>
        <v>15</v>
      </c>
      <c r="J1505" s="35">
        <f>IF(VENTAS[[#This Row],[Nombre del Gestor]]&gt;1,VENTAS[[#This Row],[Total]]*10%,0)</f>
        <v>1.5</v>
      </c>
      <c r="K1505" s="35">
        <f>IFERROR(VLOOKUP(VENTAS[[#This Row],[Código del producto Vendido]],STOCK[],16,FALSE)*VENTAS[[#This Row],[Cantidad]]+VLOOKUP(VENTAS[[#This Row],[Código del producto Vendido]],STOCK[],19,FALSE)*VENTAS[[#This Row],[Cantidad]],VENTAS[[#This Row],[Total]])</f>
        <v>5.92</v>
      </c>
      <c r="L1505" s="35">
        <f>VENTAS[[#This Row],[Total]]-VENTAS[[#This Row],[Comisión 10%]]-VENTAS[[#This Row],[Costo SIN Comision]]</f>
        <v>7.58</v>
      </c>
      <c r="M1505" s="35"/>
    </row>
    <row r="1506" ht="20" customHeight="1" spans="1:13">
      <c r="A1506" s="29">
        <v>45564</v>
      </c>
      <c r="B1506" s="30"/>
      <c r="C1506" s="30" t="s">
        <v>3460</v>
      </c>
      <c r="D1506" s="30" t="s">
        <v>3506</v>
      </c>
      <c r="E1506" s="30" t="s">
        <v>2749</v>
      </c>
      <c r="F1506" s="34" t="str">
        <f>IFERROR(VLOOKUP(VENTAS[[#This Row],[Código del producto Vendido]],STOCK[],5,FALSE),"-")</f>
        <v>Vestido Privé Unicolor Sin Mangas ajustado con pliegues color negro</v>
      </c>
      <c r="G1506" s="34">
        <v>1</v>
      </c>
      <c r="H1506" s="35">
        <v>20</v>
      </c>
      <c r="I1506" s="35">
        <f>VENTAS[[#This Row],[Cantidad]]*VENTAS[[#This Row],[Precio Venta]]</f>
        <v>20</v>
      </c>
      <c r="J1506" s="35">
        <f>IF(VENTAS[[#This Row],[Nombre del Gestor]]&gt;1,VENTAS[[#This Row],[Total]]*10%,0)</f>
        <v>2</v>
      </c>
      <c r="K1506" s="35">
        <f>IFERROR(VLOOKUP(VENTAS[[#This Row],[Código del producto Vendido]],STOCK[],16,FALSE)*VENTAS[[#This Row],[Cantidad]]+VLOOKUP(VENTAS[[#This Row],[Código del producto Vendido]],STOCK[],19,FALSE)*VENTAS[[#This Row],[Cantidad]],VENTAS[[#This Row],[Total]])</f>
        <v>6.12</v>
      </c>
      <c r="L1506" s="35">
        <f>VENTAS[[#This Row],[Total]]-VENTAS[[#This Row],[Comisión 10%]]-VENTAS[[#This Row],[Costo SIN Comision]]</f>
        <v>11.88</v>
      </c>
      <c r="M1506" s="35"/>
    </row>
    <row r="1507" ht="20" customHeight="1" spans="1:13">
      <c r="A1507" s="29">
        <v>45564</v>
      </c>
      <c r="B1507" s="30"/>
      <c r="C1507" s="30" t="s">
        <v>3560</v>
      </c>
      <c r="D1507" s="30" t="s">
        <v>3506</v>
      </c>
      <c r="E1507" s="30" t="s">
        <v>2830</v>
      </c>
      <c r="F1507" s="34" t="str">
        <f>IFERROR(VLOOKUP(VENTAS[[#This Row],[Código del producto Vendido]],STOCK[],5,FALSE),"-")</f>
        <v>Vestido elegante de crochet de de cuello profundo y espalda cruzada</v>
      </c>
      <c r="G1507" s="34">
        <v>1</v>
      </c>
      <c r="H1507" s="35">
        <v>30</v>
      </c>
      <c r="I1507" s="35">
        <f>VENTAS[[#This Row],[Cantidad]]*VENTAS[[#This Row],[Precio Venta]]</f>
        <v>30</v>
      </c>
      <c r="J1507" s="35">
        <f>IF(VENTAS[[#This Row],[Nombre del Gestor]]&gt;1,VENTAS[[#This Row],[Total]]*10%,0)</f>
        <v>3</v>
      </c>
      <c r="K1507" s="35">
        <f>IFERROR(VLOOKUP(VENTAS[[#This Row],[Código del producto Vendido]],STOCK[],16,FALSE)*VENTAS[[#This Row],[Cantidad]]+VLOOKUP(VENTAS[[#This Row],[Código del producto Vendido]],STOCK[],19,FALSE)*VENTAS[[#This Row],[Cantidad]],VENTAS[[#This Row],[Total]])</f>
        <v>13.5</v>
      </c>
      <c r="L1507" s="35">
        <f>VENTAS[[#This Row],[Total]]-VENTAS[[#This Row],[Comisión 10%]]-VENTAS[[#This Row],[Costo SIN Comision]]</f>
        <v>13.5</v>
      </c>
      <c r="M1507" s="35"/>
    </row>
    <row r="1508" ht="20" customHeight="1" spans="1:13">
      <c r="A1508" s="29">
        <v>45564</v>
      </c>
      <c r="B1508" s="30"/>
      <c r="C1508" s="30" t="s">
        <v>3694</v>
      </c>
      <c r="D1508" s="30" t="s">
        <v>3506</v>
      </c>
      <c r="E1508" s="30" t="s">
        <v>2833</v>
      </c>
      <c r="F1508" s="34" t="str">
        <f>IFERROR(VLOOKUP(VENTAS[[#This Row],[Código del producto Vendido]],STOCK[],5,FALSE),"-")</f>
        <v>Vestido elegante de crochet de de cuello profundo y espalda cruzada</v>
      </c>
      <c r="G1508" s="34">
        <v>1</v>
      </c>
      <c r="H1508" s="35">
        <v>30</v>
      </c>
      <c r="I1508" s="35">
        <f>VENTAS[[#This Row],[Cantidad]]*VENTAS[[#This Row],[Precio Venta]]</f>
        <v>30</v>
      </c>
      <c r="J1508" s="35">
        <f>IF(VENTAS[[#This Row],[Nombre del Gestor]]&gt;1,VENTAS[[#This Row],[Total]]*10%,0)</f>
        <v>3</v>
      </c>
      <c r="K1508" s="35">
        <f>IFERROR(VLOOKUP(VENTAS[[#This Row],[Código del producto Vendido]],STOCK[],16,FALSE)*VENTAS[[#This Row],[Cantidad]]+VLOOKUP(VENTAS[[#This Row],[Código del producto Vendido]],STOCK[],19,FALSE)*VENTAS[[#This Row],[Cantidad]],VENTAS[[#This Row],[Total]])</f>
        <v>13.5</v>
      </c>
      <c r="L1508" s="35">
        <f>VENTAS[[#This Row],[Total]]-VENTAS[[#This Row],[Comisión 10%]]-VENTAS[[#This Row],[Costo SIN Comision]]</f>
        <v>13.5</v>
      </c>
      <c r="M1508" s="35"/>
    </row>
    <row r="1509" ht="20" customHeight="1" spans="1:13">
      <c r="A1509" s="29">
        <v>45563</v>
      </c>
      <c r="B1509" s="30"/>
      <c r="C1509" s="30" t="s">
        <v>3695</v>
      </c>
      <c r="D1509" s="30" t="s">
        <v>3506</v>
      </c>
      <c r="E1509" s="30" t="s">
        <v>2950</v>
      </c>
      <c r="F1509" s="34" t="str">
        <f>IFERROR(VLOOKUP(VENTAS[[#This Row],[Código del producto Vendido]],STOCK[],5,FALSE),"-")</f>
        <v>Vestido camisola de ajustado romántico sexy</v>
      </c>
      <c r="G1509" s="34">
        <v>1</v>
      </c>
      <c r="H1509" s="35">
        <v>30</v>
      </c>
      <c r="I1509" s="35">
        <f>VENTAS[[#This Row],[Cantidad]]*VENTAS[[#This Row],[Precio Venta]]</f>
        <v>30</v>
      </c>
      <c r="J1509" s="35">
        <f>IF(VENTAS[[#This Row],[Nombre del Gestor]]&gt;1,VENTAS[[#This Row],[Total]]*10%,0)</f>
        <v>3</v>
      </c>
      <c r="K1509" s="35">
        <f>IFERROR(VLOOKUP(VENTAS[[#This Row],[Código del producto Vendido]],STOCK[],16,FALSE)*VENTAS[[#This Row],[Cantidad]]+VLOOKUP(VENTAS[[#This Row],[Código del producto Vendido]],STOCK[],19,FALSE)*VENTAS[[#This Row],[Cantidad]],VENTAS[[#This Row],[Total]])</f>
        <v>13.3</v>
      </c>
      <c r="L1509" s="35">
        <f>VENTAS[[#This Row],[Total]]-VENTAS[[#This Row],[Comisión 10%]]-VENTAS[[#This Row],[Costo SIN Comision]]</f>
        <v>13.7</v>
      </c>
      <c r="M1509" s="35"/>
    </row>
    <row r="1510" ht="20" customHeight="1" spans="1:13">
      <c r="A1510" s="29">
        <v>45563</v>
      </c>
      <c r="B1510" s="30"/>
      <c r="C1510" s="30" t="s">
        <v>3684</v>
      </c>
      <c r="D1510" s="30" t="s">
        <v>3506</v>
      </c>
      <c r="E1510" s="30" t="s">
        <v>2962</v>
      </c>
      <c r="F1510" s="34" t="str">
        <f>IFERROR(VLOOKUP(VENTAS[[#This Row],[Código del producto Vendido]],STOCK[],5,FALSE),"-")</f>
        <v>Vestido camisola negro con abertura</v>
      </c>
      <c r="G1510" s="34">
        <v>1</v>
      </c>
      <c r="H1510" s="35">
        <v>20</v>
      </c>
      <c r="I1510" s="35">
        <f>VENTAS[[#This Row],[Cantidad]]*VENTAS[[#This Row],[Precio Venta]]</f>
        <v>20</v>
      </c>
      <c r="J1510" s="35">
        <f>IF(VENTAS[[#This Row],[Nombre del Gestor]]&gt;1,VENTAS[[#This Row],[Total]]*10%,0)</f>
        <v>2</v>
      </c>
      <c r="K1510" s="35">
        <f>IFERROR(VLOOKUP(VENTAS[[#This Row],[Código del producto Vendido]],STOCK[],16,FALSE)*VENTAS[[#This Row],[Cantidad]]+VLOOKUP(VENTAS[[#This Row],[Código del producto Vendido]],STOCK[],19,FALSE)*VENTAS[[#This Row],[Cantidad]],VENTAS[[#This Row],[Total]])</f>
        <v>7.63</v>
      </c>
      <c r="L1510" s="35">
        <f>VENTAS[[#This Row],[Total]]-VENTAS[[#This Row],[Comisión 10%]]-VENTAS[[#This Row],[Costo SIN Comision]]</f>
        <v>10.37</v>
      </c>
      <c r="M1510" s="35"/>
    </row>
    <row r="1511" ht="20" customHeight="1" spans="1:13">
      <c r="A1511" s="29">
        <v>45563</v>
      </c>
      <c r="B1511" s="30"/>
      <c r="C1511" s="30" t="s">
        <v>3696</v>
      </c>
      <c r="D1511" s="30" t="s">
        <v>3506</v>
      </c>
      <c r="E1511" s="30" t="s">
        <v>2971</v>
      </c>
      <c r="F1511" s="34" t="str">
        <f>IFERROR(VLOOKUP(VENTAS[[#This Row],[Código del producto Vendido]],STOCK[],5,FALSE),"-")</f>
        <v>Vestido de un hombro con abertura trasera color azul celeste</v>
      </c>
      <c r="G1511" s="34">
        <v>1</v>
      </c>
      <c r="H1511" s="35">
        <v>25</v>
      </c>
      <c r="I1511" s="35">
        <f>VENTAS[[#This Row],[Cantidad]]*VENTAS[[#This Row],[Precio Venta]]</f>
        <v>25</v>
      </c>
      <c r="J1511" s="35">
        <f>IF(VENTAS[[#This Row],[Nombre del Gestor]]&gt;1,VENTAS[[#This Row],[Total]]*10%,0)</f>
        <v>2.5</v>
      </c>
      <c r="K1511" s="35">
        <f>IFERROR(VLOOKUP(VENTAS[[#This Row],[Código del producto Vendido]],STOCK[],16,FALSE)*VENTAS[[#This Row],[Cantidad]]+VLOOKUP(VENTAS[[#This Row],[Código del producto Vendido]],STOCK[],19,FALSE)*VENTAS[[#This Row],[Cantidad]],VENTAS[[#This Row],[Total]])</f>
        <v>12.32</v>
      </c>
      <c r="L1511" s="35">
        <f>VENTAS[[#This Row],[Total]]-VENTAS[[#This Row],[Comisión 10%]]-VENTAS[[#This Row],[Costo SIN Comision]]</f>
        <v>10.18</v>
      </c>
      <c r="M1511" s="35"/>
    </row>
    <row r="1512" ht="20" customHeight="1" spans="1:13">
      <c r="A1512" s="29">
        <v>45563</v>
      </c>
      <c r="B1512" s="30"/>
      <c r="C1512" s="30" t="s">
        <v>3697</v>
      </c>
      <c r="D1512" s="30" t="s">
        <v>3506</v>
      </c>
      <c r="E1512" s="30" t="s">
        <v>2846</v>
      </c>
      <c r="F1512" s="34" t="str">
        <f>IFERROR(VLOOKUP(VENTAS[[#This Row],[Código del producto Vendido]],STOCK[],5,FALSE),"-")</f>
        <v>Pantalones largros rayados de moda de gran comodidad</v>
      </c>
      <c r="G1512" s="34">
        <v>1</v>
      </c>
      <c r="H1512" s="35">
        <v>22</v>
      </c>
      <c r="I1512" s="35">
        <f>VENTAS[[#This Row],[Cantidad]]*VENTAS[[#This Row],[Precio Venta]]</f>
        <v>22</v>
      </c>
      <c r="J1512" s="35">
        <f>IF(VENTAS[[#This Row],[Nombre del Gestor]]&gt;1,VENTAS[[#This Row],[Total]]*10%,0)</f>
        <v>2.2</v>
      </c>
      <c r="K1512" s="35">
        <f>IFERROR(VLOOKUP(VENTAS[[#This Row],[Código del producto Vendido]],STOCK[],16,FALSE)*VENTAS[[#This Row],[Cantidad]]+VLOOKUP(VENTAS[[#This Row],[Código del producto Vendido]],STOCK[],19,FALSE)*VENTAS[[#This Row],[Cantidad]],VENTAS[[#This Row],[Total]])</f>
        <v>10.52</v>
      </c>
      <c r="L1512" s="35">
        <f>VENTAS[[#This Row],[Total]]-VENTAS[[#This Row],[Comisión 10%]]-VENTAS[[#This Row],[Costo SIN Comision]]</f>
        <v>9.28</v>
      </c>
      <c r="M1512" s="35"/>
    </row>
    <row r="1513" ht="20" customHeight="1" spans="1:13">
      <c r="A1513" s="29">
        <v>45562</v>
      </c>
      <c r="B1513" s="30"/>
      <c r="C1513" s="30" t="s">
        <v>3698</v>
      </c>
      <c r="D1513" s="30" t="s">
        <v>3506</v>
      </c>
      <c r="E1513" s="30" t="s">
        <v>2854</v>
      </c>
      <c r="F1513" s="34" t="str">
        <f>IFERROR(VLOOKUP(VENTAS[[#This Row],[Código del producto Vendido]],STOCK[],5,FALSE),"-")</f>
        <v>Bolso cuadrado tejido de rafia Tamaño grande Color Carmelita</v>
      </c>
      <c r="G1513" s="34">
        <v>1</v>
      </c>
      <c r="H1513" s="35">
        <v>25</v>
      </c>
      <c r="I1513" s="35">
        <f>VENTAS[[#This Row],[Cantidad]]*VENTAS[[#This Row],[Precio Venta]]</f>
        <v>25</v>
      </c>
      <c r="J1513" s="35">
        <f>IF(VENTAS[[#This Row],[Nombre del Gestor]]&gt;1,VENTAS[[#This Row],[Total]]*10%,0)</f>
        <v>2.5</v>
      </c>
      <c r="K1513" s="35">
        <f>IFERROR(VLOOKUP(VENTAS[[#This Row],[Código del producto Vendido]],STOCK[],16,FALSE)*VENTAS[[#This Row],[Cantidad]]+VLOOKUP(VENTAS[[#This Row],[Código del producto Vendido]],STOCK[],19,FALSE)*VENTAS[[#This Row],[Cantidad]],VENTAS[[#This Row],[Total]])</f>
        <v>14.85</v>
      </c>
      <c r="L1513" s="35">
        <f>VENTAS[[#This Row],[Total]]-VENTAS[[#This Row],[Comisión 10%]]-VENTAS[[#This Row],[Costo SIN Comision]]</f>
        <v>7.65</v>
      </c>
      <c r="M1513" s="35"/>
    </row>
    <row r="1514" ht="20" customHeight="1" spans="1:13">
      <c r="A1514" s="29">
        <v>45562</v>
      </c>
      <c r="B1514" s="30"/>
      <c r="C1514" s="30" t="s">
        <v>3699</v>
      </c>
      <c r="D1514" s="30" t="s">
        <v>3506</v>
      </c>
      <c r="E1514" s="30" t="s">
        <v>600</v>
      </c>
      <c r="F1514" s="34" t="str">
        <f>IFERROR(VLOOKUP(VENTAS[[#This Row],[Código del producto Vendido]],STOCK[],5,FALSE),"-")</f>
        <v>Top corsetero asimétrico</v>
      </c>
      <c r="G1514" s="34">
        <v>1</v>
      </c>
      <c r="H1514" s="35">
        <v>9</v>
      </c>
      <c r="I1514" s="35">
        <f>VENTAS[[#This Row],[Cantidad]]*VENTAS[[#This Row],[Precio Venta]]</f>
        <v>9</v>
      </c>
      <c r="J1514" s="35">
        <f>IF(VENTAS[[#This Row],[Nombre del Gestor]]&gt;1,VENTAS[[#This Row],[Total]]*10%,0)</f>
        <v>0.9</v>
      </c>
      <c r="K1514" s="35">
        <f>IFERROR(VLOOKUP(VENTAS[[#This Row],[Código del producto Vendido]],STOCK[],16,FALSE)*VENTAS[[#This Row],[Cantidad]]+VLOOKUP(VENTAS[[#This Row],[Código del producto Vendido]],STOCK[],19,FALSE)*VENTAS[[#This Row],[Cantidad]],VENTAS[[#This Row],[Total]])</f>
        <v>5.56833333333333</v>
      </c>
      <c r="L1514" s="35">
        <f>VENTAS[[#This Row],[Total]]-VENTAS[[#This Row],[Comisión 10%]]-VENTAS[[#This Row],[Costo SIN Comision]]</f>
        <v>2.53166666666667</v>
      </c>
      <c r="M1514" s="35"/>
    </row>
    <row r="1515" ht="20" customHeight="1" spans="1:13">
      <c r="A1515" s="29">
        <v>45561</v>
      </c>
      <c r="B1515" s="30"/>
      <c r="C1515" s="30" t="s">
        <v>3700</v>
      </c>
      <c r="D1515" s="30" t="s">
        <v>3506</v>
      </c>
      <c r="E1515" s="30" t="s">
        <v>1398</v>
      </c>
      <c r="F1515" s="34" t="str">
        <f>IFERROR(VLOOKUP(VENTAS[[#This Row],[Código del producto Vendido]],STOCK[],5,FALSE),"-")</f>
        <v>Camiseta acanalada de bajo asimétrico naranja</v>
      </c>
      <c r="G1515" s="34">
        <v>1</v>
      </c>
      <c r="H1515" s="35">
        <v>12</v>
      </c>
      <c r="I1515" s="35">
        <f>VENTAS[[#This Row],[Cantidad]]*VENTAS[[#This Row],[Precio Venta]]</f>
        <v>12</v>
      </c>
      <c r="J1515" s="35">
        <f>IF(VENTAS[[#This Row],[Nombre del Gestor]]&gt;1,VENTAS[[#This Row],[Total]]*10%,0)</f>
        <v>1.2</v>
      </c>
      <c r="K1515" s="35">
        <f>IFERROR(VLOOKUP(VENTAS[[#This Row],[Código del producto Vendido]],STOCK[],16,FALSE)*VENTAS[[#This Row],[Cantidad]]+VLOOKUP(VENTAS[[#This Row],[Código del producto Vendido]],STOCK[],19,FALSE)*VENTAS[[#This Row],[Cantidad]],VENTAS[[#This Row],[Total]])</f>
        <v>9</v>
      </c>
      <c r="L1515" s="35">
        <f>VENTAS[[#This Row],[Total]]-VENTAS[[#This Row],[Comisión 10%]]-VENTAS[[#This Row],[Costo SIN Comision]]</f>
        <v>1.8</v>
      </c>
      <c r="M1515" s="35"/>
    </row>
    <row r="1516" ht="20" customHeight="1" spans="1:13">
      <c r="A1516" s="29">
        <v>45560</v>
      </c>
      <c r="B1516" s="30"/>
      <c r="C1516" s="30" t="s">
        <v>3701</v>
      </c>
      <c r="D1516" s="30" t="s">
        <v>3506</v>
      </c>
      <c r="E1516" s="30" t="s">
        <v>1694</v>
      </c>
      <c r="F1516" s="34" t="str">
        <f>IFERROR(VLOOKUP(VENTAS[[#This Row],[Código del producto Vendido]],STOCK[],5,FALSE),"-")</f>
        <v>Jean Mom con bajo descosido</v>
      </c>
      <c r="G1516" s="34">
        <v>1</v>
      </c>
      <c r="H1516" s="35">
        <v>30</v>
      </c>
      <c r="I1516" s="35">
        <f>VENTAS[[#This Row],[Cantidad]]*VENTAS[[#This Row],[Precio Venta]]</f>
        <v>30</v>
      </c>
      <c r="J1516" s="35">
        <f>IF(VENTAS[[#This Row],[Nombre del Gestor]]&gt;1,VENTAS[[#This Row],[Total]]*10%,0)</f>
        <v>3</v>
      </c>
      <c r="K1516" s="35">
        <f>IFERROR(VLOOKUP(VENTAS[[#This Row],[Código del producto Vendido]],STOCK[],16,FALSE)*VENTAS[[#This Row],[Cantidad]]+VLOOKUP(VENTAS[[#This Row],[Código del producto Vendido]],STOCK[],19,FALSE)*VENTAS[[#This Row],[Cantidad]],VENTAS[[#This Row],[Total]])</f>
        <v>20.5</v>
      </c>
      <c r="L1516" s="35">
        <f>VENTAS[[#This Row],[Total]]-VENTAS[[#This Row],[Comisión 10%]]-VENTAS[[#This Row],[Costo SIN Comision]]</f>
        <v>6.5</v>
      </c>
      <c r="M1516" s="35"/>
    </row>
    <row r="1517" ht="20" customHeight="1" spans="1:13">
      <c r="A1517" s="29">
        <v>45560</v>
      </c>
      <c r="B1517" s="30"/>
      <c r="C1517" s="30" t="s">
        <v>3701</v>
      </c>
      <c r="D1517" s="30" t="s">
        <v>3506</v>
      </c>
      <c r="E1517" s="30" t="s">
        <v>2433</v>
      </c>
      <c r="F1517" s="34" t="str">
        <f>IFERROR(VLOOKUP(VENTAS[[#This Row],[Código del producto Vendido]],STOCK[],5,FALSE),"-")</f>
        <v>Pantalón cigarrette ajustado elegante</v>
      </c>
      <c r="G1517" s="34">
        <v>1</v>
      </c>
      <c r="H1517" s="35">
        <v>35</v>
      </c>
      <c r="I1517" s="35">
        <f>VENTAS[[#This Row],[Cantidad]]*VENTAS[[#This Row],[Precio Venta]]</f>
        <v>35</v>
      </c>
      <c r="J1517" s="35">
        <f>IF(VENTAS[[#This Row],[Nombre del Gestor]]&gt;1,VENTAS[[#This Row],[Total]]*10%,0)</f>
        <v>3.5</v>
      </c>
      <c r="K1517" s="35">
        <f>IFERROR(VLOOKUP(VENTAS[[#This Row],[Código del producto Vendido]],STOCK[],16,FALSE)*VENTAS[[#This Row],[Cantidad]]+VLOOKUP(VENTAS[[#This Row],[Código del producto Vendido]],STOCK[],19,FALSE)*VENTAS[[#This Row],[Cantidad]],VENTAS[[#This Row],[Total]])</f>
        <v>16.1944418331375</v>
      </c>
      <c r="L1517" s="35">
        <f>VENTAS[[#This Row],[Total]]-VENTAS[[#This Row],[Comisión 10%]]-VENTAS[[#This Row],[Costo SIN Comision]]</f>
        <v>15.3055581668625</v>
      </c>
      <c r="M1517" s="35"/>
    </row>
    <row r="1518" ht="20" customHeight="1" spans="1:13">
      <c r="A1518" s="29">
        <v>45554</v>
      </c>
      <c r="B1518" s="30"/>
      <c r="C1518" s="30" t="s">
        <v>3693</v>
      </c>
      <c r="D1518" s="30" t="s">
        <v>3506</v>
      </c>
      <c r="E1518" s="30" t="s">
        <v>661</v>
      </c>
      <c r="F1518" s="34" t="str">
        <f>IFERROR(VLOOKUP(VENTAS[[#This Row],[Código del producto Vendido]],STOCK[],5,FALSE),"-")</f>
        <v>Top Cruzado negro</v>
      </c>
      <c r="G1518" s="34">
        <v>1</v>
      </c>
      <c r="H1518" s="35">
        <v>9</v>
      </c>
      <c r="I1518" s="35">
        <f>VENTAS[[#This Row],[Cantidad]]*VENTAS[[#This Row],[Precio Venta]]</f>
        <v>9</v>
      </c>
      <c r="J1518" s="35">
        <f>IF(VENTAS[[#This Row],[Nombre del Gestor]]&gt;1,VENTAS[[#This Row],[Total]]*10%,0)</f>
        <v>0.9</v>
      </c>
      <c r="K1518" s="35">
        <f>IFERROR(VLOOKUP(VENTAS[[#This Row],[Código del producto Vendido]],STOCK[],16,FALSE)*VENTAS[[#This Row],[Cantidad]]+VLOOKUP(VENTAS[[#This Row],[Código del producto Vendido]],STOCK[],19,FALSE)*VENTAS[[#This Row],[Cantidad]],VENTAS[[#This Row],[Total]])</f>
        <v>4.90166666666667</v>
      </c>
      <c r="L1518" s="35">
        <f>VENTAS[[#This Row],[Total]]-VENTAS[[#This Row],[Comisión 10%]]-VENTAS[[#This Row],[Costo SIN Comision]]</f>
        <v>3.19833333333333</v>
      </c>
      <c r="M1518" s="35"/>
    </row>
    <row r="1519" ht="20" customHeight="1" spans="1:13">
      <c r="A1519" s="29">
        <v>45552</v>
      </c>
      <c r="B1519" s="30"/>
      <c r="C1519" s="30" t="s">
        <v>3684</v>
      </c>
      <c r="D1519" s="30" t="s">
        <v>3506</v>
      </c>
      <c r="E1519" s="30" t="s">
        <v>1903</v>
      </c>
      <c r="F1519" s="34" t="str">
        <f>IFERROR(VLOOKUP(VENTAS[[#This Row],[Código del producto Vendido]],STOCK[],5,FALSE),"-")</f>
        <v>Blusa estampada de Lunares</v>
      </c>
      <c r="G1519" s="34">
        <v>1</v>
      </c>
      <c r="H1519" s="35">
        <v>14</v>
      </c>
      <c r="I1519" s="35">
        <f>VENTAS[[#This Row],[Cantidad]]*VENTAS[[#This Row],[Precio Venta]]</f>
        <v>14</v>
      </c>
      <c r="J1519" s="35">
        <f>IF(VENTAS[[#This Row],[Nombre del Gestor]]&gt;1,VENTAS[[#This Row],[Total]]*10%,0)</f>
        <v>1.4</v>
      </c>
      <c r="K1519" s="35">
        <f>IFERROR(VLOOKUP(VENTAS[[#This Row],[Código del producto Vendido]],STOCK[],16,FALSE)*VENTAS[[#This Row],[Cantidad]]+VLOOKUP(VENTAS[[#This Row],[Código del producto Vendido]],STOCK[],19,FALSE)*VENTAS[[#This Row],[Cantidad]],VENTAS[[#This Row],[Total]])</f>
        <v>9.2</v>
      </c>
      <c r="L1519" s="35">
        <f>VENTAS[[#This Row],[Total]]-VENTAS[[#This Row],[Comisión 10%]]-VENTAS[[#This Row],[Costo SIN Comision]]</f>
        <v>3.4</v>
      </c>
      <c r="M1519" s="35"/>
    </row>
    <row r="1520" ht="20" customHeight="1" spans="1:13">
      <c r="A1520" s="29">
        <v>45548</v>
      </c>
      <c r="B1520" s="30"/>
      <c r="C1520" s="30" t="s">
        <v>3668</v>
      </c>
      <c r="D1520" s="30" t="s">
        <v>3506</v>
      </c>
      <c r="E1520" s="30" t="s">
        <v>586</v>
      </c>
      <c r="F1520" s="34" t="str">
        <f>IFERROR(VLOOKUP(VENTAS[[#This Row],[Código del producto Vendido]],STOCK[],5,FALSE),"-")</f>
        <v>Top cruzado blanco</v>
      </c>
      <c r="G1520" s="34">
        <v>1</v>
      </c>
      <c r="H1520" s="35">
        <v>9</v>
      </c>
      <c r="I1520" s="35">
        <f>VENTAS[[#This Row],[Cantidad]]*VENTAS[[#This Row],[Precio Venta]]</f>
        <v>9</v>
      </c>
      <c r="J1520" s="35">
        <f>IF(VENTAS[[#This Row],[Nombre del Gestor]]&gt;1,VENTAS[[#This Row],[Total]]*10%,0)</f>
        <v>0.9</v>
      </c>
      <c r="K1520" s="35">
        <f>IFERROR(VLOOKUP(VENTAS[[#This Row],[Código del producto Vendido]],STOCK[],16,FALSE)*VENTAS[[#This Row],[Cantidad]]+VLOOKUP(VENTAS[[#This Row],[Código del producto Vendido]],STOCK[],19,FALSE)*VENTAS[[#This Row],[Cantidad]],VENTAS[[#This Row],[Total]])</f>
        <v>5.19333333333333</v>
      </c>
      <c r="L1520" s="35">
        <f>VENTAS[[#This Row],[Total]]-VENTAS[[#This Row],[Comisión 10%]]-VENTAS[[#This Row],[Costo SIN Comision]]</f>
        <v>2.90666666666667</v>
      </c>
      <c r="M1520" s="35"/>
    </row>
    <row r="1521" ht="20" customHeight="1" spans="1:13">
      <c r="A1521" s="29">
        <v>45544</v>
      </c>
      <c r="B1521" s="30"/>
      <c r="C1521" s="30" t="s">
        <v>3696</v>
      </c>
      <c r="D1521" s="30" t="s">
        <v>3506</v>
      </c>
      <c r="E1521" s="30" t="s">
        <v>1324</v>
      </c>
      <c r="F1521" s="34" t="str">
        <f>IFERROR(VLOOKUP(VENTAS[[#This Row],[Código del producto Vendido]],STOCK[],5,FALSE),"-")</f>
        <v>Camisa Blanca </v>
      </c>
      <c r="G1521" s="34">
        <v>1</v>
      </c>
      <c r="H1521" s="35">
        <v>25</v>
      </c>
      <c r="I1521" s="35">
        <f>VENTAS[[#This Row],[Cantidad]]*VENTAS[[#This Row],[Precio Venta]]</f>
        <v>25</v>
      </c>
      <c r="J1521" s="35">
        <f>IF(VENTAS[[#This Row],[Nombre del Gestor]]&gt;1,VENTAS[[#This Row],[Total]]*10%,0)</f>
        <v>2.5</v>
      </c>
      <c r="K1521" s="35">
        <f>IFERROR(VLOOKUP(VENTAS[[#This Row],[Código del producto Vendido]],STOCK[],16,FALSE)*VENTAS[[#This Row],[Cantidad]]+VLOOKUP(VENTAS[[#This Row],[Código del producto Vendido]],STOCK[],19,FALSE)*VENTAS[[#This Row],[Cantidad]],VENTAS[[#This Row],[Total]])</f>
        <v>19</v>
      </c>
      <c r="L1521" s="35">
        <f>VENTAS[[#This Row],[Total]]-VENTAS[[#This Row],[Comisión 10%]]-VENTAS[[#This Row],[Costo SIN Comision]]</f>
        <v>3.5</v>
      </c>
      <c r="M1521" s="35"/>
    </row>
    <row r="1522" ht="20" customHeight="1" spans="1:13">
      <c r="A1522" s="29">
        <v>45565</v>
      </c>
      <c r="B1522" s="30"/>
      <c r="C1522" s="30" t="s">
        <v>3702</v>
      </c>
      <c r="D1522" s="30" t="s">
        <v>3703</v>
      </c>
      <c r="E1522" s="30" t="s">
        <v>2824</v>
      </c>
      <c r="F1522" s="34" t="str">
        <f>IFERROR(VLOOKUP(VENTAS[[#This Row],[Código del producto Vendido]],STOCK[],5,FALSE),"-")</f>
        <v>Bolso tejido redondo de gran capacidad Carmelita</v>
      </c>
      <c r="G1522" s="34">
        <v>1</v>
      </c>
      <c r="H1522" s="35">
        <v>25</v>
      </c>
      <c r="I1522" s="35">
        <f>VENTAS[[#This Row],[Cantidad]]*VENTAS[[#This Row],[Precio Venta]]</f>
        <v>25</v>
      </c>
      <c r="J1522" s="35">
        <f>IF(VENTAS[[#This Row],[Nombre del Gestor]]&gt;1,VENTAS[[#This Row],[Total]]*10%,0)</f>
        <v>2.5</v>
      </c>
      <c r="K1522" s="35">
        <f>IFERROR(VLOOKUP(VENTAS[[#This Row],[Código del producto Vendido]],STOCK[],16,FALSE)*VENTAS[[#This Row],[Cantidad]]+VLOOKUP(VENTAS[[#This Row],[Código del producto Vendido]],STOCK[],19,FALSE)*VENTAS[[#This Row],[Cantidad]],VENTAS[[#This Row],[Total]])</f>
        <v>13.31</v>
      </c>
      <c r="L1522" s="35">
        <f>VENTAS[[#This Row],[Total]]-VENTAS[[#This Row],[Comisión 10%]]-VENTAS[[#This Row],[Costo SIN Comision]]</f>
        <v>9.19</v>
      </c>
      <c r="M1522" s="35"/>
    </row>
    <row r="1523" ht="20" customHeight="1" spans="1:13">
      <c r="A1523" s="29">
        <v>45564</v>
      </c>
      <c r="B1523" s="30"/>
      <c r="C1523" s="30" t="s">
        <v>3543</v>
      </c>
      <c r="D1523" s="30" t="s">
        <v>3703</v>
      </c>
      <c r="E1523" s="30" t="s">
        <v>2812</v>
      </c>
      <c r="F1523" s="34" t="str">
        <f>IFERROR(VLOOKUP(VENTAS[[#This Row],[Código del producto Vendido]],STOCK[],5,FALSE),"-")</f>
        <v>Bolso de ratán de Moda para vacaciones tamaño mediano con diseño de listas negras</v>
      </c>
      <c r="G1523" s="34">
        <v>1</v>
      </c>
      <c r="H1523" s="35">
        <v>25</v>
      </c>
      <c r="I1523" s="35">
        <f>VENTAS[[#This Row],[Cantidad]]*VENTAS[[#This Row],[Precio Venta]]</f>
        <v>25</v>
      </c>
      <c r="J1523" s="35">
        <f>IF(VENTAS[[#This Row],[Nombre del Gestor]]&gt;1,VENTAS[[#This Row],[Total]]*10%,0)</f>
        <v>2.5</v>
      </c>
      <c r="K1523" s="35">
        <f>IFERROR(VLOOKUP(VENTAS[[#This Row],[Código del producto Vendido]],STOCK[],16,FALSE)*VENTAS[[#This Row],[Cantidad]]+VLOOKUP(VENTAS[[#This Row],[Código del producto Vendido]],STOCK[],19,FALSE)*VENTAS[[#This Row],[Cantidad]],VENTAS[[#This Row],[Total]])</f>
        <v>12.17</v>
      </c>
      <c r="L1523" s="35">
        <f>VENTAS[[#This Row],[Total]]-VENTAS[[#This Row],[Comisión 10%]]-VENTAS[[#This Row],[Costo SIN Comision]]</f>
        <v>10.33</v>
      </c>
      <c r="M1523" s="35"/>
    </row>
    <row r="1524" ht="20" customHeight="1" spans="1:13">
      <c r="A1524" s="29">
        <v>45563</v>
      </c>
      <c r="B1524" s="30"/>
      <c r="C1524" s="30" t="s">
        <v>3704</v>
      </c>
      <c r="D1524" s="30" t="s">
        <v>3703</v>
      </c>
      <c r="E1524" s="30" t="s">
        <v>2104</v>
      </c>
      <c r="F1524" s="34" t="str">
        <f>IFERROR(VLOOKUP(VENTAS[[#This Row],[Código del producto Vendido]],STOCK[],5,FALSE),"-")</f>
        <v>Fashion TOTE bag tamaño de gran capacidad</v>
      </c>
      <c r="G1524" s="34">
        <v>1</v>
      </c>
      <c r="H1524" s="35">
        <v>18</v>
      </c>
      <c r="I1524" s="35">
        <f>VENTAS[[#This Row],[Cantidad]]*VENTAS[[#This Row],[Precio Venta]]</f>
        <v>18</v>
      </c>
      <c r="J1524" s="35">
        <f>IF(VENTAS[[#This Row],[Nombre del Gestor]]&gt;1,VENTAS[[#This Row],[Total]]*10%,0)</f>
        <v>1.8</v>
      </c>
      <c r="K1524" s="35">
        <f>IFERROR(VLOOKUP(VENTAS[[#This Row],[Código del producto Vendido]],STOCK[],16,FALSE)*VENTAS[[#This Row],[Cantidad]]+VLOOKUP(VENTAS[[#This Row],[Código del producto Vendido]],STOCK[],19,FALSE)*VENTAS[[#This Row],[Cantidad]],VENTAS[[#This Row],[Total]])</f>
        <v>7.59</v>
      </c>
      <c r="L1524" s="35">
        <f>VENTAS[[#This Row],[Total]]-VENTAS[[#This Row],[Comisión 10%]]-VENTAS[[#This Row],[Costo SIN Comision]]</f>
        <v>8.61</v>
      </c>
      <c r="M1524" s="35"/>
    </row>
    <row r="1525" ht="20" customHeight="1" spans="1:13">
      <c r="A1525" s="29">
        <v>45562</v>
      </c>
      <c r="B1525" s="30"/>
      <c r="C1525" s="30" t="s">
        <v>3705</v>
      </c>
      <c r="D1525" s="30" t="s">
        <v>3703</v>
      </c>
      <c r="E1525" s="30" t="s">
        <v>932</v>
      </c>
      <c r="F1525" s="34" t="str">
        <f>IFERROR(VLOOKUP(VENTAS[[#This Row],[Código del producto Vendido]],STOCK[],5,FALSE),"-")</f>
        <v>Falda de trabajo</v>
      </c>
      <c r="G1525" s="34">
        <v>1</v>
      </c>
      <c r="H1525" s="35">
        <v>12</v>
      </c>
      <c r="I1525" s="35">
        <f>VENTAS[[#This Row],[Cantidad]]*VENTAS[[#This Row],[Precio Venta]]</f>
        <v>12</v>
      </c>
      <c r="J1525" s="35">
        <f>IF(VENTAS[[#This Row],[Nombre del Gestor]]&gt;1,VENTAS[[#This Row],[Total]]*10%,0)</f>
        <v>1.2</v>
      </c>
      <c r="K1525" s="35">
        <f>IFERROR(VLOOKUP(VENTAS[[#This Row],[Código del producto Vendido]],STOCK[],16,FALSE)*VENTAS[[#This Row],[Cantidad]]+VLOOKUP(VENTAS[[#This Row],[Código del producto Vendido]],STOCK[],19,FALSE)*VENTAS[[#This Row],[Cantidad]],VENTAS[[#This Row],[Total]])</f>
        <v>7.74863636363636</v>
      </c>
      <c r="L1525" s="35">
        <f>VENTAS[[#This Row],[Total]]-VENTAS[[#This Row],[Comisión 10%]]-VENTAS[[#This Row],[Costo SIN Comision]]</f>
        <v>3.05136363636364</v>
      </c>
      <c r="M1525" s="35"/>
    </row>
    <row r="1526" ht="20" customHeight="1" spans="1:13">
      <c r="A1526" s="29">
        <v>45562</v>
      </c>
      <c r="B1526" s="30"/>
      <c r="C1526" s="30" t="s">
        <v>3706</v>
      </c>
      <c r="D1526" s="30" t="s">
        <v>3703</v>
      </c>
      <c r="E1526" s="30" t="s">
        <v>3007</v>
      </c>
      <c r="F1526" s="34" t="str">
        <f>IFERROR(VLOOKUP(VENTAS[[#This Row],[Código del producto Vendido]],STOCK[],5,FALSE),"-")</f>
        <v>Pantalón alto de pierna ancha color caramelo</v>
      </c>
      <c r="G1526" s="34">
        <v>1</v>
      </c>
      <c r="H1526" s="35">
        <v>30</v>
      </c>
      <c r="I1526" s="35">
        <f>VENTAS[[#This Row],[Cantidad]]*VENTAS[[#This Row],[Precio Venta]]</f>
        <v>30</v>
      </c>
      <c r="J1526" s="35">
        <f>IF(VENTAS[[#This Row],[Nombre del Gestor]]&gt;1,VENTAS[[#This Row],[Total]]*10%,0)</f>
        <v>3</v>
      </c>
      <c r="K1526" s="35">
        <f>IFERROR(VLOOKUP(VENTAS[[#This Row],[Código del producto Vendido]],STOCK[],16,FALSE)*VENTAS[[#This Row],[Cantidad]]+VLOOKUP(VENTAS[[#This Row],[Código del producto Vendido]],STOCK[],19,FALSE)*VENTAS[[#This Row],[Cantidad]],VENTAS[[#This Row],[Total]])</f>
        <v>12.63</v>
      </c>
      <c r="L1526" s="35">
        <f>VENTAS[[#This Row],[Total]]-VENTAS[[#This Row],[Comisión 10%]]-VENTAS[[#This Row],[Costo SIN Comision]]</f>
        <v>14.37</v>
      </c>
      <c r="M1526" s="35"/>
    </row>
    <row r="1527" ht="20" customHeight="1" spans="1:13">
      <c r="A1527" s="29">
        <v>45561</v>
      </c>
      <c r="B1527" s="30"/>
      <c r="C1527" s="30" t="s">
        <v>3707</v>
      </c>
      <c r="D1527" s="30" t="s">
        <v>3703</v>
      </c>
      <c r="E1527" s="30" t="s">
        <v>2575</v>
      </c>
      <c r="F1527" s="34" t="str">
        <f>IFERROR(VLOOKUP(VENTAS[[#This Row],[Código del producto Vendido]],STOCK[],5,FALSE),"-")</f>
        <v>Vestido Largo con cinturón fruncido</v>
      </c>
      <c r="G1527" s="34">
        <v>1</v>
      </c>
      <c r="H1527" s="35">
        <v>30</v>
      </c>
      <c r="I1527" s="35">
        <f>VENTAS[[#This Row],[Cantidad]]*VENTAS[[#This Row],[Precio Venta]]</f>
        <v>30</v>
      </c>
      <c r="J1527" s="35">
        <f>IF(VENTAS[[#This Row],[Nombre del Gestor]]&gt;1,VENTAS[[#This Row],[Total]]*10%,0)</f>
        <v>3</v>
      </c>
      <c r="K1527" s="35">
        <f>IFERROR(VLOOKUP(VENTAS[[#This Row],[Código del producto Vendido]],STOCK[],16,FALSE)*VENTAS[[#This Row],[Cantidad]]+VLOOKUP(VENTAS[[#This Row],[Código del producto Vendido]],STOCK[],19,FALSE)*VENTAS[[#This Row],[Cantidad]],VENTAS[[#This Row],[Total]])</f>
        <v>13.66</v>
      </c>
      <c r="L1527" s="35">
        <f>VENTAS[[#This Row],[Total]]-VENTAS[[#This Row],[Comisión 10%]]-VENTAS[[#This Row],[Costo SIN Comision]]</f>
        <v>13.34</v>
      </c>
      <c r="M1527" s="35"/>
    </row>
    <row r="1528" ht="20" customHeight="1" spans="1:13">
      <c r="A1528" s="29">
        <v>45561</v>
      </c>
      <c r="B1528" s="30"/>
      <c r="C1528" s="30" t="s">
        <v>3558</v>
      </c>
      <c r="D1528" s="30" t="s">
        <v>3703</v>
      </c>
      <c r="E1528" s="30" t="s">
        <v>482</v>
      </c>
      <c r="F1528" s="34" t="str">
        <f>IFERROR(VLOOKUP(VENTAS[[#This Row],[Código del producto Vendido]],STOCK[],5,FALSE),"-")</f>
        <v>Bikini estampado cebra</v>
      </c>
      <c r="G1528" s="34">
        <v>1</v>
      </c>
      <c r="H1528" s="35">
        <v>12</v>
      </c>
      <c r="I1528" s="35">
        <f>VENTAS[[#This Row],[Cantidad]]*VENTAS[[#This Row],[Precio Venta]]</f>
        <v>12</v>
      </c>
      <c r="J1528" s="35">
        <f>IF(VENTAS[[#This Row],[Nombre del Gestor]]&gt;1,VENTAS[[#This Row],[Total]]*10%,0)</f>
        <v>1.2</v>
      </c>
      <c r="K1528" s="35">
        <f>IFERROR(VLOOKUP(VENTAS[[#This Row],[Código del producto Vendido]],STOCK[],16,FALSE)*VENTAS[[#This Row],[Cantidad]]+VLOOKUP(VENTAS[[#This Row],[Código del producto Vendido]],STOCK[],19,FALSE)*VENTAS[[#This Row],[Cantidad]],VENTAS[[#This Row],[Total]])</f>
        <v>8.78722222222222</v>
      </c>
      <c r="L1528" s="35">
        <f>VENTAS[[#This Row],[Total]]-VENTAS[[#This Row],[Comisión 10%]]-VENTAS[[#This Row],[Costo SIN Comision]]</f>
        <v>2.01277777777778</v>
      </c>
      <c r="M1528" s="35"/>
    </row>
    <row r="1529" ht="20" customHeight="1" spans="1:13">
      <c r="A1529" s="29">
        <v>45561</v>
      </c>
      <c r="B1529" s="30"/>
      <c r="C1529" s="30" t="s">
        <v>3708</v>
      </c>
      <c r="D1529" s="30" t="s">
        <v>3703</v>
      </c>
      <c r="E1529" s="30" t="s">
        <v>3011</v>
      </c>
      <c r="F1529" s="34" t="str">
        <f>IFERROR(VLOOKUP(VENTAS[[#This Row],[Código del producto Vendido]],STOCK[],5,FALSE),"-")</f>
        <v>Pantalón alto de pierna ancha color caramelo</v>
      </c>
      <c r="G1529" s="34">
        <v>1</v>
      </c>
      <c r="H1529" s="35">
        <v>30</v>
      </c>
      <c r="I1529" s="35">
        <f>VENTAS[[#This Row],[Cantidad]]*VENTAS[[#This Row],[Precio Venta]]</f>
        <v>30</v>
      </c>
      <c r="J1529" s="35">
        <f>IF(VENTAS[[#This Row],[Nombre del Gestor]]&gt;1,VENTAS[[#This Row],[Total]]*10%,0)</f>
        <v>3</v>
      </c>
      <c r="K1529" s="35">
        <f>IFERROR(VLOOKUP(VENTAS[[#This Row],[Código del producto Vendido]],STOCK[],16,FALSE)*VENTAS[[#This Row],[Cantidad]]+VLOOKUP(VENTAS[[#This Row],[Código del producto Vendido]],STOCK[],19,FALSE)*VENTAS[[#This Row],[Cantidad]],VENTAS[[#This Row],[Total]])</f>
        <v>12.63</v>
      </c>
      <c r="L1529" s="35">
        <f>VENTAS[[#This Row],[Total]]-VENTAS[[#This Row],[Comisión 10%]]-VENTAS[[#This Row],[Costo SIN Comision]]</f>
        <v>14.37</v>
      </c>
      <c r="M1529" s="35"/>
    </row>
    <row r="1530" ht="20" customHeight="1" spans="1:13">
      <c r="A1530" s="29">
        <v>45559</v>
      </c>
      <c r="B1530" s="30"/>
      <c r="C1530" s="30" t="s">
        <v>3403</v>
      </c>
      <c r="D1530" s="30" t="s">
        <v>3703</v>
      </c>
      <c r="E1530" s="30" t="s">
        <v>2573</v>
      </c>
      <c r="F1530" s="34" t="str">
        <f>IFERROR(VLOOKUP(VENTAS[[#This Row],[Código del producto Vendido]],STOCK[],5,FALSE),"-")</f>
        <v>Vestido Largo con cinturón fruncido</v>
      </c>
      <c r="G1530" s="34">
        <v>1</v>
      </c>
      <c r="H1530" s="35">
        <v>30</v>
      </c>
      <c r="I1530" s="35">
        <f>VENTAS[[#This Row],[Cantidad]]*VENTAS[[#This Row],[Precio Venta]]</f>
        <v>30</v>
      </c>
      <c r="J1530" s="35">
        <f>IF(VENTAS[[#This Row],[Nombre del Gestor]]&gt;1,VENTAS[[#This Row],[Total]]*10%,0)</f>
        <v>3</v>
      </c>
      <c r="K1530" s="35">
        <f>IFERROR(VLOOKUP(VENTAS[[#This Row],[Código del producto Vendido]],STOCK[],16,FALSE)*VENTAS[[#This Row],[Cantidad]]+VLOOKUP(VENTAS[[#This Row],[Código del producto Vendido]],STOCK[],19,FALSE)*VENTAS[[#This Row],[Cantidad]],VENTAS[[#This Row],[Total]])</f>
        <v>13.66</v>
      </c>
      <c r="L1530" s="35">
        <f>VENTAS[[#This Row],[Total]]-VENTAS[[#This Row],[Comisión 10%]]-VENTAS[[#This Row],[Costo SIN Comision]]</f>
        <v>13.34</v>
      </c>
      <c r="M1530" s="35"/>
    </row>
    <row r="1531" ht="20" customHeight="1" spans="1:13">
      <c r="A1531" s="29">
        <v>45565</v>
      </c>
      <c r="B1531" s="30"/>
      <c r="C1531" s="30" t="s">
        <v>3709</v>
      </c>
      <c r="D1531" s="30" t="s">
        <v>3710</v>
      </c>
      <c r="E1531" s="30" t="s">
        <v>2971</v>
      </c>
      <c r="F1531" s="34" t="str">
        <f>IFERROR(VLOOKUP(VENTAS[[#This Row],[Código del producto Vendido]],STOCK[],5,FALSE),"-")</f>
        <v>Vestido de un hombro con abertura trasera color azul celeste</v>
      </c>
      <c r="G1531" s="34">
        <v>1</v>
      </c>
      <c r="H1531" s="35">
        <v>25</v>
      </c>
      <c r="I1531" s="35">
        <f>VENTAS[[#This Row],[Cantidad]]*VENTAS[[#This Row],[Precio Venta]]</f>
        <v>25</v>
      </c>
      <c r="J1531" s="35">
        <f>IF(VENTAS[[#This Row],[Nombre del Gestor]]&gt;1,VENTAS[[#This Row],[Total]]*10%,0)</f>
        <v>2.5</v>
      </c>
      <c r="K1531" s="35">
        <f>IFERROR(VLOOKUP(VENTAS[[#This Row],[Código del producto Vendido]],STOCK[],16,FALSE)*VENTAS[[#This Row],[Cantidad]]+VLOOKUP(VENTAS[[#This Row],[Código del producto Vendido]],STOCK[],19,FALSE)*VENTAS[[#This Row],[Cantidad]],VENTAS[[#This Row],[Total]])</f>
        <v>12.32</v>
      </c>
      <c r="L1531" s="35">
        <f>VENTAS[[#This Row],[Total]]-VENTAS[[#This Row],[Comisión 10%]]-VENTAS[[#This Row],[Costo SIN Comision]]</f>
        <v>10.18</v>
      </c>
      <c r="M1531" s="35"/>
    </row>
    <row r="1532" ht="27" customHeight="1" spans="1:13">
      <c r="A1532" s="29">
        <v>45562</v>
      </c>
      <c r="B1532" s="30"/>
      <c r="C1532" s="30" t="s">
        <v>3711</v>
      </c>
      <c r="D1532" s="30" t="s">
        <v>3710</v>
      </c>
      <c r="E1532" s="30" t="s">
        <v>2812</v>
      </c>
      <c r="F1532" s="34" t="str">
        <f>IFERROR(VLOOKUP(VENTAS[[#This Row],[Código del producto Vendido]],STOCK[],5,FALSE),"-")</f>
        <v>Bolso de ratán de Moda para vacaciones tamaño mediano con diseño de listas negras</v>
      </c>
      <c r="G1532" s="34">
        <v>1</v>
      </c>
      <c r="H1532" s="35">
        <v>22</v>
      </c>
      <c r="I1532" s="35">
        <f>VENTAS[[#This Row],[Cantidad]]*VENTAS[[#This Row],[Precio Venta]]</f>
        <v>22</v>
      </c>
      <c r="J1532" s="35">
        <f>IF(VENTAS[[#This Row],[Nombre del Gestor]]&gt;1,VENTAS[[#This Row],[Total]]*10%,0)</f>
        <v>2.2</v>
      </c>
      <c r="K1532" s="35">
        <f>IFERROR(VLOOKUP(VENTAS[[#This Row],[Código del producto Vendido]],STOCK[],16,FALSE)*VENTAS[[#This Row],[Cantidad]]+VLOOKUP(VENTAS[[#This Row],[Código del producto Vendido]],STOCK[],19,FALSE)*VENTAS[[#This Row],[Cantidad]],VENTAS[[#This Row],[Total]])</f>
        <v>12.17</v>
      </c>
      <c r="L1532" s="35">
        <f>VENTAS[[#This Row],[Total]]-VENTAS[[#This Row],[Comisión 10%]]-VENTAS[[#This Row],[Costo SIN Comision]]</f>
        <v>7.63</v>
      </c>
      <c r="M1532" s="35"/>
    </row>
    <row r="1533" ht="20" customHeight="1" spans="1:13">
      <c r="A1533" s="29">
        <v>45563</v>
      </c>
      <c r="B1533" s="30"/>
      <c r="C1533" s="30" t="s">
        <v>3712</v>
      </c>
      <c r="D1533" s="30" t="s">
        <v>3710</v>
      </c>
      <c r="E1533" s="30" t="s">
        <v>2962</v>
      </c>
      <c r="F1533" s="34" t="str">
        <f>IFERROR(VLOOKUP(VENTAS[[#This Row],[Código del producto Vendido]],STOCK[],5,FALSE),"-")</f>
        <v>Vestido camisola negro con abertura</v>
      </c>
      <c r="G1533" s="34">
        <v>1</v>
      </c>
      <c r="H1533" s="35">
        <v>20</v>
      </c>
      <c r="I1533" s="35">
        <f>VENTAS[[#This Row],[Cantidad]]*VENTAS[[#This Row],[Precio Venta]]</f>
        <v>20</v>
      </c>
      <c r="J1533" s="35">
        <f>IF(VENTAS[[#This Row],[Nombre del Gestor]]&gt;1,VENTAS[[#This Row],[Total]]*10%,0)</f>
        <v>2</v>
      </c>
      <c r="K1533" s="35">
        <f>IFERROR(VLOOKUP(VENTAS[[#This Row],[Código del producto Vendido]],STOCK[],16,FALSE)*VENTAS[[#This Row],[Cantidad]]+VLOOKUP(VENTAS[[#This Row],[Código del producto Vendido]],STOCK[],19,FALSE)*VENTAS[[#This Row],[Cantidad]],VENTAS[[#This Row],[Total]])</f>
        <v>7.63</v>
      </c>
      <c r="L1533" s="35">
        <f>VENTAS[[#This Row],[Total]]-VENTAS[[#This Row],[Comisión 10%]]-VENTAS[[#This Row],[Costo SIN Comision]]</f>
        <v>10.37</v>
      </c>
      <c r="M1533" s="35"/>
    </row>
    <row r="1534" ht="25" customHeight="1" spans="1:13">
      <c r="A1534" s="29">
        <v>45563</v>
      </c>
      <c r="B1534" s="30"/>
      <c r="C1534" s="30" t="s">
        <v>3713</v>
      </c>
      <c r="D1534" s="30" t="s">
        <v>3710</v>
      </c>
      <c r="E1534" s="30" t="s">
        <v>2142</v>
      </c>
      <c r="F1534" s="34" t="str">
        <f>IFERROR(VLOOKUP(VENTAS[[#This Row],[Código del producto Vendido]],STOCK[],5,FALSE),"-")</f>
        <v>Falda Bohemia de mezclilla de cintura alta con detalles de botón</v>
      </c>
      <c r="G1534" s="34">
        <v>1</v>
      </c>
      <c r="H1534" s="35">
        <v>30</v>
      </c>
      <c r="I1534" s="35">
        <f>VENTAS[[#This Row],[Cantidad]]*VENTAS[[#This Row],[Precio Venta]]</f>
        <v>30</v>
      </c>
      <c r="J1534" s="35">
        <f>IF(VENTAS[[#This Row],[Nombre del Gestor]]&gt;1,VENTAS[[#This Row],[Total]]*10%,0)</f>
        <v>3</v>
      </c>
      <c r="K1534" s="35">
        <f>IFERROR(VLOOKUP(VENTAS[[#This Row],[Código del producto Vendido]],STOCK[],16,FALSE)*VENTAS[[#This Row],[Cantidad]]+VLOOKUP(VENTAS[[#This Row],[Código del producto Vendido]],STOCK[],19,FALSE)*VENTAS[[#This Row],[Cantidad]],VENTAS[[#This Row],[Total]])</f>
        <v>7.05</v>
      </c>
      <c r="L1534" s="35">
        <f>VENTAS[[#This Row],[Total]]-VENTAS[[#This Row],[Comisión 10%]]-VENTAS[[#This Row],[Costo SIN Comision]]</f>
        <v>19.95</v>
      </c>
      <c r="M1534" s="35"/>
    </row>
    <row r="1535" ht="20" customHeight="1" spans="1:13">
      <c r="A1535" s="29">
        <v>45552</v>
      </c>
      <c r="B1535" s="30"/>
      <c r="C1535" s="30" t="s">
        <v>3714</v>
      </c>
      <c r="D1535" s="30" t="s">
        <v>3710</v>
      </c>
      <c r="E1535" s="30" t="s">
        <v>1766</v>
      </c>
      <c r="F1535" s="34" t="str">
        <f>IFERROR(VLOOKUP(VENTAS[[#This Row],[Código del producto Vendido]],STOCK[],5,FALSE),"-")</f>
        <v>Calcetines bajos</v>
      </c>
      <c r="G1535" s="34">
        <v>5</v>
      </c>
      <c r="H1535" s="35">
        <v>1</v>
      </c>
      <c r="I1535" s="35">
        <f>VENTAS[[#This Row],[Cantidad]]*VENTAS[[#This Row],[Precio Venta]]</f>
        <v>5</v>
      </c>
      <c r="J1535" s="35">
        <f>IF(VENTAS[[#This Row],[Nombre del Gestor]]&gt;1,VENTAS[[#This Row],[Total]]*10%,0)</f>
        <v>0.5</v>
      </c>
      <c r="K1535" s="35">
        <f>IFERROR(VLOOKUP(VENTAS[[#This Row],[Código del producto Vendido]],STOCK[],16,FALSE)*VENTAS[[#This Row],[Cantidad]]+VLOOKUP(VENTAS[[#This Row],[Código del producto Vendido]],STOCK[],19,FALSE)*VENTAS[[#This Row],[Cantidad]],VENTAS[[#This Row],[Total]])</f>
        <v>2.14705882352941</v>
      </c>
      <c r="L1535" s="35">
        <f>VENTAS[[#This Row],[Total]]-VENTAS[[#This Row],[Comisión 10%]]-VENTAS[[#This Row],[Costo SIN Comision]]</f>
        <v>2.35294117647059</v>
      </c>
      <c r="M1535" s="35"/>
    </row>
    <row r="1536" ht="20" customHeight="1" spans="1:13">
      <c r="A1536" s="29">
        <v>45552</v>
      </c>
      <c r="B1536" s="30"/>
      <c r="C1536" s="30" t="s">
        <v>3712</v>
      </c>
      <c r="D1536" s="30" t="s">
        <v>3710</v>
      </c>
      <c r="E1536" s="30" t="s">
        <v>1736</v>
      </c>
      <c r="F1536" s="34" t="str">
        <f>IFERROR(VLOOKUP(VENTAS[[#This Row],[Código del producto Vendido]],STOCK[],5,FALSE),"-")</f>
        <v>Chaleco de traje Blanco</v>
      </c>
      <c r="G1536" s="34">
        <v>1</v>
      </c>
      <c r="H1536" s="35">
        <v>25</v>
      </c>
      <c r="I1536" s="35">
        <f>VENTAS[[#This Row],[Cantidad]]*VENTAS[[#This Row],[Precio Venta]]</f>
        <v>25</v>
      </c>
      <c r="J1536" s="35">
        <f>IF(VENTAS[[#This Row],[Nombre del Gestor]]&gt;1,VENTAS[[#This Row],[Total]]*10%,0)</f>
        <v>2.5</v>
      </c>
      <c r="K1536" s="35">
        <f>IFERROR(VLOOKUP(VENTAS[[#This Row],[Código del producto Vendido]],STOCK[],16,FALSE)*VENTAS[[#This Row],[Cantidad]]+VLOOKUP(VENTAS[[#This Row],[Código del producto Vendido]],STOCK[],19,FALSE)*VENTAS[[#This Row],[Cantidad]],VENTAS[[#This Row],[Total]])</f>
        <v>17.9411764705882</v>
      </c>
      <c r="L1536" s="35">
        <f>VENTAS[[#This Row],[Total]]-VENTAS[[#This Row],[Comisión 10%]]-VENTAS[[#This Row],[Costo SIN Comision]]</f>
        <v>4.5588235294118</v>
      </c>
      <c r="M1536" s="35"/>
    </row>
    <row r="1537" ht="20" customHeight="1" spans="1:13">
      <c r="A1537" s="29">
        <v>45565</v>
      </c>
      <c r="B1537" s="30"/>
      <c r="C1537" s="30" t="s">
        <v>3715</v>
      </c>
      <c r="D1537" s="30" t="s">
        <v>3510</v>
      </c>
      <c r="E1537" s="30" t="s">
        <v>2998</v>
      </c>
      <c r="F1537" s="34" t="str">
        <f>IFERROR(VLOOKUP(VENTAS[[#This Row],[Código del producto Vendido]],STOCK[],5,FALSE),"-")</f>
        <v>Traje de baño enterizo elegante de un hombro talla grande </v>
      </c>
      <c r="G1537" s="34">
        <v>1</v>
      </c>
      <c r="H1537" s="35">
        <v>28</v>
      </c>
      <c r="I1537" s="35">
        <f>VENTAS[[#This Row],[Cantidad]]*VENTAS[[#This Row],[Precio Venta]]</f>
        <v>28</v>
      </c>
      <c r="J1537" s="35">
        <f>IF(VENTAS[[#This Row],[Nombre del Gestor]]&gt;1,VENTAS[[#This Row],[Total]]*10%,0)</f>
        <v>2.8</v>
      </c>
      <c r="K1537" s="35">
        <f>IFERROR(VLOOKUP(VENTAS[[#This Row],[Código del producto Vendido]],STOCK[],16,FALSE)*VENTAS[[#This Row],[Cantidad]]+VLOOKUP(VENTAS[[#This Row],[Código del producto Vendido]],STOCK[],19,FALSE)*VENTAS[[#This Row],[Cantidad]],VENTAS[[#This Row],[Total]])</f>
        <v>13.33</v>
      </c>
      <c r="L1537" s="35">
        <f>VENTAS[[#This Row],[Total]]-VENTAS[[#This Row],[Comisión 10%]]-VENTAS[[#This Row],[Costo SIN Comision]]</f>
        <v>11.87</v>
      </c>
      <c r="M1537" s="35"/>
    </row>
    <row r="1538" ht="20" customHeight="1" spans="1:13">
      <c r="A1538" s="29">
        <v>45563</v>
      </c>
      <c r="B1538" s="30"/>
      <c r="C1538" s="30" t="s">
        <v>3716</v>
      </c>
      <c r="D1538" s="30" t="s">
        <v>3510</v>
      </c>
      <c r="E1538" s="30" t="s">
        <v>2793</v>
      </c>
      <c r="F1538" s="34" t="str">
        <f>IFERROR(VLOOKUP(VENTAS[[#This Row],[Código del producto Vendido]],STOCK[],5,FALSE),"-")</f>
        <v>Sandalias estilo chunky de suela gruesa en contraste de color</v>
      </c>
      <c r="G1538" s="34">
        <v>1</v>
      </c>
      <c r="H1538" s="35">
        <v>35</v>
      </c>
      <c r="I1538" s="35">
        <f>VENTAS[[#This Row],[Cantidad]]*VENTAS[[#This Row],[Precio Venta]]</f>
        <v>35</v>
      </c>
      <c r="J1538" s="35">
        <f>IF(VENTAS[[#This Row],[Nombre del Gestor]]&gt;1,VENTAS[[#This Row],[Total]]*10%,0)</f>
        <v>3.5</v>
      </c>
      <c r="K1538" s="35">
        <f>IFERROR(VLOOKUP(VENTAS[[#This Row],[Código del producto Vendido]],STOCK[],16,FALSE)*VENTAS[[#This Row],[Cantidad]]+VLOOKUP(VENTAS[[#This Row],[Código del producto Vendido]],STOCK[],19,FALSE)*VENTAS[[#This Row],[Cantidad]],VENTAS[[#This Row],[Total]])</f>
        <v>13.4</v>
      </c>
      <c r="L1538" s="35">
        <f>VENTAS[[#This Row],[Total]]-VENTAS[[#This Row],[Comisión 10%]]-VENTAS[[#This Row],[Costo SIN Comision]]</f>
        <v>18.1</v>
      </c>
      <c r="M1538" s="35"/>
    </row>
    <row r="1539" ht="20" customHeight="1" spans="1:13">
      <c r="A1539" s="29">
        <v>45560</v>
      </c>
      <c r="B1539" s="30"/>
      <c r="C1539" s="30" t="s">
        <v>3717</v>
      </c>
      <c r="D1539" s="30" t="s">
        <v>3510</v>
      </c>
      <c r="E1539" s="30" t="s">
        <v>2969</v>
      </c>
      <c r="F1539" s="34" t="str">
        <f>IFERROR(VLOOKUP(VENTAS[[#This Row],[Código del producto Vendido]],STOCK[],5,FALSE),"-")</f>
        <v>Vestido de un hombro con abertura trasera color azul celeste</v>
      </c>
      <c r="G1539" s="34">
        <v>1</v>
      </c>
      <c r="H1539" s="35">
        <v>25</v>
      </c>
      <c r="I1539" s="35">
        <f>VENTAS[[#This Row],[Cantidad]]*VENTAS[[#This Row],[Precio Venta]]</f>
        <v>25</v>
      </c>
      <c r="J1539" s="35">
        <f>IF(VENTAS[[#This Row],[Nombre del Gestor]]&gt;1,VENTAS[[#This Row],[Total]]*10%,0)</f>
        <v>2.5</v>
      </c>
      <c r="K1539" s="35">
        <f>IFERROR(VLOOKUP(VENTAS[[#This Row],[Código del producto Vendido]],STOCK[],16,FALSE)*VENTAS[[#This Row],[Cantidad]]+VLOOKUP(VENTAS[[#This Row],[Código del producto Vendido]],STOCK[],19,FALSE)*VENTAS[[#This Row],[Cantidad]],VENTAS[[#This Row],[Total]])</f>
        <v>12.32</v>
      </c>
      <c r="L1539" s="35">
        <f>VENTAS[[#This Row],[Total]]-VENTAS[[#This Row],[Comisión 10%]]-VENTAS[[#This Row],[Costo SIN Comision]]</f>
        <v>10.18</v>
      </c>
      <c r="M1539" s="35"/>
    </row>
    <row r="1540" ht="20" customHeight="1" spans="1:13">
      <c r="A1540" s="29">
        <v>45565</v>
      </c>
      <c r="B1540" s="30"/>
      <c r="C1540" s="30" t="s">
        <v>3718</v>
      </c>
      <c r="D1540" s="30" t="s">
        <v>3667</v>
      </c>
      <c r="E1540" s="30" t="s">
        <v>2854</v>
      </c>
      <c r="F1540" s="34" t="str">
        <f>IFERROR(VLOOKUP(VENTAS[[#This Row],[Código del producto Vendido]],STOCK[],5,FALSE),"-")</f>
        <v>Bolso cuadrado tejido de rafia Tamaño grande Color Carmelita</v>
      </c>
      <c r="G1540" s="34">
        <v>1</v>
      </c>
      <c r="H1540" s="35">
        <v>25</v>
      </c>
      <c r="I1540" s="35">
        <f>VENTAS[[#This Row],[Cantidad]]*VENTAS[[#This Row],[Precio Venta]]</f>
        <v>25</v>
      </c>
      <c r="J1540" s="35">
        <f>IF(VENTAS[[#This Row],[Nombre del Gestor]]&gt;1,VENTAS[[#This Row],[Total]]*10%,0)</f>
        <v>2.5</v>
      </c>
      <c r="K1540" s="35">
        <f>IFERROR(VLOOKUP(VENTAS[[#This Row],[Código del producto Vendido]],STOCK[],16,FALSE)*VENTAS[[#This Row],[Cantidad]]+VLOOKUP(VENTAS[[#This Row],[Código del producto Vendido]],STOCK[],19,FALSE)*VENTAS[[#This Row],[Cantidad]],VENTAS[[#This Row],[Total]])</f>
        <v>14.85</v>
      </c>
      <c r="L1540" s="35">
        <f>VENTAS[[#This Row],[Total]]-VENTAS[[#This Row],[Comisión 10%]]-VENTAS[[#This Row],[Costo SIN Comision]]</f>
        <v>7.65</v>
      </c>
      <c r="M1540" s="35"/>
    </row>
    <row r="1541" ht="20" customHeight="1" spans="1:13">
      <c r="A1541" s="29">
        <v>45563</v>
      </c>
      <c r="B1541" s="30"/>
      <c r="C1541" s="30" t="s">
        <v>3719</v>
      </c>
      <c r="D1541" s="30" t="s">
        <v>3513</v>
      </c>
      <c r="E1541" s="30" t="s">
        <v>2803</v>
      </c>
      <c r="F1541" s="34" t="str">
        <f>IFERROR(VLOOKUP(VENTAS[[#This Row],[Código del producto Vendido]],STOCK[],5,FALSE),"-")</f>
        <v>Sandalias espadriles de cuña de correas transparentes</v>
      </c>
      <c r="G1541" s="34">
        <v>1</v>
      </c>
      <c r="H1541" s="35">
        <v>40</v>
      </c>
      <c r="I1541" s="35">
        <f>VENTAS[[#This Row],[Cantidad]]*VENTAS[[#This Row],[Precio Venta]]</f>
        <v>40</v>
      </c>
      <c r="J1541" s="35">
        <f>IF(VENTAS[[#This Row],[Nombre del Gestor]]&gt;1,VENTAS[[#This Row],[Total]]*10%,0)</f>
        <v>4</v>
      </c>
      <c r="K1541" s="35">
        <f>IFERROR(VLOOKUP(VENTAS[[#This Row],[Código del producto Vendido]],STOCK[],16,FALSE)*VENTAS[[#This Row],[Cantidad]]+VLOOKUP(VENTAS[[#This Row],[Código del producto Vendido]],STOCK[],19,FALSE)*VENTAS[[#This Row],[Cantidad]],VENTAS[[#This Row],[Total]])</f>
        <v>13.01</v>
      </c>
      <c r="L1541" s="35">
        <f>VENTAS[[#This Row],[Total]]-VENTAS[[#This Row],[Comisión 10%]]-VENTAS[[#This Row],[Costo SIN Comision]]</f>
        <v>22.99</v>
      </c>
      <c r="M1541" s="35"/>
    </row>
    <row r="1542" ht="20" customHeight="1" spans="1:13">
      <c r="A1542" s="29">
        <v>45562</v>
      </c>
      <c r="B1542" s="30"/>
      <c r="C1542" s="30" t="s">
        <v>3601</v>
      </c>
      <c r="D1542" s="30" t="s">
        <v>3513</v>
      </c>
      <c r="E1542" s="30" t="s">
        <v>2810</v>
      </c>
      <c r="F1542" s="34" t="str">
        <f>IFERROR(VLOOKUP(VENTAS[[#This Row],[Código del producto Vendido]],STOCK[],5,FALSE),"-")</f>
        <v>Bolso elegante de estilo sillín</v>
      </c>
      <c r="G1542" s="34">
        <v>1</v>
      </c>
      <c r="H1542" s="35">
        <v>30</v>
      </c>
      <c r="I1542" s="35">
        <f>VENTAS[[#This Row],[Cantidad]]*VENTAS[[#This Row],[Precio Venta]]</f>
        <v>30</v>
      </c>
      <c r="J1542" s="35">
        <f>IF(VENTAS[[#This Row],[Nombre del Gestor]]&gt;1,VENTAS[[#This Row],[Total]]*10%,0)</f>
        <v>3</v>
      </c>
      <c r="K1542" s="35">
        <f>IFERROR(VLOOKUP(VENTAS[[#This Row],[Código del producto Vendido]],STOCK[],16,FALSE)*VENTAS[[#This Row],[Cantidad]]+VLOOKUP(VENTAS[[#This Row],[Código del producto Vendido]],STOCK[],19,FALSE)*VENTAS[[#This Row],[Cantidad]],VENTAS[[#This Row],[Total]])</f>
        <v>10.28</v>
      </c>
      <c r="L1542" s="35">
        <f>VENTAS[[#This Row],[Total]]-VENTAS[[#This Row],[Comisión 10%]]-VENTAS[[#This Row],[Costo SIN Comision]]</f>
        <v>16.72</v>
      </c>
      <c r="M1542" s="35"/>
    </row>
    <row r="1543" ht="20" customHeight="1" spans="1:13">
      <c r="A1543" s="29">
        <v>45563</v>
      </c>
      <c r="B1543" s="30"/>
      <c r="C1543" s="30" t="s">
        <v>3720</v>
      </c>
      <c r="D1543" s="30" t="s">
        <v>3513</v>
      </c>
      <c r="E1543" s="30" t="s">
        <v>2695</v>
      </c>
      <c r="F1543" s="34" t="str">
        <f>IFERROR(VLOOKUP(VENTAS[[#This Row],[Código del producto Vendido]],STOCK[],5,FALSE),"-")</f>
        <v>Set de Splash y crema de Victoria Secret (Original) Love Spell</v>
      </c>
      <c r="G1543" s="34">
        <v>1</v>
      </c>
      <c r="H1543" s="35">
        <v>40</v>
      </c>
      <c r="I1543" s="35">
        <f>VENTAS[[#This Row],[Cantidad]]*VENTAS[[#This Row],[Precio Venta]]</f>
        <v>40</v>
      </c>
      <c r="J1543" s="35">
        <f>IF(VENTAS[[#This Row],[Nombre del Gestor]]&gt;1,VENTAS[[#This Row],[Total]]*10%,0)</f>
        <v>4</v>
      </c>
      <c r="K1543" s="35">
        <f>IFERROR(VLOOKUP(VENTAS[[#This Row],[Código del producto Vendido]],STOCK[],16,FALSE)*VENTAS[[#This Row],[Cantidad]]+VLOOKUP(VENTAS[[#This Row],[Código del producto Vendido]],STOCK[],19,FALSE)*VENTAS[[#This Row],[Cantidad]],VENTAS[[#This Row],[Total]])</f>
        <v>16.37</v>
      </c>
      <c r="L1543" s="35">
        <f>VENTAS[[#This Row],[Total]]-VENTAS[[#This Row],[Comisión 10%]]-VENTAS[[#This Row],[Costo SIN Comision]]</f>
        <v>19.63</v>
      </c>
      <c r="M1543" s="35"/>
    </row>
    <row r="1544" ht="20" customHeight="1" spans="1:13">
      <c r="A1544" s="29">
        <v>45560</v>
      </c>
      <c r="B1544" s="30"/>
      <c r="C1544" s="30" t="s">
        <v>3721</v>
      </c>
      <c r="D1544" s="30" t="s">
        <v>3513</v>
      </c>
      <c r="E1544" s="30" t="s">
        <v>2771</v>
      </c>
      <c r="F1544" s="34" t="str">
        <f>IFERROR(VLOOKUP(VENTAS[[#This Row],[Código del producto Vendido]],STOCK[],5,FALSE),"-")</f>
        <v>Sandalias de plataforma de rafia natural</v>
      </c>
      <c r="G1544" s="34">
        <v>1</v>
      </c>
      <c r="H1544" s="35">
        <v>45</v>
      </c>
      <c r="I1544" s="35">
        <f>VENTAS[[#This Row],[Cantidad]]*VENTAS[[#This Row],[Precio Venta]]</f>
        <v>45</v>
      </c>
      <c r="J1544" s="35">
        <f>IF(VENTAS[[#This Row],[Nombre del Gestor]]&gt;1,VENTAS[[#This Row],[Total]]*10%,0)</f>
        <v>4.5</v>
      </c>
      <c r="K1544" s="35">
        <f>IFERROR(VLOOKUP(VENTAS[[#This Row],[Código del producto Vendido]],STOCK[],16,FALSE)*VENTAS[[#This Row],[Cantidad]]+VLOOKUP(VENTAS[[#This Row],[Código del producto Vendido]],STOCK[],19,FALSE)*VENTAS[[#This Row],[Cantidad]],VENTAS[[#This Row],[Total]])</f>
        <v>19.65</v>
      </c>
      <c r="L1544" s="35">
        <f>VENTAS[[#This Row],[Total]]-VENTAS[[#This Row],[Comisión 10%]]-VENTAS[[#This Row],[Costo SIN Comision]]</f>
        <v>20.85</v>
      </c>
      <c r="M1544" s="35"/>
    </row>
    <row r="1545" ht="20" customHeight="1" spans="1:13">
      <c r="A1545" s="29">
        <v>45559</v>
      </c>
      <c r="B1545" s="30"/>
      <c r="C1545" s="30" t="s">
        <v>3722</v>
      </c>
      <c r="D1545" s="30" t="s">
        <v>3513</v>
      </c>
      <c r="E1545" s="30" t="s">
        <v>2812</v>
      </c>
      <c r="F1545" s="34" t="str">
        <f>IFERROR(VLOOKUP(VENTAS[[#This Row],[Código del producto Vendido]],STOCK[],5,FALSE),"-")</f>
        <v>Bolso de ratán de Moda para vacaciones tamaño mediano con diseño de listas negras</v>
      </c>
      <c r="G1545" s="34">
        <v>1</v>
      </c>
      <c r="H1545" s="35">
        <v>22</v>
      </c>
      <c r="I1545" s="35">
        <f>VENTAS[[#This Row],[Cantidad]]*VENTAS[[#This Row],[Precio Venta]]</f>
        <v>22</v>
      </c>
      <c r="J1545" s="35">
        <f>IF(VENTAS[[#This Row],[Nombre del Gestor]]&gt;1,VENTAS[[#This Row],[Total]]*10%,0)</f>
        <v>2.2</v>
      </c>
      <c r="K1545" s="35">
        <f>IFERROR(VLOOKUP(VENTAS[[#This Row],[Código del producto Vendido]],STOCK[],16,FALSE)*VENTAS[[#This Row],[Cantidad]]+VLOOKUP(VENTAS[[#This Row],[Código del producto Vendido]],STOCK[],19,FALSE)*VENTAS[[#This Row],[Cantidad]],VENTAS[[#This Row],[Total]])</f>
        <v>12.17</v>
      </c>
      <c r="L1545" s="35">
        <f>VENTAS[[#This Row],[Total]]-VENTAS[[#This Row],[Comisión 10%]]-VENTAS[[#This Row],[Costo SIN Comision]]</f>
        <v>7.63</v>
      </c>
      <c r="M1545" s="35"/>
    </row>
    <row r="1546" ht="20" customHeight="1" spans="1:13">
      <c r="A1546" s="29">
        <v>45559</v>
      </c>
      <c r="B1546" s="30"/>
      <c r="C1546" s="30" t="s">
        <v>3723</v>
      </c>
      <c r="D1546" s="30" t="s">
        <v>3513</v>
      </c>
      <c r="E1546" s="30" t="s">
        <v>2812</v>
      </c>
      <c r="F1546" s="34" t="str">
        <f>IFERROR(VLOOKUP(VENTAS[[#This Row],[Código del producto Vendido]],STOCK[],5,FALSE),"-")</f>
        <v>Bolso de ratán de Moda para vacaciones tamaño mediano con diseño de listas negras</v>
      </c>
      <c r="G1546" s="34">
        <v>1</v>
      </c>
      <c r="H1546" s="35">
        <v>22</v>
      </c>
      <c r="I1546" s="35">
        <f>VENTAS[[#This Row],[Cantidad]]*VENTAS[[#This Row],[Precio Venta]]</f>
        <v>22</v>
      </c>
      <c r="J1546" s="35">
        <f>IF(VENTAS[[#This Row],[Nombre del Gestor]]&gt;1,VENTAS[[#This Row],[Total]]*10%,0)</f>
        <v>2.2</v>
      </c>
      <c r="K1546" s="35">
        <f>IFERROR(VLOOKUP(VENTAS[[#This Row],[Código del producto Vendido]],STOCK[],16,FALSE)*VENTAS[[#This Row],[Cantidad]]+VLOOKUP(VENTAS[[#This Row],[Código del producto Vendido]],STOCK[],19,FALSE)*VENTAS[[#This Row],[Cantidad]],VENTAS[[#This Row],[Total]])</f>
        <v>12.17</v>
      </c>
      <c r="L1546" s="35">
        <f>VENTAS[[#This Row],[Total]]-VENTAS[[#This Row],[Comisión 10%]]-VENTAS[[#This Row],[Costo SIN Comision]]</f>
        <v>7.63</v>
      </c>
      <c r="M1546" s="35"/>
    </row>
    <row r="1547" ht="20" customHeight="1" spans="1:13">
      <c r="A1547" s="29">
        <v>45553</v>
      </c>
      <c r="B1547" s="30"/>
      <c r="C1547" s="30" t="s">
        <v>3724</v>
      </c>
      <c r="D1547" s="30" t="s">
        <v>3513</v>
      </c>
      <c r="E1547" s="30" t="s">
        <v>2759</v>
      </c>
      <c r="F1547" s="34" t="str">
        <f>IFERROR(VLOOKUP(VENTAS[[#This Row],[Código del producto Vendido]],STOCK[],5,FALSE),"-")</f>
        <v>Set de bikini estilo europeo blanco en tendencia</v>
      </c>
      <c r="G1547" s="34">
        <v>1</v>
      </c>
      <c r="H1547" s="35">
        <v>22</v>
      </c>
      <c r="I1547" s="35">
        <f>VENTAS[[#This Row],[Cantidad]]*VENTAS[[#This Row],[Precio Venta]]</f>
        <v>22</v>
      </c>
      <c r="J1547" s="35">
        <f>IF(VENTAS[[#This Row],[Nombre del Gestor]]&gt;1,VENTAS[[#This Row],[Total]]*10%,0)</f>
        <v>2.2</v>
      </c>
      <c r="K1547" s="35">
        <f>IFERROR(VLOOKUP(VENTAS[[#This Row],[Código del producto Vendido]],STOCK[],16,FALSE)*VENTAS[[#This Row],[Cantidad]]+VLOOKUP(VENTAS[[#This Row],[Código del producto Vendido]],STOCK[],19,FALSE)*VENTAS[[#This Row],[Cantidad]],VENTAS[[#This Row],[Total]])</f>
        <v>13.23</v>
      </c>
      <c r="L1547" s="35">
        <f>VENTAS[[#This Row],[Total]]-VENTAS[[#This Row],[Comisión 10%]]-VENTAS[[#This Row],[Costo SIN Comision]]</f>
        <v>6.57</v>
      </c>
      <c r="M1547" s="35"/>
    </row>
    <row r="1548" ht="20" customHeight="1" spans="1:13">
      <c r="A1548" s="29">
        <v>45567</v>
      </c>
      <c r="B1548" s="30"/>
      <c r="C1548" s="30" t="s">
        <v>3725</v>
      </c>
      <c r="D1548" s="30" t="s">
        <v>3726</v>
      </c>
      <c r="E1548" s="30" t="s">
        <v>2820</v>
      </c>
      <c r="F1548" s="34" t="str">
        <f>IFERROR(VLOOKUP(VENTAS[[#This Row],[Código del producto Vendido]],STOCK[],5,FALSE),"-")</f>
        <v>Bolso de playa en bloque de color tejido en algodón</v>
      </c>
      <c r="G1548" s="34">
        <v>1</v>
      </c>
      <c r="H1548" s="35">
        <v>25</v>
      </c>
      <c r="I1548" s="35">
        <f>VENTAS[[#This Row],[Cantidad]]*VENTAS[[#This Row],[Precio Venta]]</f>
        <v>25</v>
      </c>
      <c r="J1548" s="35">
        <f>IF(VENTAS[[#This Row],[Nombre del Gestor]]&gt;1,VENTAS[[#This Row],[Total]]*10%,0)</f>
        <v>2.5</v>
      </c>
      <c r="K1548" s="35">
        <f>IFERROR(VLOOKUP(VENTAS[[#This Row],[Código del producto Vendido]],STOCK[],16,FALSE)*VENTAS[[#This Row],[Cantidad]]+VLOOKUP(VENTAS[[#This Row],[Código del producto Vendido]],STOCK[],19,FALSE)*VENTAS[[#This Row],[Cantidad]],VENTAS[[#This Row],[Total]])</f>
        <v>13.35</v>
      </c>
      <c r="L1548" s="35">
        <f>VENTAS[[#This Row],[Total]]-VENTAS[[#This Row],[Comisión 10%]]-VENTAS[[#This Row],[Costo SIN Comision]]</f>
        <v>9.15</v>
      </c>
      <c r="M1548" s="35"/>
    </row>
    <row r="1549" ht="20" customHeight="1" spans="1:13">
      <c r="A1549" s="29"/>
      <c r="B1549" s="30"/>
      <c r="C1549" s="30"/>
      <c r="D1549" s="30" t="s">
        <v>3727</v>
      </c>
      <c r="E1549" s="30" t="s">
        <v>2854</v>
      </c>
      <c r="F1549" s="34" t="str">
        <f>IFERROR(VLOOKUP(VENTAS[[#This Row],[Código del producto Vendido]],STOCK[],5,FALSE),"-")</f>
        <v>Bolso cuadrado tejido de rafia Tamaño grande Color Carmelita</v>
      </c>
      <c r="G1549" s="34">
        <v>1</v>
      </c>
      <c r="H1549" s="35">
        <v>22</v>
      </c>
      <c r="I1549" s="35">
        <f>VENTAS[[#This Row],[Cantidad]]*VENTAS[[#This Row],[Precio Venta]]</f>
        <v>22</v>
      </c>
      <c r="J1549" s="35">
        <f>IF(VENTAS[[#This Row],[Nombre del Gestor]]&gt;1,VENTAS[[#This Row],[Total]]*10%,0)</f>
        <v>2.2</v>
      </c>
      <c r="K1549" s="35">
        <f>IFERROR(VLOOKUP(VENTAS[[#This Row],[Código del producto Vendido]],STOCK[],16,FALSE)*VENTAS[[#This Row],[Cantidad]]+VLOOKUP(VENTAS[[#This Row],[Código del producto Vendido]],STOCK[],19,FALSE)*VENTAS[[#This Row],[Cantidad]],VENTAS[[#This Row],[Total]])</f>
        <v>14.85</v>
      </c>
      <c r="L1549" s="35">
        <f>VENTAS[[#This Row],[Total]]-VENTAS[[#This Row],[Comisión 10%]]-VENTAS[[#This Row],[Costo SIN Comision]]</f>
        <v>4.95</v>
      </c>
      <c r="M1549" s="35"/>
    </row>
    <row r="1550" ht="20" customHeight="1" spans="1:13">
      <c r="A1550" s="29"/>
      <c r="B1550" s="30"/>
      <c r="C1550" s="30"/>
      <c r="D1550" s="30" t="s">
        <v>3727</v>
      </c>
      <c r="E1550" s="30" t="s">
        <v>2854</v>
      </c>
      <c r="F1550" s="34" t="str">
        <f>IFERROR(VLOOKUP(VENTAS[[#This Row],[Código del producto Vendido]],STOCK[],5,FALSE),"-")</f>
        <v>Bolso cuadrado tejido de rafia Tamaño grande Color Carmelita</v>
      </c>
      <c r="G1550" s="34">
        <v>1</v>
      </c>
      <c r="H1550" s="35">
        <v>10.8</v>
      </c>
      <c r="I1550" s="35">
        <f>VENTAS[[#This Row],[Cantidad]]*VENTAS[[#This Row],[Precio Venta]]</f>
        <v>10.8</v>
      </c>
      <c r="J1550" s="35">
        <f>IF(VENTAS[[#This Row],[Nombre del Gestor]]&gt;1,VENTAS[[#This Row],[Total]]*10%,0)</f>
        <v>1.08</v>
      </c>
      <c r="K1550" s="35">
        <f>IFERROR(VLOOKUP(VENTAS[[#This Row],[Código del producto Vendido]],STOCK[],16,FALSE)*VENTAS[[#This Row],[Cantidad]]+VLOOKUP(VENTAS[[#This Row],[Código del producto Vendido]],STOCK[],19,FALSE)*VENTAS[[#This Row],[Cantidad]],VENTAS[[#This Row],[Total]])</f>
        <v>14.85</v>
      </c>
      <c r="L1550" s="35">
        <f>VENTAS[[#This Row],[Total]]-VENTAS[[#This Row],[Comisión 10%]]-VENTAS[[#This Row],[Costo SIN Comision]]</f>
        <v>-5.13</v>
      </c>
      <c r="M1550" s="35"/>
    </row>
    <row r="1551" ht="20" customHeight="1" spans="1:13">
      <c r="A1551" s="29"/>
      <c r="B1551" s="30"/>
      <c r="C1551" s="30"/>
      <c r="D1551" s="30" t="s">
        <v>3315</v>
      </c>
      <c r="E1551" s="30" t="s">
        <v>2389</v>
      </c>
      <c r="F1551" s="34" t="str">
        <f>IFERROR(VLOOKUP(VENTAS[[#This Row],[Código del producto Vendido]],STOCK[],5,FALSE),"-")</f>
        <v>Sandalias de tiras con tacón cuadrado Marca H&amp;M</v>
      </c>
      <c r="G1551" s="34">
        <v>1</v>
      </c>
      <c r="H1551" s="35">
        <v>35</v>
      </c>
      <c r="I1551" s="35">
        <f>VENTAS[[#This Row],[Cantidad]]*VENTAS[[#This Row],[Precio Venta]]</f>
        <v>35</v>
      </c>
      <c r="J1551" s="35">
        <f>IF(VENTAS[[#This Row],[Nombre del Gestor]]&gt;1,VENTAS[[#This Row],[Total]]*10%,0)</f>
        <v>3.5</v>
      </c>
      <c r="K1551" s="35">
        <f>IFERROR(VLOOKUP(VENTAS[[#This Row],[Código del producto Vendido]],STOCK[],16,FALSE)*VENTAS[[#This Row],[Cantidad]]+VLOOKUP(VENTAS[[#This Row],[Código del producto Vendido]],STOCK[],19,FALSE)*VENTAS[[#This Row],[Cantidad]],VENTAS[[#This Row],[Total]])</f>
        <v>17.2520211515864</v>
      </c>
      <c r="L1551" s="35">
        <f>VENTAS[[#This Row],[Total]]-VENTAS[[#This Row],[Comisión 10%]]-VENTAS[[#This Row],[Costo SIN Comision]]</f>
        <v>14.2479788484136</v>
      </c>
      <c r="M1551" s="35"/>
    </row>
    <row r="1552" ht="20" customHeight="1" spans="1:13">
      <c r="A1552" s="29"/>
      <c r="B1552" s="30"/>
      <c r="C1552" s="30"/>
      <c r="D1552" s="30"/>
      <c r="E1552" s="30" t="s">
        <v>2556</v>
      </c>
      <c r="F1552" s="34" t="str">
        <f>IFERROR(VLOOKUP(VENTAS[[#This Row],[Código del producto Vendido]],STOCK[],5,FALSE),"-")</f>
        <v>Maxi vestido de algodón cruzado con estampado floral vibrante</v>
      </c>
      <c r="G1552" s="34">
        <v>1</v>
      </c>
      <c r="H1552" s="35">
        <v>35</v>
      </c>
      <c r="I1552" s="35">
        <f>VENTAS[[#This Row],[Cantidad]]*VENTAS[[#This Row],[Precio Venta]]</f>
        <v>35</v>
      </c>
      <c r="J1552" s="35">
        <f>IF(VENTAS[[#This Row],[Nombre del Gestor]]&gt;1,VENTAS[[#This Row],[Total]]*10%,0)</f>
        <v>0</v>
      </c>
      <c r="K1552" s="35">
        <f>IFERROR(VLOOKUP(VENTAS[[#This Row],[Código del producto Vendido]],STOCK[],16,FALSE)*VENTAS[[#This Row],[Cantidad]]+VLOOKUP(VENTAS[[#This Row],[Código del producto Vendido]],STOCK[],19,FALSE)*VENTAS[[#This Row],[Cantidad]],VENTAS[[#This Row],[Total]])</f>
        <v>18.26</v>
      </c>
      <c r="L1552" s="35">
        <f>VENTAS[[#This Row],[Total]]-VENTAS[[#This Row],[Comisión 10%]]-VENTAS[[#This Row],[Costo SIN Comision]]</f>
        <v>16.74</v>
      </c>
      <c r="M1552" s="35"/>
    </row>
    <row r="1553" ht="20" customHeight="1" spans="1:13">
      <c r="A1553" s="29"/>
      <c r="B1553" s="30"/>
      <c r="C1553" s="30"/>
      <c r="D1553" s="30" t="s">
        <v>3451</v>
      </c>
      <c r="E1553" s="30" t="s">
        <v>2668</v>
      </c>
      <c r="F1553" s="34" t="str">
        <f>IFERROR(VLOOKUP(VENTAS[[#This Row],[Código del producto Vendido]],STOCK[],5,FALSE),"-")</f>
        <v>Pullover Celeste algodón PRIMARK</v>
      </c>
      <c r="G1553" s="34">
        <v>1</v>
      </c>
      <c r="H1553" s="35">
        <v>13</v>
      </c>
      <c r="I1553" s="35">
        <f>VENTAS[[#This Row],[Cantidad]]*VENTAS[[#This Row],[Precio Venta]]</f>
        <v>13</v>
      </c>
      <c r="J1553" s="35">
        <f>IF(VENTAS[[#This Row],[Nombre del Gestor]]&gt;1,VENTAS[[#This Row],[Total]]*10%,0)</f>
        <v>1.3</v>
      </c>
      <c r="K1553" s="35">
        <f>IFERROR(VLOOKUP(VENTAS[[#This Row],[Código del producto Vendido]],STOCK[],16,FALSE)*VENTAS[[#This Row],[Cantidad]]+VLOOKUP(VENTAS[[#This Row],[Código del producto Vendido]],STOCK[],19,FALSE)*VENTAS[[#This Row],[Cantidad]],VENTAS[[#This Row],[Total]])</f>
        <v>7</v>
      </c>
      <c r="L1553" s="35">
        <f>VENTAS[[#This Row],[Total]]-VENTAS[[#This Row],[Comisión 10%]]-VENTAS[[#This Row],[Costo SIN Comision]]</f>
        <v>4.7</v>
      </c>
      <c r="M1553" s="35"/>
    </row>
    <row r="1554" ht="20" customHeight="1" spans="1:13">
      <c r="A1554" s="29"/>
      <c r="B1554" s="30"/>
      <c r="C1554" s="30"/>
      <c r="D1554" s="30"/>
      <c r="E1554" s="30" t="s">
        <v>2676</v>
      </c>
      <c r="F1554" s="34" t="str">
        <f>IFERROR(VLOOKUP(VENTAS[[#This Row],[Código del producto Vendido]],STOCK[],5,FALSE),"-")</f>
        <v>Traje de baño clásico en bloque de color de talle alto</v>
      </c>
      <c r="G1554" s="34">
        <v>1</v>
      </c>
      <c r="H1554" s="35">
        <v>28</v>
      </c>
      <c r="I1554" s="35">
        <f>VENTAS[[#This Row],[Cantidad]]*VENTAS[[#This Row],[Precio Venta]]</f>
        <v>28</v>
      </c>
      <c r="J1554" s="35">
        <f>IF(VENTAS[[#This Row],[Nombre del Gestor]]&gt;1,VENTAS[[#This Row],[Total]]*10%,0)</f>
        <v>0</v>
      </c>
      <c r="K1554" s="35">
        <f>IFERROR(VLOOKUP(VENTAS[[#This Row],[Código del producto Vendido]],STOCK[],16,FALSE)*VENTAS[[#This Row],[Cantidad]]+VLOOKUP(VENTAS[[#This Row],[Código del producto Vendido]],STOCK[],19,FALSE)*VENTAS[[#This Row],[Cantidad]],VENTAS[[#This Row],[Total]])</f>
        <v>10.4</v>
      </c>
      <c r="L1554" s="35">
        <f>VENTAS[[#This Row],[Total]]-VENTAS[[#This Row],[Comisión 10%]]-VENTAS[[#This Row],[Costo SIN Comision]]</f>
        <v>17.6</v>
      </c>
      <c r="M1554" s="35"/>
    </row>
    <row r="1555" ht="20" customHeight="1" spans="1:13">
      <c r="A1555" s="29"/>
      <c r="B1555" s="30"/>
      <c r="C1555" s="30"/>
      <c r="D1555" s="30" t="s">
        <v>3506</v>
      </c>
      <c r="E1555" s="30" t="s">
        <v>2750</v>
      </c>
      <c r="F1555" s="34" t="str">
        <f>IFERROR(VLOOKUP(VENTAS[[#This Row],[Código del producto Vendido]],STOCK[],5,FALSE),"-")</f>
        <v>Vestido Privé Unicolor Sin Mangas ajustado con pliegues color negro</v>
      </c>
      <c r="G1555" s="34">
        <v>1</v>
      </c>
      <c r="H1555" s="35">
        <v>20</v>
      </c>
      <c r="I1555" s="35">
        <f>VENTAS[[#This Row],[Cantidad]]*VENTAS[[#This Row],[Precio Venta]]</f>
        <v>20</v>
      </c>
      <c r="J1555" s="35">
        <f>IF(VENTAS[[#This Row],[Nombre del Gestor]]&gt;1,VENTAS[[#This Row],[Total]]*10%,0)</f>
        <v>2</v>
      </c>
      <c r="K1555" s="35">
        <f>IFERROR(VLOOKUP(VENTAS[[#This Row],[Código del producto Vendido]],STOCK[],16,FALSE)*VENTAS[[#This Row],[Cantidad]]+VLOOKUP(VENTAS[[#This Row],[Código del producto Vendido]],STOCK[],19,FALSE)*VENTAS[[#This Row],[Cantidad]],VENTAS[[#This Row],[Total]])</f>
        <v>6.12</v>
      </c>
      <c r="L1555" s="35">
        <f>VENTAS[[#This Row],[Total]]-VENTAS[[#This Row],[Comisión 10%]]-VENTAS[[#This Row],[Costo SIN Comision]]</f>
        <v>11.88</v>
      </c>
      <c r="M1555" s="35"/>
    </row>
    <row r="1556" ht="20" customHeight="1" spans="1:13">
      <c r="A1556" s="29"/>
      <c r="B1556" s="30"/>
      <c r="C1556" s="30"/>
      <c r="D1556" s="30" t="s">
        <v>3315</v>
      </c>
      <c r="E1556" s="30" t="s">
        <v>2790</v>
      </c>
      <c r="F1556" s="34" t="str">
        <f>IFERROR(VLOOKUP(VENTAS[[#This Row],[Código del producto Vendido]],STOCK[],5,FALSE),"-")</f>
        <v>Sandalias estilo chunky de suela gruesa en contraste de color</v>
      </c>
      <c r="G1556" s="34">
        <v>1</v>
      </c>
      <c r="H1556" s="35">
        <v>35</v>
      </c>
      <c r="I1556" s="35">
        <f>VENTAS[[#This Row],[Cantidad]]*VENTAS[[#This Row],[Precio Venta]]</f>
        <v>35</v>
      </c>
      <c r="J1556" s="35">
        <f>IF(VENTAS[[#This Row],[Nombre del Gestor]]&gt;1,VENTAS[[#This Row],[Total]]*10%,0)</f>
        <v>3.5</v>
      </c>
      <c r="K1556" s="35">
        <f>IFERROR(VLOOKUP(VENTAS[[#This Row],[Código del producto Vendido]],STOCK[],16,FALSE)*VENTAS[[#This Row],[Cantidad]]+VLOOKUP(VENTAS[[#This Row],[Código del producto Vendido]],STOCK[],19,FALSE)*VENTAS[[#This Row],[Cantidad]],VENTAS[[#This Row],[Total]])</f>
        <v>13.4</v>
      </c>
      <c r="L1556" s="35">
        <f>VENTAS[[#This Row],[Total]]-VENTAS[[#This Row],[Comisión 10%]]-VENTAS[[#This Row],[Costo SIN Comision]]</f>
        <v>18.1</v>
      </c>
      <c r="M1556" s="35"/>
    </row>
    <row r="1557" ht="20" customHeight="1" spans="1:13">
      <c r="A1557" s="29"/>
      <c r="B1557" s="30"/>
      <c r="C1557" s="30"/>
      <c r="D1557" s="30" t="s">
        <v>3315</v>
      </c>
      <c r="E1557" s="30" t="s">
        <v>2792</v>
      </c>
      <c r="F1557" s="34" t="str">
        <f>IFERROR(VLOOKUP(VENTAS[[#This Row],[Código del producto Vendido]],STOCK[],5,FALSE),"-")</f>
        <v>Sandalias estilo chunky de suela gruesa en contraste de color</v>
      </c>
      <c r="G1557" s="34">
        <v>1</v>
      </c>
      <c r="H1557" s="35">
        <v>35</v>
      </c>
      <c r="I1557" s="35">
        <f>VENTAS[[#This Row],[Cantidad]]*VENTAS[[#This Row],[Precio Venta]]</f>
        <v>35</v>
      </c>
      <c r="J1557" s="35">
        <f>IF(VENTAS[[#This Row],[Nombre del Gestor]]&gt;1,VENTAS[[#This Row],[Total]]*10%,0)</f>
        <v>3.5</v>
      </c>
      <c r="K1557" s="35">
        <f>IFERROR(VLOOKUP(VENTAS[[#This Row],[Código del producto Vendido]],STOCK[],16,FALSE)*VENTAS[[#This Row],[Cantidad]]+VLOOKUP(VENTAS[[#This Row],[Código del producto Vendido]],STOCK[],19,FALSE)*VENTAS[[#This Row],[Cantidad]],VENTAS[[#This Row],[Total]])</f>
        <v>11.4</v>
      </c>
      <c r="L1557" s="35">
        <f>VENTAS[[#This Row],[Total]]-VENTAS[[#This Row],[Comisión 10%]]-VENTAS[[#This Row],[Costo SIN Comision]]</f>
        <v>20.1</v>
      </c>
      <c r="M1557" s="35"/>
    </row>
    <row r="1558" ht="20" customHeight="1" spans="1:13">
      <c r="A1558" s="29"/>
      <c r="B1558" s="30"/>
      <c r="C1558" s="30"/>
      <c r="D1558" s="30"/>
      <c r="E1558" s="30" t="s">
        <v>2792</v>
      </c>
      <c r="F1558" s="34" t="str">
        <f>IFERROR(VLOOKUP(VENTAS[[#This Row],[Código del producto Vendido]],STOCK[],5,FALSE),"-")</f>
        <v>Sandalias estilo chunky de suela gruesa en contraste de color</v>
      </c>
      <c r="G1558" s="34">
        <v>1</v>
      </c>
      <c r="H1558" s="35">
        <v>35</v>
      </c>
      <c r="I1558" s="35">
        <f>VENTAS[[#This Row],[Cantidad]]*VENTAS[[#This Row],[Precio Venta]]</f>
        <v>35</v>
      </c>
      <c r="J1558" s="35">
        <f>IF(VENTAS[[#This Row],[Nombre del Gestor]]&gt;1,VENTAS[[#This Row],[Total]]*10%,0)</f>
        <v>0</v>
      </c>
      <c r="K1558" s="35">
        <f>IFERROR(VLOOKUP(VENTAS[[#This Row],[Código del producto Vendido]],STOCK[],16,FALSE)*VENTAS[[#This Row],[Cantidad]]+VLOOKUP(VENTAS[[#This Row],[Código del producto Vendido]],STOCK[],19,FALSE)*VENTAS[[#This Row],[Cantidad]],VENTAS[[#This Row],[Total]])</f>
        <v>11.4</v>
      </c>
      <c r="L1558" s="35">
        <f>VENTAS[[#This Row],[Total]]-VENTAS[[#This Row],[Comisión 10%]]-VENTAS[[#This Row],[Costo SIN Comision]]</f>
        <v>23.6</v>
      </c>
      <c r="M1558" s="35"/>
    </row>
    <row r="1559" ht="20" customHeight="1" spans="1:13">
      <c r="A1559" s="29"/>
      <c r="B1559" s="30"/>
      <c r="C1559" s="30"/>
      <c r="D1559" s="30" t="s">
        <v>3462</v>
      </c>
      <c r="E1559" s="30" t="s">
        <v>2795</v>
      </c>
      <c r="F1559" s="34" t="str">
        <f>IFERROR(VLOOKUP(VENTAS[[#This Row],[Código del producto Vendido]],STOCK[],5,FALSE),"-")</f>
        <v>Sandalias estilo chunky de suela gruesa en contraste de color</v>
      </c>
      <c r="G1559" s="34">
        <v>1</v>
      </c>
      <c r="H1559" s="35">
        <v>35</v>
      </c>
      <c r="I1559" s="35">
        <f>VENTAS[[#This Row],[Cantidad]]*VENTAS[[#This Row],[Precio Venta]]</f>
        <v>35</v>
      </c>
      <c r="J1559" s="35">
        <f>IF(VENTAS[[#This Row],[Nombre del Gestor]]&gt;1,VENTAS[[#This Row],[Total]]*10%,0)</f>
        <v>3.5</v>
      </c>
      <c r="K1559" s="35">
        <f>IFERROR(VLOOKUP(VENTAS[[#This Row],[Código del producto Vendido]],STOCK[],16,FALSE)*VENTAS[[#This Row],[Cantidad]]+VLOOKUP(VENTAS[[#This Row],[Código del producto Vendido]],STOCK[],19,FALSE)*VENTAS[[#This Row],[Cantidad]],VENTAS[[#This Row],[Total]])</f>
        <v>13.4</v>
      </c>
      <c r="L1559" s="35">
        <f>VENTAS[[#This Row],[Total]]-VENTAS[[#This Row],[Comisión 10%]]-VENTAS[[#This Row],[Costo SIN Comision]]</f>
        <v>18.1</v>
      </c>
      <c r="M1559" s="35"/>
    </row>
    <row r="1560" ht="20" customHeight="1" spans="1:13">
      <c r="A1560" s="29"/>
      <c r="B1560" s="30"/>
      <c r="C1560" s="30"/>
      <c r="D1560" s="30"/>
      <c r="E1560" s="30" t="s">
        <v>2795</v>
      </c>
      <c r="F1560" s="34" t="str">
        <f>IFERROR(VLOOKUP(VENTAS[[#This Row],[Código del producto Vendido]],STOCK[],5,FALSE),"-")</f>
        <v>Sandalias estilo chunky de suela gruesa en contraste de color</v>
      </c>
      <c r="G1560" s="34">
        <v>1</v>
      </c>
      <c r="H1560" s="35">
        <v>35</v>
      </c>
      <c r="I1560" s="35">
        <f>VENTAS[[#This Row],[Cantidad]]*VENTAS[[#This Row],[Precio Venta]]</f>
        <v>35</v>
      </c>
      <c r="J1560" s="35">
        <f>IF(VENTAS[[#This Row],[Nombre del Gestor]]&gt;1,VENTAS[[#This Row],[Total]]*10%,0)</f>
        <v>0</v>
      </c>
      <c r="K1560" s="35">
        <f>IFERROR(VLOOKUP(VENTAS[[#This Row],[Código del producto Vendido]],STOCK[],16,FALSE)*VENTAS[[#This Row],[Cantidad]]+VLOOKUP(VENTAS[[#This Row],[Código del producto Vendido]],STOCK[],19,FALSE)*VENTAS[[#This Row],[Cantidad]],VENTAS[[#This Row],[Total]])</f>
        <v>13.4</v>
      </c>
      <c r="L1560" s="35">
        <f>VENTAS[[#This Row],[Total]]-VENTAS[[#This Row],[Comisión 10%]]-VENTAS[[#This Row],[Costo SIN Comision]]</f>
        <v>21.6</v>
      </c>
      <c r="M1560" s="35"/>
    </row>
    <row r="1561" ht="20" customHeight="1" spans="1:13">
      <c r="A1561" s="29"/>
      <c r="B1561" s="30"/>
      <c r="C1561" s="30" t="s">
        <v>3728</v>
      </c>
      <c r="D1561" s="30"/>
      <c r="E1561" s="30" t="s">
        <v>2810</v>
      </c>
      <c r="F1561" s="34" t="str">
        <f>IFERROR(VLOOKUP(VENTAS[[#This Row],[Código del producto Vendido]],STOCK[],5,FALSE),"-")</f>
        <v>Bolso elegante de estilo sillín</v>
      </c>
      <c r="G1561" s="34">
        <v>1</v>
      </c>
      <c r="H1561" s="35">
        <v>22</v>
      </c>
      <c r="I1561" s="35">
        <f>VENTAS[[#This Row],[Cantidad]]*VENTAS[[#This Row],[Precio Venta]]</f>
        <v>22</v>
      </c>
      <c r="J1561" s="35">
        <f>IF(VENTAS[[#This Row],[Nombre del Gestor]]&gt;1,VENTAS[[#This Row],[Total]]*10%,0)</f>
        <v>0</v>
      </c>
      <c r="K1561" s="35">
        <f>IFERROR(VLOOKUP(VENTAS[[#This Row],[Código del producto Vendido]],STOCK[],16,FALSE)*VENTAS[[#This Row],[Cantidad]]+VLOOKUP(VENTAS[[#This Row],[Código del producto Vendido]],STOCK[],19,FALSE)*VENTAS[[#This Row],[Cantidad]],VENTAS[[#This Row],[Total]])</f>
        <v>10.28</v>
      </c>
      <c r="L1561" s="35">
        <f>VENTAS[[#This Row],[Total]]-VENTAS[[#This Row],[Comisión 10%]]-VENTAS[[#This Row],[Costo SIN Comision]]</f>
        <v>11.72</v>
      </c>
      <c r="M1561" s="35"/>
    </row>
    <row r="1562" ht="20" customHeight="1" spans="1:13">
      <c r="A1562" s="29"/>
      <c r="B1562" s="30"/>
      <c r="C1562" s="30"/>
      <c r="D1562" s="30"/>
      <c r="E1562" s="30" t="s">
        <v>2817</v>
      </c>
      <c r="F1562" s="34" t="str">
        <f>IFERROR(VLOOKUP(VENTAS[[#This Row],[Código del producto Vendido]],STOCK[],5,FALSE),"-")</f>
        <v>Bolso de diario ligero y casual de gran capacidad elegante de cocodrilo</v>
      </c>
      <c r="G1562" s="34">
        <v>1</v>
      </c>
      <c r="H1562" s="35">
        <v>25</v>
      </c>
      <c r="I1562" s="35">
        <f>VENTAS[[#This Row],[Cantidad]]*VENTAS[[#This Row],[Precio Venta]]</f>
        <v>25</v>
      </c>
      <c r="J1562" s="35">
        <f>IF(VENTAS[[#This Row],[Nombre del Gestor]]&gt;1,VENTAS[[#This Row],[Total]]*10%,0)</f>
        <v>0</v>
      </c>
      <c r="K1562" s="35">
        <f>IFERROR(VLOOKUP(VENTAS[[#This Row],[Código del producto Vendido]],STOCK[],16,FALSE)*VENTAS[[#This Row],[Cantidad]]+VLOOKUP(VENTAS[[#This Row],[Código del producto Vendido]],STOCK[],19,FALSE)*VENTAS[[#This Row],[Cantidad]],VENTAS[[#This Row],[Total]])</f>
        <v>10.14</v>
      </c>
      <c r="L1562" s="35">
        <f>VENTAS[[#This Row],[Total]]-VENTAS[[#This Row],[Comisión 10%]]-VENTAS[[#This Row],[Costo SIN Comision]]</f>
        <v>14.86</v>
      </c>
      <c r="M1562" s="35"/>
    </row>
    <row r="1563" ht="20" customHeight="1" spans="1:13">
      <c r="A1563" s="29">
        <v>45562</v>
      </c>
      <c r="B1563" s="30"/>
      <c r="C1563" s="30"/>
      <c r="D1563" s="30" t="s">
        <v>3506</v>
      </c>
      <c r="E1563" s="30" t="s">
        <v>2817</v>
      </c>
      <c r="F1563" s="34" t="str">
        <f>IFERROR(VLOOKUP(VENTAS[[#This Row],[Código del producto Vendido]],STOCK[],5,FALSE),"-")</f>
        <v>Bolso de diario ligero y casual de gran capacidad elegante de cocodrilo</v>
      </c>
      <c r="G1563" s="34">
        <v>1</v>
      </c>
      <c r="H1563" s="35">
        <v>25</v>
      </c>
      <c r="I1563" s="35">
        <f>VENTAS[[#This Row],[Cantidad]]*VENTAS[[#This Row],[Precio Venta]]</f>
        <v>25</v>
      </c>
      <c r="J1563" s="35">
        <f>IF(VENTAS[[#This Row],[Nombre del Gestor]]&gt;1,VENTAS[[#This Row],[Total]]*10%,0)</f>
        <v>2.5</v>
      </c>
      <c r="K1563" s="35">
        <f>IFERROR(VLOOKUP(VENTAS[[#This Row],[Código del producto Vendido]],STOCK[],16,FALSE)*VENTAS[[#This Row],[Cantidad]]+VLOOKUP(VENTAS[[#This Row],[Código del producto Vendido]],STOCK[],19,FALSE)*VENTAS[[#This Row],[Cantidad]],VENTAS[[#This Row],[Total]])</f>
        <v>10.14</v>
      </c>
      <c r="L1563" s="35">
        <f>VENTAS[[#This Row],[Total]]-VENTAS[[#This Row],[Comisión 10%]]-VENTAS[[#This Row],[Costo SIN Comision]]</f>
        <v>12.36</v>
      </c>
      <c r="M1563" s="35"/>
    </row>
    <row r="1564" ht="20" customHeight="1" spans="1:13">
      <c r="A1564" s="29">
        <v>45562</v>
      </c>
      <c r="B1564" s="30"/>
      <c r="C1564" s="30"/>
      <c r="D1564" s="30" t="s">
        <v>3605</v>
      </c>
      <c r="E1564" s="30" t="s">
        <v>2820</v>
      </c>
      <c r="F1564" s="34" t="str">
        <f>IFERROR(VLOOKUP(VENTAS[[#This Row],[Código del producto Vendido]],STOCK[],5,FALSE),"-")</f>
        <v>Bolso de playa en bloque de color tejido en algodón</v>
      </c>
      <c r="G1564" s="34">
        <v>1</v>
      </c>
      <c r="H1564" s="35">
        <v>25</v>
      </c>
      <c r="I1564" s="35">
        <f>VENTAS[[#This Row],[Cantidad]]*VENTAS[[#This Row],[Precio Venta]]</f>
        <v>25</v>
      </c>
      <c r="J1564" s="35">
        <f>IF(VENTAS[[#This Row],[Nombre del Gestor]]&gt;1,VENTAS[[#This Row],[Total]]*10%,0)</f>
        <v>2.5</v>
      </c>
      <c r="K1564" s="35">
        <f>IFERROR(VLOOKUP(VENTAS[[#This Row],[Código del producto Vendido]],STOCK[],16,FALSE)*VENTAS[[#This Row],[Cantidad]]+VLOOKUP(VENTAS[[#This Row],[Código del producto Vendido]],STOCK[],19,FALSE)*VENTAS[[#This Row],[Cantidad]],VENTAS[[#This Row],[Total]])</f>
        <v>13.35</v>
      </c>
      <c r="L1564" s="35">
        <f>VENTAS[[#This Row],[Total]]-VENTAS[[#This Row],[Comisión 10%]]-VENTAS[[#This Row],[Costo SIN Comision]]</f>
        <v>9.15</v>
      </c>
      <c r="M1564" s="35"/>
    </row>
    <row r="1565" ht="20" customHeight="1" spans="1:13">
      <c r="A1565" s="29">
        <v>45562</v>
      </c>
      <c r="B1565" s="30"/>
      <c r="C1565" s="30"/>
      <c r="D1565" s="30" t="s">
        <v>3506</v>
      </c>
      <c r="E1565" s="30" t="s">
        <v>2820</v>
      </c>
      <c r="F1565" s="34" t="str">
        <f>IFERROR(VLOOKUP(VENTAS[[#This Row],[Código del producto Vendido]],STOCK[],5,FALSE),"-")</f>
        <v>Bolso de playa en bloque de color tejido en algodón</v>
      </c>
      <c r="G1565" s="34">
        <v>1</v>
      </c>
      <c r="H1565" s="35">
        <v>25</v>
      </c>
      <c r="I1565" s="35">
        <f>VENTAS[[#This Row],[Cantidad]]*VENTAS[[#This Row],[Precio Venta]]</f>
        <v>25</v>
      </c>
      <c r="J1565" s="35">
        <f>IF(VENTAS[[#This Row],[Nombre del Gestor]]&gt;1,VENTAS[[#This Row],[Total]]*10%,0)</f>
        <v>2.5</v>
      </c>
      <c r="K1565" s="35">
        <f>IFERROR(VLOOKUP(VENTAS[[#This Row],[Código del producto Vendido]],STOCK[],16,FALSE)*VENTAS[[#This Row],[Cantidad]]+VLOOKUP(VENTAS[[#This Row],[Código del producto Vendido]],STOCK[],19,FALSE)*VENTAS[[#This Row],[Cantidad]],VENTAS[[#This Row],[Total]])</f>
        <v>13.35</v>
      </c>
      <c r="L1565" s="35">
        <f>VENTAS[[#This Row],[Total]]-VENTAS[[#This Row],[Comisión 10%]]-VENTAS[[#This Row],[Costo SIN Comision]]</f>
        <v>9.15</v>
      </c>
      <c r="M1565" s="35"/>
    </row>
    <row r="1566" ht="20" customHeight="1" spans="1:13">
      <c r="A1566" s="29"/>
      <c r="B1566" s="30"/>
      <c r="C1566" s="30"/>
      <c r="D1566" s="30"/>
      <c r="E1566" s="30" t="s">
        <v>2820</v>
      </c>
      <c r="F1566" s="34" t="str">
        <f>IFERROR(VLOOKUP(VENTAS[[#This Row],[Código del producto Vendido]],STOCK[],5,FALSE),"-")</f>
        <v>Bolso de playa en bloque de color tejido en algodón</v>
      </c>
      <c r="G1566" s="34">
        <v>1</v>
      </c>
      <c r="H1566" s="35">
        <v>25</v>
      </c>
      <c r="I1566" s="35">
        <f>VENTAS[[#This Row],[Cantidad]]*VENTAS[[#This Row],[Precio Venta]]</f>
        <v>25</v>
      </c>
      <c r="J1566" s="35">
        <f>IF(VENTAS[[#This Row],[Nombre del Gestor]]&gt;1,VENTAS[[#This Row],[Total]]*10%,0)</f>
        <v>0</v>
      </c>
      <c r="K1566" s="35">
        <f>IFERROR(VLOOKUP(VENTAS[[#This Row],[Código del producto Vendido]],STOCK[],16,FALSE)*VENTAS[[#This Row],[Cantidad]]+VLOOKUP(VENTAS[[#This Row],[Código del producto Vendido]],STOCK[],19,FALSE)*VENTAS[[#This Row],[Cantidad]],VENTAS[[#This Row],[Total]])</f>
        <v>13.35</v>
      </c>
      <c r="L1566" s="35">
        <f>VENTAS[[#This Row],[Total]]-VENTAS[[#This Row],[Comisión 10%]]-VENTAS[[#This Row],[Costo SIN Comision]]</f>
        <v>11.65</v>
      </c>
      <c r="M1566" s="35"/>
    </row>
    <row r="1567" ht="20" customHeight="1" spans="1:13">
      <c r="A1567" s="29"/>
      <c r="B1567" s="30"/>
      <c r="C1567" s="30"/>
      <c r="D1567" s="30" t="s">
        <v>3703</v>
      </c>
      <c r="E1567" s="30" t="s">
        <v>2824</v>
      </c>
      <c r="F1567" s="34" t="str">
        <f>IFERROR(VLOOKUP(VENTAS[[#This Row],[Código del producto Vendido]],STOCK[],5,FALSE),"-")</f>
        <v>Bolso tejido redondo de gran capacidad Carmelita</v>
      </c>
      <c r="G1567" s="34">
        <v>1</v>
      </c>
      <c r="H1567" s="35">
        <v>25</v>
      </c>
      <c r="I1567" s="35">
        <f>VENTAS[[#This Row],[Cantidad]]*VENTAS[[#This Row],[Precio Venta]]</f>
        <v>25</v>
      </c>
      <c r="J1567" s="35">
        <f>IF(VENTAS[[#This Row],[Nombre del Gestor]]&gt;1,VENTAS[[#This Row],[Total]]*10%,0)</f>
        <v>2.5</v>
      </c>
      <c r="K1567" s="35">
        <f>IFERROR(VLOOKUP(VENTAS[[#This Row],[Código del producto Vendido]],STOCK[],16,FALSE)*VENTAS[[#This Row],[Cantidad]]+VLOOKUP(VENTAS[[#This Row],[Código del producto Vendido]],STOCK[],19,FALSE)*VENTAS[[#This Row],[Cantidad]],VENTAS[[#This Row],[Total]])</f>
        <v>13.31</v>
      </c>
      <c r="L1567" s="35">
        <f>VENTAS[[#This Row],[Total]]-VENTAS[[#This Row],[Comisión 10%]]-VENTAS[[#This Row],[Costo SIN Comision]]</f>
        <v>9.19</v>
      </c>
      <c r="M1567" s="35"/>
    </row>
    <row r="1568" ht="20" customHeight="1" spans="1:13">
      <c r="A1568" s="29"/>
      <c r="B1568" s="30"/>
      <c r="C1568" s="30"/>
      <c r="D1568" s="30"/>
      <c r="E1568" s="30" t="s">
        <v>2833</v>
      </c>
      <c r="F1568" s="34" t="str">
        <f>IFERROR(VLOOKUP(VENTAS[[#This Row],[Código del producto Vendido]],STOCK[],5,FALSE),"-")</f>
        <v>Vestido elegante de crochet de de cuello profundo y espalda cruzada</v>
      </c>
      <c r="G1568" s="34">
        <v>1</v>
      </c>
      <c r="H1568" s="35">
        <v>30</v>
      </c>
      <c r="I1568" s="35">
        <f>VENTAS[[#This Row],[Cantidad]]*VENTAS[[#This Row],[Precio Venta]]</f>
        <v>30</v>
      </c>
      <c r="J1568" s="35">
        <f>IF(VENTAS[[#This Row],[Nombre del Gestor]]&gt;1,VENTAS[[#This Row],[Total]]*10%,0)</f>
        <v>0</v>
      </c>
      <c r="K1568" s="35">
        <f>IFERROR(VLOOKUP(VENTAS[[#This Row],[Código del producto Vendido]],STOCK[],16,FALSE)*VENTAS[[#This Row],[Cantidad]]+VLOOKUP(VENTAS[[#This Row],[Código del producto Vendido]],STOCK[],19,FALSE)*VENTAS[[#This Row],[Cantidad]],VENTAS[[#This Row],[Total]])</f>
        <v>13.5</v>
      </c>
      <c r="L1568" s="35">
        <f>VENTAS[[#This Row],[Total]]-VENTAS[[#This Row],[Comisión 10%]]-VENTAS[[#This Row],[Costo SIN Comision]]</f>
        <v>16.5</v>
      </c>
      <c r="M1568" s="35"/>
    </row>
    <row r="1569" ht="20" customHeight="1" spans="1:13">
      <c r="A1569" s="29"/>
      <c r="B1569" s="30"/>
      <c r="C1569" s="30"/>
      <c r="D1569" s="30"/>
      <c r="E1569" s="30" t="s">
        <v>2834</v>
      </c>
      <c r="F1569" s="34" t="str">
        <f>IFERROR(VLOOKUP(VENTAS[[#This Row],[Código del producto Vendido]],STOCK[],5,FALSE),"-")</f>
        <v>Vestido elegante de crochet de de cuello profundo y espalda cruzada</v>
      </c>
      <c r="G1569" s="34">
        <v>1</v>
      </c>
      <c r="H1569" s="35">
        <v>30</v>
      </c>
      <c r="I1569" s="35">
        <f>VENTAS[[#This Row],[Cantidad]]*VENTAS[[#This Row],[Precio Venta]]</f>
        <v>30</v>
      </c>
      <c r="J1569" s="35">
        <f>IF(VENTAS[[#This Row],[Nombre del Gestor]]&gt;1,VENTAS[[#This Row],[Total]]*10%,0)</f>
        <v>0</v>
      </c>
      <c r="K1569" s="35">
        <f>IFERROR(VLOOKUP(VENTAS[[#This Row],[Código del producto Vendido]],STOCK[],16,FALSE)*VENTAS[[#This Row],[Cantidad]]+VLOOKUP(VENTAS[[#This Row],[Código del producto Vendido]],STOCK[],19,FALSE)*VENTAS[[#This Row],[Cantidad]],VENTAS[[#This Row],[Total]])</f>
        <v>13.5</v>
      </c>
      <c r="L1569" s="35">
        <f>VENTAS[[#This Row],[Total]]-VENTAS[[#This Row],[Comisión 10%]]-VENTAS[[#This Row],[Costo SIN Comision]]</f>
        <v>16.5</v>
      </c>
      <c r="M1569" s="35"/>
    </row>
    <row r="1570" ht="20" customHeight="1" spans="1:13">
      <c r="A1570" s="29"/>
      <c r="B1570" s="30"/>
      <c r="C1570" s="30"/>
      <c r="D1570" s="30"/>
      <c r="E1570" s="30" t="s">
        <v>2835</v>
      </c>
      <c r="F1570" s="34" t="str">
        <f>IFERROR(VLOOKUP(VENTAS[[#This Row],[Código del producto Vendido]],STOCK[],5,FALSE),"-")</f>
        <v>Vestido elegante de crochet de de cuello profundo y espalda cruzada</v>
      </c>
      <c r="G1570" s="34">
        <v>1</v>
      </c>
      <c r="H1570" s="35">
        <v>30</v>
      </c>
      <c r="I1570" s="35">
        <f>VENTAS[[#This Row],[Cantidad]]*VENTAS[[#This Row],[Precio Venta]]</f>
        <v>30</v>
      </c>
      <c r="J1570" s="35">
        <f>IF(VENTAS[[#This Row],[Nombre del Gestor]]&gt;1,VENTAS[[#This Row],[Total]]*10%,0)</f>
        <v>0</v>
      </c>
      <c r="K1570" s="35">
        <f>IFERROR(VLOOKUP(VENTAS[[#This Row],[Código del producto Vendido]],STOCK[],16,FALSE)*VENTAS[[#This Row],[Cantidad]]+VLOOKUP(VENTAS[[#This Row],[Código del producto Vendido]],STOCK[],19,FALSE)*VENTAS[[#This Row],[Cantidad]],VENTAS[[#This Row],[Total]])</f>
        <v>13.5</v>
      </c>
      <c r="L1570" s="35">
        <f>VENTAS[[#This Row],[Total]]-VENTAS[[#This Row],[Comisión 10%]]-VENTAS[[#This Row],[Costo SIN Comision]]</f>
        <v>16.5</v>
      </c>
      <c r="M1570" s="35"/>
    </row>
    <row r="1571" ht="20" customHeight="1" spans="1:13">
      <c r="A1571" s="29">
        <v>45575</v>
      </c>
      <c r="B1571" s="30"/>
      <c r="C1571" s="30"/>
      <c r="D1571" s="30" t="s">
        <v>3510</v>
      </c>
      <c r="E1571" s="30" t="s">
        <v>2835</v>
      </c>
      <c r="F1571" s="34" t="str">
        <f>IFERROR(VLOOKUP(VENTAS[[#This Row],[Código del producto Vendido]],STOCK[],5,FALSE),"-")</f>
        <v>Vestido elegante de crochet de de cuello profundo y espalda cruzada</v>
      </c>
      <c r="G1571" s="34">
        <v>1</v>
      </c>
      <c r="H1571" s="35">
        <v>30</v>
      </c>
      <c r="I1571" s="35">
        <f>VENTAS[[#This Row],[Cantidad]]*VENTAS[[#This Row],[Precio Venta]]</f>
        <v>30</v>
      </c>
      <c r="J1571" s="35">
        <f>IF(VENTAS[[#This Row],[Nombre del Gestor]]&gt;1,VENTAS[[#This Row],[Total]]*10%,0)</f>
        <v>3</v>
      </c>
      <c r="K1571" s="35">
        <f>IFERROR(VLOOKUP(VENTAS[[#This Row],[Código del producto Vendido]],STOCK[],16,FALSE)*VENTAS[[#This Row],[Cantidad]]+VLOOKUP(VENTAS[[#This Row],[Código del producto Vendido]],STOCK[],19,FALSE)*VENTAS[[#This Row],[Cantidad]],VENTAS[[#This Row],[Total]])</f>
        <v>13.5</v>
      </c>
      <c r="L1571" s="35">
        <f>VENTAS[[#This Row],[Total]]-VENTAS[[#This Row],[Comisión 10%]]-VENTAS[[#This Row],[Costo SIN Comision]]</f>
        <v>13.5</v>
      </c>
      <c r="M1571" s="35"/>
    </row>
    <row r="1572" ht="20" customHeight="1" spans="1:13">
      <c r="A1572" s="29"/>
      <c r="B1572" s="30"/>
      <c r="C1572" s="30"/>
      <c r="D1572" s="30" t="s">
        <v>3315</v>
      </c>
      <c r="E1572" s="30" t="s">
        <v>2841</v>
      </c>
      <c r="F1572" s="34" t="str">
        <f>IFERROR(VLOOKUP(VENTAS[[#This Row],[Código del producto Vendido]],STOCK[],5,FALSE),"-")</f>
        <v>Pantalones largros rayados de moda de gran comodidad</v>
      </c>
      <c r="G1572" s="34">
        <v>1</v>
      </c>
      <c r="H1572" s="35">
        <v>22</v>
      </c>
      <c r="I1572" s="35">
        <f>VENTAS[[#This Row],[Cantidad]]*VENTAS[[#This Row],[Precio Venta]]</f>
        <v>22</v>
      </c>
      <c r="J1572" s="35">
        <f>IF(VENTAS[[#This Row],[Nombre del Gestor]]&gt;1,VENTAS[[#This Row],[Total]]*10%,0)</f>
        <v>2.2</v>
      </c>
      <c r="K1572" s="35">
        <f>IFERROR(VLOOKUP(VENTAS[[#This Row],[Código del producto Vendido]],STOCK[],16,FALSE)*VENTAS[[#This Row],[Cantidad]]+VLOOKUP(VENTAS[[#This Row],[Código del producto Vendido]],STOCK[],19,FALSE)*VENTAS[[#This Row],[Cantidad]],VENTAS[[#This Row],[Total]])</f>
        <v>10.52</v>
      </c>
      <c r="L1572" s="35">
        <f>VENTAS[[#This Row],[Total]]-VENTAS[[#This Row],[Comisión 10%]]-VENTAS[[#This Row],[Costo SIN Comision]]</f>
        <v>9.28</v>
      </c>
      <c r="M1572" s="35"/>
    </row>
    <row r="1573" ht="20" customHeight="1" spans="1:13">
      <c r="A1573" s="29"/>
      <c r="B1573" s="30"/>
      <c r="C1573" s="30"/>
      <c r="D1573" s="30"/>
      <c r="E1573" s="30" t="s">
        <v>2846</v>
      </c>
      <c r="F1573" s="34" t="str">
        <f>IFERROR(VLOOKUP(VENTAS[[#This Row],[Código del producto Vendido]],STOCK[],5,FALSE),"-")</f>
        <v>Pantalones largros rayados de moda de gran comodidad</v>
      </c>
      <c r="G1573" s="34">
        <v>1</v>
      </c>
      <c r="H1573" s="35">
        <v>22</v>
      </c>
      <c r="I1573" s="35">
        <f>VENTAS[[#This Row],[Cantidad]]*VENTAS[[#This Row],[Precio Venta]]</f>
        <v>22</v>
      </c>
      <c r="J1573" s="35">
        <f>IF(VENTAS[[#This Row],[Nombre del Gestor]]&gt;1,VENTAS[[#This Row],[Total]]*10%,0)</f>
        <v>0</v>
      </c>
      <c r="K1573" s="35">
        <f>IFERROR(VLOOKUP(VENTAS[[#This Row],[Código del producto Vendido]],STOCK[],16,FALSE)*VENTAS[[#This Row],[Cantidad]]+VLOOKUP(VENTAS[[#This Row],[Código del producto Vendido]],STOCK[],19,FALSE)*VENTAS[[#This Row],[Cantidad]],VENTAS[[#This Row],[Total]])</f>
        <v>10.52</v>
      </c>
      <c r="L1573" s="35">
        <f>VENTAS[[#This Row],[Total]]-VENTAS[[#This Row],[Comisión 10%]]-VENTAS[[#This Row],[Costo SIN Comision]]</f>
        <v>11.48</v>
      </c>
      <c r="M1573" s="35"/>
    </row>
    <row r="1574" ht="20" customHeight="1" spans="1:13">
      <c r="A1574" s="29">
        <v>45566</v>
      </c>
      <c r="B1574" s="30"/>
      <c r="C1574" s="30"/>
      <c r="D1574" s="30" t="s">
        <v>3605</v>
      </c>
      <c r="E1574" s="30" t="s">
        <v>2846</v>
      </c>
      <c r="F1574" s="34" t="str">
        <f>IFERROR(VLOOKUP(VENTAS[[#This Row],[Código del producto Vendido]],STOCK[],5,FALSE),"-")</f>
        <v>Pantalones largros rayados de moda de gran comodidad</v>
      </c>
      <c r="G1574" s="34">
        <v>1</v>
      </c>
      <c r="H1574" s="35">
        <v>22</v>
      </c>
      <c r="I1574" s="35">
        <f>VENTAS[[#This Row],[Cantidad]]*VENTAS[[#This Row],[Precio Venta]]</f>
        <v>22</v>
      </c>
      <c r="J1574" s="35">
        <f>IF(VENTAS[[#This Row],[Nombre del Gestor]]&gt;1,VENTAS[[#This Row],[Total]]*10%,0)</f>
        <v>2.2</v>
      </c>
      <c r="K1574" s="35">
        <f>IFERROR(VLOOKUP(VENTAS[[#This Row],[Código del producto Vendido]],STOCK[],16,FALSE)*VENTAS[[#This Row],[Cantidad]]+VLOOKUP(VENTAS[[#This Row],[Código del producto Vendido]],STOCK[],19,FALSE)*VENTAS[[#This Row],[Cantidad]],VENTAS[[#This Row],[Total]])</f>
        <v>10.52</v>
      </c>
      <c r="L1574" s="35">
        <f>VENTAS[[#This Row],[Total]]-VENTAS[[#This Row],[Comisión 10%]]-VENTAS[[#This Row],[Costo SIN Comision]]</f>
        <v>9.28</v>
      </c>
      <c r="M1574" s="35"/>
    </row>
    <row r="1575" ht="20" customHeight="1" spans="1:13">
      <c r="A1575" s="29"/>
      <c r="B1575" s="30"/>
      <c r="C1575" s="30"/>
      <c r="D1575" s="30"/>
      <c r="E1575" s="30" t="s">
        <v>2854</v>
      </c>
      <c r="F1575" s="34" t="str">
        <f>IFERROR(VLOOKUP(VENTAS[[#This Row],[Código del producto Vendido]],STOCK[],5,FALSE),"-")</f>
        <v>Bolso cuadrado tejido de rafia Tamaño grande Color Carmelita</v>
      </c>
      <c r="G1575" s="34">
        <v>1</v>
      </c>
      <c r="H1575" s="35">
        <v>25</v>
      </c>
      <c r="I1575" s="35">
        <f>VENTAS[[#This Row],[Cantidad]]*VENTAS[[#This Row],[Precio Venta]]</f>
        <v>25</v>
      </c>
      <c r="J1575" s="35">
        <f>IF(VENTAS[[#This Row],[Nombre del Gestor]]&gt;1,VENTAS[[#This Row],[Total]]*10%,0)</f>
        <v>0</v>
      </c>
      <c r="K1575" s="35">
        <f>IFERROR(VLOOKUP(VENTAS[[#This Row],[Código del producto Vendido]],STOCK[],16,FALSE)*VENTAS[[#This Row],[Cantidad]]+VLOOKUP(VENTAS[[#This Row],[Código del producto Vendido]],STOCK[],19,FALSE)*VENTAS[[#This Row],[Cantidad]],VENTAS[[#This Row],[Total]])</f>
        <v>14.85</v>
      </c>
      <c r="L1575" s="35">
        <f>VENTAS[[#This Row],[Total]]-VENTAS[[#This Row],[Comisión 10%]]-VENTAS[[#This Row],[Costo SIN Comision]]</f>
        <v>10.15</v>
      </c>
      <c r="M1575" s="35"/>
    </row>
    <row r="1576" ht="20" customHeight="1" spans="1:13">
      <c r="A1576" s="29"/>
      <c r="B1576" s="30"/>
      <c r="C1576" s="30"/>
      <c r="D1576" s="30"/>
      <c r="E1576" s="30" t="s">
        <v>2864</v>
      </c>
      <c r="F1576" s="34" t="str">
        <f>IFERROR(VLOOKUP(VENTAS[[#This Row],[Código del producto Vendido]],STOCK[],5,FALSE),"-")</f>
        <v>Blusa corta de mangas abombadas de lazos delanteros color rojo</v>
      </c>
      <c r="G1576" s="34">
        <v>1</v>
      </c>
      <c r="H1576" s="35">
        <v>18</v>
      </c>
      <c r="I1576" s="35">
        <f>VENTAS[[#This Row],[Cantidad]]*VENTAS[[#This Row],[Precio Venta]]</f>
        <v>18</v>
      </c>
      <c r="J1576" s="35">
        <f>IF(VENTAS[[#This Row],[Nombre del Gestor]]&gt;1,VENTAS[[#This Row],[Total]]*10%,0)</f>
        <v>0</v>
      </c>
      <c r="K1576" s="35">
        <f>IFERROR(VLOOKUP(VENTAS[[#This Row],[Código del producto Vendido]],STOCK[],16,FALSE)*VENTAS[[#This Row],[Cantidad]]+VLOOKUP(VENTAS[[#This Row],[Código del producto Vendido]],STOCK[],19,FALSE)*VENTAS[[#This Row],[Cantidad]],VENTAS[[#This Row],[Total]])</f>
        <v>10.18</v>
      </c>
      <c r="L1576" s="35">
        <f>VENTAS[[#This Row],[Total]]-VENTAS[[#This Row],[Comisión 10%]]-VENTAS[[#This Row],[Costo SIN Comision]]</f>
        <v>7.82</v>
      </c>
      <c r="M1576" s="35"/>
    </row>
    <row r="1577" ht="20" customHeight="1" spans="1:13">
      <c r="A1577" s="29">
        <v>45575</v>
      </c>
      <c r="B1577" s="30"/>
      <c r="C1577" s="30" t="s">
        <v>3729</v>
      </c>
      <c r="D1577" s="30" t="s">
        <v>3605</v>
      </c>
      <c r="E1577" s="30" t="s">
        <v>2879</v>
      </c>
      <c r="F1577" s="34" t="str">
        <f>IFERROR(VLOOKUP(VENTAS[[#This Row],[Código del producto Vendido]],STOCK[],5,FALSE),"-")</f>
        <v>Mono Sailor con botón delantero y cinturón naranja quemada</v>
      </c>
      <c r="G1577" s="34">
        <v>1</v>
      </c>
      <c r="H1577" s="35">
        <v>30</v>
      </c>
      <c r="I1577" s="35">
        <f>VENTAS[[#This Row],[Cantidad]]*VENTAS[[#This Row],[Precio Venta]]</f>
        <v>30</v>
      </c>
      <c r="J1577" s="35">
        <f>IF(VENTAS[[#This Row],[Nombre del Gestor]]&gt;1,VENTAS[[#This Row],[Total]]*10%,0)</f>
        <v>3</v>
      </c>
      <c r="K1577" s="35">
        <f>IFERROR(VLOOKUP(VENTAS[[#This Row],[Código del producto Vendido]],STOCK[],16,FALSE)*VENTAS[[#This Row],[Cantidad]]+VLOOKUP(VENTAS[[#This Row],[Código del producto Vendido]],STOCK[],19,FALSE)*VENTAS[[#This Row],[Cantidad]],VENTAS[[#This Row],[Total]])</f>
        <v>11.57</v>
      </c>
      <c r="L1577" s="35">
        <f>VENTAS[[#This Row],[Total]]-VENTAS[[#This Row],[Comisión 10%]]-VENTAS[[#This Row],[Costo SIN Comision]]</f>
        <v>15.43</v>
      </c>
      <c r="M1577" s="35"/>
    </row>
    <row r="1578" ht="20" customHeight="1" spans="1:13">
      <c r="A1578" s="29">
        <v>45574</v>
      </c>
      <c r="B1578" s="30"/>
      <c r="C1578" s="30"/>
      <c r="D1578" s="30" t="s">
        <v>3605</v>
      </c>
      <c r="E1578" s="30" t="s">
        <v>2826</v>
      </c>
      <c r="F1578" s="34" t="str">
        <f>IFERROR(VLOOKUP(VENTAS[[#This Row],[Código del producto Vendido]],STOCK[],5,FALSE),"-")</f>
        <v>Bolso tejido redondo de gran capacidad Ojo Turco</v>
      </c>
      <c r="G1578" s="34">
        <v>1</v>
      </c>
      <c r="H1578" s="35">
        <v>25</v>
      </c>
      <c r="I1578" s="35">
        <f>VENTAS[[#This Row],[Cantidad]]*VENTAS[[#This Row],[Precio Venta]]</f>
        <v>25</v>
      </c>
      <c r="J1578" s="35">
        <f>IF(VENTAS[[#This Row],[Nombre del Gestor]]&gt;1,VENTAS[[#This Row],[Total]]*10%,0)</f>
        <v>2.5</v>
      </c>
      <c r="K1578" s="35">
        <f>IFERROR(VLOOKUP(VENTAS[[#This Row],[Código del producto Vendido]],STOCK[],16,FALSE)*VENTAS[[#This Row],[Cantidad]]+VLOOKUP(VENTAS[[#This Row],[Código del producto Vendido]],STOCK[],19,FALSE)*VENTAS[[#This Row],[Cantidad]],VENTAS[[#This Row],[Total]])</f>
        <v>13.03</v>
      </c>
      <c r="L1578" s="35">
        <f>VENTAS[[#This Row],[Total]]-VENTAS[[#This Row],[Comisión 10%]]-VENTAS[[#This Row],[Costo SIN Comision]]</f>
        <v>9.47</v>
      </c>
      <c r="M1578" s="35"/>
    </row>
    <row r="1579" ht="20" customHeight="1" spans="1:13">
      <c r="A1579" s="29"/>
      <c r="B1579" s="30"/>
      <c r="C1579" s="30"/>
      <c r="D1579" s="30"/>
      <c r="E1579" s="30"/>
      <c r="F1579" s="34" t="str">
        <f>IFERROR(VLOOKUP(VENTAS[[#This Row],[Código del producto Vendido]],STOCK[],5,FALSE),"-")</f>
        <v>-</v>
      </c>
      <c r="G1579" s="34"/>
      <c r="H1579" s="35"/>
      <c r="I1579" s="35">
        <f>VENTAS[[#This Row],[Cantidad]]*VENTAS[[#This Row],[Precio Venta]]</f>
        <v>0</v>
      </c>
      <c r="J1579" s="35">
        <f>IF(VENTAS[[#This Row],[Nombre del Gestor]]&gt;1,VENTAS[[#This Row],[Total]]*10%,0)</f>
        <v>0</v>
      </c>
      <c r="K1579" s="35">
        <f>IFERROR(VLOOKUP(VENTAS[[#This Row],[Código del producto Vendido]],STOCK[],16,FALSE)*VENTAS[[#This Row],[Cantidad]]+VLOOKUP(VENTAS[[#This Row],[Código del producto Vendido]],STOCK[],19,FALSE)*VENTAS[[#This Row],[Cantidad]],VENTAS[[#This Row],[Total]])</f>
        <v>0</v>
      </c>
      <c r="L1579" s="35">
        <f>VENTAS[[#This Row],[Total]]-VENTAS[[#This Row],[Comisión 10%]]-VENTAS[[#This Row],[Costo SIN Comision]]</f>
        <v>0</v>
      </c>
      <c r="M1579" s="35"/>
    </row>
    <row r="1580" ht="20" customHeight="1" spans="1:13">
      <c r="A1580" s="29">
        <v>45566</v>
      </c>
      <c r="B1580" s="30"/>
      <c r="C1580" s="30"/>
      <c r="D1580" s="30" t="s">
        <v>3513</v>
      </c>
      <c r="E1580" s="30" t="s">
        <v>2932</v>
      </c>
      <c r="F1580" s="34" t="str">
        <f>IFERROR(VLOOKUP(VENTAS[[#This Row],[Código del producto Vendido]],STOCK[],5,FALSE),"-")</f>
        <v>Sandalias cómodas para mujer con adorno de clip dorado</v>
      </c>
      <c r="G1580" s="34">
        <v>1</v>
      </c>
      <c r="H1580" s="35">
        <v>18</v>
      </c>
      <c r="I1580" s="35">
        <f>VENTAS[[#This Row],[Cantidad]]*VENTAS[[#This Row],[Precio Venta]]</f>
        <v>18</v>
      </c>
      <c r="J1580" s="35">
        <f>IF(VENTAS[[#This Row],[Nombre del Gestor]]&gt;1,VENTAS[[#This Row],[Total]]*10%,0)</f>
        <v>1.8</v>
      </c>
      <c r="K1580" s="35">
        <f>IFERROR(VLOOKUP(VENTAS[[#This Row],[Código del producto Vendido]],STOCK[],16,FALSE)*VENTAS[[#This Row],[Cantidad]]+VLOOKUP(VENTAS[[#This Row],[Código del producto Vendido]],STOCK[],19,FALSE)*VENTAS[[#This Row],[Cantidad]],VENTAS[[#This Row],[Total]])</f>
        <v>9.46</v>
      </c>
      <c r="L1580" s="35">
        <f>VENTAS[[#This Row],[Total]]-VENTAS[[#This Row],[Comisión 10%]]-VENTAS[[#This Row],[Costo SIN Comision]]</f>
        <v>6.74</v>
      </c>
      <c r="M1580" s="35"/>
    </row>
    <row r="1581" ht="20" customHeight="1" spans="1:13">
      <c r="A1581" s="29">
        <v>45536</v>
      </c>
      <c r="B1581" s="30"/>
      <c r="C1581" s="30"/>
      <c r="D1581" s="30"/>
      <c r="E1581" s="30" t="s">
        <v>2954</v>
      </c>
      <c r="F1581" s="34" t="str">
        <f>IFERROR(VLOOKUP(VENTAS[[#This Row],[Código del producto Vendido]],STOCK[],5,FALSE),"-")</f>
        <v>Vestido elegante largo ajustado con hombro atado</v>
      </c>
      <c r="G1581" s="34">
        <v>1</v>
      </c>
      <c r="H1581" s="35">
        <v>25</v>
      </c>
      <c r="I1581" s="35">
        <f>VENTAS[[#This Row],[Cantidad]]*VENTAS[[#This Row],[Precio Venta]]</f>
        <v>25</v>
      </c>
      <c r="J1581" s="35">
        <f>IF(VENTAS[[#This Row],[Nombre del Gestor]]&gt;1,VENTAS[[#This Row],[Total]]*10%,0)</f>
        <v>0</v>
      </c>
      <c r="K1581" s="35">
        <f>IFERROR(VLOOKUP(VENTAS[[#This Row],[Código del producto Vendido]],STOCK[],16,FALSE)*VENTAS[[#This Row],[Cantidad]]+VLOOKUP(VENTAS[[#This Row],[Código del producto Vendido]],STOCK[],19,FALSE)*VENTAS[[#This Row],[Cantidad]],VENTAS[[#This Row],[Total]])</f>
        <v>15.13</v>
      </c>
      <c r="L1581" s="35">
        <f>VENTAS[[#This Row],[Total]]-VENTAS[[#This Row],[Comisión 10%]]-VENTAS[[#This Row],[Costo SIN Comision]]</f>
        <v>9.87</v>
      </c>
      <c r="M1581" s="35"/>
    </row>
    <row r="1582" ht="20" customHeight="1" spans="1:13">
      <c r="A1582" s="29">
        <v>45567</v>
      </c>
      <c r="B1582" s="30"/>
      <c r="C1582" s="30"/>
      <c r="D1582" s="30" t="s">
        <v>3605</v>
      </c>
      <c r="E1582" s="30" t="s">
        <v>2986</v>
      </c>
      <c r="F1582" s="34" t="str">
        <f>IFERROR(VLOOKUP(VENTAS[[#This Row],[Código del producto Vendido]],STOCK[],5,FALSE),"-")</f>
        <v>Traje de baño casual con ajustes laterales</v>
      </c>
      <c r="G1582" s="34">
        <v>1</v>
      </c>
      <c r="H1582" s="35">
        <v>20</v>
      </c>
      <c r="I1582" s="35">
        <f>VENTAS[[#This Row],[Cantidad]]*VENTAS[[#This Row],[Precio Venta]]</f>
        <v>20</v>
      </c>
      <c r="J1582" s="35">
        <f>IF(VENTAS[[#This Row],[Nombre del Gestor]]&gt;1,VENTAS[[#This Row],[Total]]*10%,0)</f>
        <v>2</v>
      </c>
      <c r="K1582" s="35">
        <f>IFERROR(VLOOKUP(VENTAS[[#This Row],[Código del producto Vendido]],STOCK[],16,FALSE)*VENTAS[[#This Row],[Cantidad]]+VLOOKUP(VENTAS[[#This Row],[Código del producto Vendido]],STOCK[],19,FALSE)*VENTAS[[#This Row],[Cantidad]],VENTAS[[#This Row],[Total]])</f>
        <v>10.62</v>
      </c>
      <c r="L1582" s="35">
        <f>VENTAS[[#This Row],[Total]]-VENTAS[[#This Row],[Comisión 10%]]-VENTAS[[#This Row],[Costo SIN Comision]]</f>
        <v>7.38</v>
      </c>
      <c r="M1582" s="35"/>
    </row>
    <row r="1583" ht="20" customHeight="1" spans="1:13">
      <c r="A1583" s="29">
        <v>45575</v>
      </c>
      <c r="B1583" s="30"/>
      <c r="C1583" s="30"/>
      <c r="D1583" s="30" t="s">
        <v>3512</v>
      </c>
      <c r="E1583" s="30" t="s">
        <v>2990</v>
      </c>
      <c r="F1583" s="34" t="str">
        <f>IFERROR(VLOOKUP(VENTAS[[#This Row],[Código del producto Vendido]],STOCK[],5,FALSE),"-")</f>
        <v>Camiseta de moda con estampado de cereza</v>
      </c>
      <c r="G1583" s="34">
        <v>1</v>
      </c>
      <c r="H1583" s="35">
        <v>15</v>
      </c>
      <c r="I1583" s="35">
        <f>VENTAS[[#This Row],[Cantidad]]*VENTAS[[#This Row],[Precio Venta]]</f>
        <v>15</v>
      </c>
      <c r="J1583" s="35">
        <f>IF(VENTAS[[#This Row],[Nombre del Gestor]]&gt;1,VENTAS[[#This Row],[Total]]*10%,0)</f>
        <v>1.5</v>
      </c>
      <c r="K1583" s="35">
        <f>IFERROR(VLOOKUP(VENTAS[[#This Row],[Código del producto Vendido]],STOCK[],16,FALSE)*VENTAS[[#This Row],[Cantidad]]+VLOOKUP(VENTAS[[#This Row],[Código del producto Vendido]],STOCK[],19,FALSE)*VENTAS[[#This Row],[Cantidad]],VENTAS[[#This Row],[Total]])</f>
        <v>5.92</v>
      </c>
      <c r="L1583" s="35">
        <f>VENTAS[[#This Row],[Total]]-VENTAS[[#This Row],[Comisión 10%]]-VENTAS[[#This Row],[Costo SIN Comision]]</f>
        <v>7.58</v>
      </c>
      <c r="M1583" s="35"/>
    </row>
    <row r="1584" ht="20" customHeight="1" spans="1:13">
      <c r="A1584" s="29">
        <v>45566</v>
      </c>
      <c r="B1584" s="30"/>
      <c r="C1584" s="30"/>
      <c r="D1584" s="30" t="s">
        <v>3616</v>
      </c>
      <c r="E1584" s="30" t="s">
        <v>2994</v>
      </c>
      <c r="F1584" s="34" t="str">
        <f>IFERROR(VLOOKUP(VENTAS[[#This Row],[Código del producto Vendido]],STOCK[],5,FALSE),"-")</f>
        <v>Camiseta de moda con estampado de cereza</v>
      </c>
      <c r="G1584" s="34">
        <v>1</v>
      </c>
      <c r="H1584" s="35">
        <v>15</v>
      </c>
      <c r="I1584" s="35">
        <f>VENTAS[[#This Row],[Cantidad]]*VENTAS[[#This Row],[Precio Venta]]</f>
        <v>15</v>
      </c>
      <c r="J1584" s="35">
        <f>IF(VENTAS[[#This Row],[Nombre del Gestor]]&gt;1,VENTAS[[#This Row],[Total]]*10%,0)</f>
        <v>1.5</v>
      </c>
      <c r="K1584" s="35">
        <f>IFERROR(VLOOKUP(VENTAS[[#This Row],[Código del producto Vendido]],STOCK[],16,FALSE)*VENTAS[[#This Row],[Cantidad]]+VLOOKUP(VENTAS[[#This Row],[Código del producto Vendido]],STOCK[],19,FALSE)*VENTAS[[#This Row],[Cantidad]],VENTAS[[#This Row],[Total]])</f>
        <v>5.92</v>
      </c>
      <c r="L1584" s="35">
        <f>VENTAS[[#This Row],[Total]]-VENTAS[[#This Row],[Comisión 10%]]-VENTAS[[#This Row],[Costo SIN Comision]]</f>
        <v>7.58</v>
      </c>
      <c r="M1584" s="35"/>
    </row>
    <row r="1585" ht="20" customHeight="1" spans="1:13">
      <c r="A1585" s="29">
        <v>45566</v>
      </c>
      <c r="B1585" s="30"/>
      <c r="C1585" s="30"/>
      <c r="D1585" s="30" t="s">
        <v>3667</v>
      </c>
      <c r="E1585" s="30" t="s">
        <v>2973</v>
      </c>
      <c r="F1585" s="34" t="str">
        <f>IFERROR(VLOOKUP(VENTAS[[#This Row],[Código del producto Vendido]],STOCK[],5,FALSE),"-")</f>
        <v>Bolsa casual con diseño de gato y mariposa de tamaño mediano</v>
      </c>
      <c r="G1585" s="34">
        <v>1</v>
      </c>
      <c r="H1585" s="35">
        <v>12</v>
      </c>
      <c r="I1585" s="35">
        <f>VENTAS[[#This Row],[Cantidad]]*VENTAS[[#This Row],[Precio Venta]]</f>
        <v>12</v>
      </c>
      <c r="J1585" s="35">
        <f>IF(VENTAS[[#This Row],[Nombre del Gestor]]&gt;1,VENTAS[[#This Row],[Total]]*10%,0)</f>
        <v>1.2</v>
      </c>
      <c r="K1585" s="35">
        <f>IFERROR(VLOOKUP(VENTAS[[#This Row],[Código del producto Vendido]],STOCK[],16,FALSE)*VENTAS[[#This Row],[Cantidad]]+VLOOKUP(VENTAS[[#This Row],[Código del producto Vendido]],STOCK[],19,FALSE)*VENTAS[[#This Row],[Cantidad]],VENTAS[[#This Row],[Total]])</f>
        <v>4.64</v>
      </c>
      <c r="L1585" s="35">
        <f>VENTAS[[#This Row],[Total]]-VENTAS[[#This Row],[Comisión 10%]]-VENTAS[[#This Row],[Costo SIN Comision]]</f>
        <v>6.16</v>
      </c>
      <c r="M1585" s="35"/>
    </row>
    <row r="1586" ht="20" customHeight="1" spans="1:13">
      <c r="A1586" s="29">
        <v>45536</v>
      </c>
      <c r="B1586" s="30"/>
      <c r="C1586" s="30"/>
      <c r="D1586" s="30"/>
      <c r="E1586" s="30" t="s">
        <v>2972</v>
      </c>
      <c r="F1586" s="34" t="str">
        <f>IFERROR(VLOOKUP(VENTAS[[#This Row],[Código del producto Vendido]],STOCK[],5,FALSE),"-")</f>
        <v>Vestido de un hombro con abertura trasera color azul celeste</v>
      </c>
      <c r="G1586" s="34">
        <v>1</v>
      </c>
      <c r="H1586" s="35">
        <v>25</v>
      </c>
      <c r="I1586" s="35">
        <f>VENTAS[[#This Row],[Cantidad]]*VENTAS[[#This Row],[Precio Venta]]</f>
        <v>25</v>
      </c>
      <c r="J1586" s="35">
        <f>IF(VENTAS[[#This Row],[Nombre del Gestor]]&gt;1,VENTAS[[#This Row],[Total]]*10%,0)</f>
        <v>0</v>
      </c>
      <c r="K1586" s="35">
        <f>IFERROR(VLOOKUP(VENTAS[[#This Row],[Código del producto Vendido]],STOCK[],16,FALSE)*VENTAS[[#This Row],[Cantidad]]+VLOOKUP(VENTAS[[#This Row],[Código del producto Vendido]],STOCK[],19,FALSE)*VENTAS[[#This Row],[Cantidad]],VENTAS[[#This Row],[Total]])</f>
        <v>12.32</v>
      </c>
      <c r="L1586" s="35">
        <f>VENTAS[[#This Row],[Total]]-VENTAS[[#This Row],[Comisión 10%]]-VENTAS[[#This Row],[Costo SIN Comision]]</f>
        <v>12.68</v>
      </c>
      <c r="M1586" s="35"/>
    </row>
    <row r="1587" ht="20" customHeight="1" spans="1:13">
      <c r="A1587" s="29"/>
      <c r="B1587" s="30"/>
      <c r="C1587" s="30"/>
      <c r="D1587" s="30"/>
      <c r="E1587" s="30" t="s">
        <v>2968</v>
      </c>
      <c r="F1587" s="34" t="str">
        <f>IFERROR(VLOOKUP(VENTAS[[#This Row],[Código del producto Vendido]],STOCK[],5,FALSE),"-")</f>
        <v>Vestido camisola negro con abertura</v>
      </c>
      <c r="G1587" s="34">
        <v>1</v>
      </c>
      <c r="H1587" s="35">
        <v>20</v>
      </c>
      <c r="I1587" s="35">
        <f>VENTAS[[#This Row],[Cantidad]]*VENTAS[[#This Row],[Precio Venta]]</f>
        <v>20</v>
      </c>
      <c r="J1587" s="35">
        <f>IF(VENTAS[[#This Row],[Nombre del Gestor]]&gt;1,VENTAS[[#This Row],[Total]]*10%,0)</f>
        <v>0</v>
      </c>
      <c r="K1587" s="35">
        <f>IFERROR(VLOOKUP(VENTAS[[#This Row],[Código del producto Vendido]],STOCK[],16,FALSE)*VENTAS[[#This Row],[Cantidad]]+VLOOKUP(VENTAS[[#This Row],[Código del producto Vendido]],STOCK[],19,FALSE)*VENTAS[[#This Row],[Cantidad]],VENTAS[[#This Row],[Total]])</f>
        <v>7.63</v>
      </c>
      <c r="L1587" s="35">
        <f>VENTAS[[#This Row],[Total]]-VENTAS[[#This Row],[Comisión 10%]]-VENTAS[[#This Row],[Costo SIN Comision]]</f>
        <v>12.37</v>
      </c>
      <c r="M1587" s="35"/>
    </row>
    <row r="1588" ht="20" customHeight="1" spans="1:13">
      <c r="A1588" s="29"/>
      <c r="B1588" s="30"/>
      <c r="C1588" s="30"/>
      <c r="D1588" s="30"/>
      <c r="E1588" s="30" t="s">
        <v>2968</v>
      </c>
      <c r="F1588" s="34" t="str">
        <f>IFERROR(VLOOKUP(VENTAS[[#This Row],[Código del producto Vendido]],STOCK[],5,FALSE),"-")</f>
        <v>Vestido camisola negro con abertura</v>
      </c>
      <c r="G1588" s="34">
        <v>1</v>
      </c>
      <c r="H1588" s="35">
        <v>20</v>
      </c>
      <c r="I1588" s="35">
        <f>VENTAS[[#This Row],[Cantidad]]*VENTAS[[#This Row],[Precio Venta]]</f>
        <v>20</v>
      </c>
      <c r="J1588" s="35">
        <f>IF(VENTAS[[#This Row],[Nombre del Gestor]]&gt;1,VENTAS[[#This Row],[Total]]*10%,0)</f>
        <v>0</v>
      </c>
      <c r="K1588" s="35">
        <f>IFERROR(VLOOKUP(VENTAS[[#This Row],[Código del producto Vendido]],STOCK[],16,FALSE)*VENTAS[[#This Row],[Cantidad]]+VLOOKUP(VENTAS[[#This Row],[Código del producto Vendido]],STOCK[],19,FALSE)*VENTAS[[#This Row],[Cantidad]],VENTAS[[#This Row],[Total]])</f>
        <v>7.63</v>
      </c>
      <c r="L1588" s="35">
        <f>VENTAS[[#This Row],[Total]]-VENTAS[[#This Row],[Comisión 10%]]-VENTAS[[#This Row],[Costo SIN Comision]]</f>
        <v>12.37</v>
      </c>
      <c r="M1588" s="35"/>
    </row>
    <row r="1589" ht="20" customHeight="1" spans="1:13">
      <c r="A1589" s="29"/>
      <c r="B1589" s="30"/>
      <c r="C1589" s="30"/>
      <c r="D1589" s="30"/>
      <c r="E1589" s="30" t="s">
        <v>2965</v>
      </c>
      <c r="F1589" s="34" t="str">
        <f>IFERROR(VLOOKUP(VENTAS[[#This Row],[Código del producto Vendido]],STOCK[],5,FALSE),"-")</f>
        <v>Vestido camisola negro con abertura</v>
      </c>
      <c r="G1589" s="34">
        <v>1</v>
      </c>
      <c r="H1589" s="35">
        <v>20</v>
      </c>
      <c r="I1589" s="35">
        <f>VENTAS[[#This Row],[Cantidad]]*VENTAS[[#This Row],[Precio Venta]]</f>
        <v>20</v>
      </c>
      <c r="J1589" s="35">
        <f>IF(VENTAS[[#This Row],[Nombre del Gestor]]&gt;1,VENTAS[[#This Row],[Total]]*10%,0)</f>
        <v>0</v>
      </c>
      <c r="K1589" s="35">
        <f>IFERROR(VLOOKUP(VENTAS[[#This Row],[Código del producto Vendido]],STOCK[],16,FALSE)*VENTAS[[#This Row],[Cantidad]]+VLOOKUP(VENTAS[[#This Row],[Código del producto Vendido]],STOCK[],19,FALSE)*VENTAS[[#This Row],[Cantidad]],VENTAS[[#This Row],[Total]])</f>
        <v>7.63</v>
      </c>
      <c r="L1589" s="35">
        <f>VENTAS[[#This Row],[Total]]-VENTAS[[#This Row],[Comisión 10%]]-VENTAS[[#This Row],[Costo SIN Comision]]</f>
        <v>12.37</v>
      </c>
      <c r="M1589" s="35"/>
    </row>
    <row r="1590" ht="20" customHeight="1" spans="1:13">
      <c r="A1590" s="29"/>
      <c r="B1590" s="30"/>
      <c r="C1590" s="30"/>
      <c r="D1590" s="30"/>
      <c r="E1590" s="30" t="s">
        <v>2934</v>
      </c>
      <c r="F1590" s="34" t="str">
        <f>IFERROR(VLOOKUP(VENTAS[[#This Row],[Código del producto Vendido]],STOCK[],5,FALSE),"-")</f>
        <v>Sandalias cómodas para mujer con adorno de clip dorado</v>
      </c>
      <c r="G1590" s="34">
        <v>1</v>
      </c>
      <c r="H1590" s="35">
        <v>18</v>
      </c>
      <c r="I1590" s="35">
        <f>VENTAS[[#This Row],[Cantidad]]*VENTAS[[#This Row],[Precio Venta]]</f>
        <v>18</v>
      </c>
      <c r="J1590" s="35">
        <f>IF(VENTAS[[#This Row],[Nombre del Gestor]]&gt;1,VENTAS[[#This Row],[Total]]*10%,0)</f>
        <v>0</v>
      </c>
      <c r="K1590" s="35">
        <f>IFERROR(VLOOKUP(VENTAS[[#This Row],[Código del producto Vendido]],STOCK[],16,FALSE)*VENTAS[[#This Row],[Cantidad]]+VLOOKUP(VENTAS[[#This Row],[Código del producto Vendido]],STOCK[],19,FALSE)*VENTAS[[#This Row],[Cantidad]],VENTAS[[#This Row],[Total]])</f>
        <v>9.46</v>
      </c>
      <c r="L1590" s="35">
        <f>VENTAS[[#This Row],[Total]]-VENTAS[[#This Row],[Comisión 10%]]-VENTAS[[#This Row],[Costo SIN Comision]]</f>
        <v>8.54</v>
      </c>
      <c r="M1590" s="35"/>
    </row>
    <row r="1591" ht="20" customHeight="1" spans="1:13">
      <c r="A1591" s="29">
        <v>45567</v>
      </c>
      <c r="B1591" s="30"/>
      <c r="C1591" s="30"/>
      <c r="D1591" s="30" t="s">
        <v>3605</v>
      </c>
      <c r="E1591" s="30" t="s">
        <v>2958</v>
      </c>
      <c r="F1591" s="34" t="str">
        <f>IFERROR(VLOOKUP(VENTAS[[#This Row],[Código del producto Vendido]],STOCK[],5,FALSE),"-")</f>
        <v>Vestido largo Sexy y elegante de espalda corrida en degradado de color</v>
      </c>
      <c r="G1591" s="34">
        <v>1</v>
      </c>
      <c r="H1591" s="35">
        <v>25</v>
      </c>
      <c r="I1591" s="35">
        <f>VENTAS[[#This Row],[Cantidad]]*VENTAS[[#This Row],[Precio Venta]]</f>
        <v>25</v>
      </c>
      <c r="J1591" s="35">
        <f>IF(VENTAS[[#This Row],[Nombre del Gestor]]&gt;1,VENTAS[[#This Row],[Total]]*10%,0)</f>
        <v>2.5</v>
      </c>
      <c r="K1591" s="35">
        <f>IFERROR(VLOOKUP(VENTAS[[#This Row],[Código del producto Vendido]],STOCK[],16,FALSE)*VENTAS[[#This Row],[Cantidad]]+VLOOKUP(VENTAS[[#This Row],[Código del producto Vendido]],STOCK[],19,FALSE)*VENTAS[[#This Row],[Cantidad]],VENTAS[[#This Row],[Total]])</f>
        <v>13.63</v>
      </c>
      <c r="L1591" s="35">
        <f>VENTAS[[#This Row],[Total]]-VENTAS[[#This Row],[Comisión 10%]]-VENTAS[[#This Row],[Costo SIN Comision]]</f>
        <v>8.87</v>
      </c>
      <c r="M1591" s="35"/>
    </row>
    <row r="1592" ht="20" customHeight="1" spans="1:13">
      <c r="A1592" s="29">
        <v>45575</v>
      </c>
      <c r="B1592" s="30"/>
      <c r="C1592" s="30"/>
      <c r="D1592" s="30" t="s">
        <v>3315</v>
      </c>
      <c r="E1592" s="30" t="s">
        <v>601</v>
      </c>
      <c r="F1592" s="34" t="str">
        <f>IFERROR(VLOOKUP(VENTAS[[#This Row],[Código del producto Vendido]],STOCK[],5,FALSE),"-")</f>
        <v>Vestido floral de mangas farol</v>
      </c>
      <c r="G1592" s="34">
        <v>1</v>
      </c>
      <c r="H1592" s="35">
        <v>18</v>
      </c>
      <c r="I1592" s="35">
        <f>VENTAS[[#This Row],[Cantidad]]*VENTAS[[#This Row],[Precio Venta]]</f>
        <v>18</v>
      </c>
      <c r="J1592" s="35">
        <f>IF(VENTAS[[#This Row],[Nombre del Gestor]]&gt;1,VENTAS[[#This Row],[Total]]*10%,0)</f>
        <v>1.8</v>
      </c>
      <c r="K1592" s="35">
        <f>IFERROR(VLOOKUP(VENTAS[[#This Row],[Código del producto Vendido]],STOCK[],16,FALSE)*VENTAS[[#This Row],[Cantidad]]+VLOOKUP(VENTAS[[#This Row],[Código del producto Vendido]],STOCK[],19,FALSE)*VENTAS[[#This Row],[Cantidad]],VENTAS[[#This Row],[Total]])</f>
        <v>10.7222222222222</v>
      </c>
      <c r="L1592" s="35">
        <f>VENTAS[[#This Row],[Total]]-VENTAS[[#This Row],[Comisión 10%]]-VENTAS[[#This Row],[Costo SIN Comision]]</f>
        <v>5.47777777777778</v>
      </c>
      <c r="M1592" s="35"/>
    </row>
    <row r="1593" ht="20" customHeight="1" spans="1:13">
      <c r="A1593" s="29">
        <v>45575</v>
      </c>
      <c r="B1593" s="30"/>
      <c r="C1593" s="30"/>
      <c r="D1593" s="30" t="s">
        <v>3315</v>
      </c>
      <c r="E1593" s="30" t="s">
        <v>2893</v>
      </c>
      <c r="F1593" s="34" t="str">
        <f>IFERROR(VLOOKUP(VENTAS[[#This Row],[Código del producto Vendido]],STOCK[],5,FALSE),"-")</f>
        <v>Sujetador de gran confort antideslizante sin tirantes color negro</v>
      </c>
      <c r="G1593" s="34">
        <v>1</v>
      </c>
      <c r="H1593" s="35">
        <v>15</v>
      </c>
      <c r="I1593" s="35">
        <f>VENTAS[[#This Row],[Cantidad]]*VENTAS[[#This Row],[Precio Venta]]</f>
        <v>15</v>
      </c>
      <c r="J1593" s="35">
        <f>IF(VENTAS[[#This Row],[Nombre del Gestor]]&gt;1,VENTAS[[#This Row],[Total]]*10%,0)</f>
        <v>1.5</v>
      </c>
      <c r="K1593" s="35">
        <f>IFERROR(VLOOKUP(VENTAS[[#This Row],[Código del producto Vendido]],STOCK[],16,FALSE)*VENTAS[[#This Row],[Cantidad]]+VLOOKUP(VENTAS[[#This Row],[Código del producto Vendido]],STOCK[],19,FALSE)*VENTAS[[#This Row],[Cantidad]],VENTAS[[#This Row],[Total]])</f>
        <v>6.38</v>
      </c>
      <c r="L1593" s="35">
        <f>VENTAS[[#This Row],[Total]]-VENTAS[[#This Row],[Comisión 10%]]-VENTAS[[#This Row],[Costo SIN Comision]]</f>
        <v>7.12</v>
      </c>
      <c r="M1593" s="35"/>
    </row>
    <row r="1594" ht="20" customHeight="1" spans="1:13">
      <c r="A1594" s="29">
        <v>45574</v>
      </c>
      <c r="B1594" s="30"/>
      <c r="C1594" s="30"/>
      <c r="D1594" s="30" t="s">
        <v>3456</v>
      </c>
      <c r="E1594" s="30" t="s">
        <v>2898</v>
      </c>
      <c r="F1594" s="34" t="str">
        <f>IFERROR(VLOOKUP(VENTAS[[#This Row],[Código del producto Vendido]],STOCK[],5,FALSE),"-")</f>
        <v>Sujetador de gran confort antideslizante sin tirantes color negro</v>
      </c>
      <c r="G1594" s="34">
        <v>1</v>
      </c>
      <c r="H1594" s="35">
        <v>15</v>
      </c>
      <c r="I1594" s="35">
        <f>VENTAS[[#This Row],[Cantidad]]*VENTAS[[#This Row],[Precio Venta]]</f>
        <v>15</v>
      </c>
      <c r="J1594" s="35">
        <f>IF(VENTAS[[#This Row],[Nombre del Gestor]]&gt;1,VENTAS[[#This Row],[Total]]*10%,0)</f>
        <v>1.5</v>
      </c>
      <c r="K1594" s="35">
        <f>IFERROR(VLOOKUP(VENTAS[[#This Row],[Código del producto Vendido]],STOCK[],16,FALSE)*VENTAS[[#This Row],[Cantidad]]+VLOOKUP(VENTAS[[#This Row],[Código del producto Vendido]],STOCK[],19,FALSE)*VENTAS[[#This Row],[Cantidad]],VENTAS[[#This Row],[Total]])</f>
        <v>6.38</v>
      </c>
      <c r="L1594" s="35">
        <f>VENTAS[[#This Row],[Total]]-VENTAS[[#This Row],[Comisión 10%]]-VENTAS[[#This Row],[Costo SIN Comision]]</f>
        <v>7.12</v>
      </c>
      <c r="M1594" s="35"/>
    </row>
    <row r="1595" ht="20" customHeight="1" spans="1:13">
      <c r="A1595" s="29">
        <v>45574</v>
      </c>
      <c r="B1595" s="30"/>
      <c r="C1595" s="30"/>
      <c r="D1595" s="30" t="s">
        <v>3456</v>
      </c>
      <c r="E1595" s="30" t="s">
        <v>2903</v>
      </c>
      <c r="F1595" s="34" t="str">
        <f>IFERROR(VLOOKUP(VENTAS[[#This Row],[Código del producto Vendido]],STOCK[],5,FALSE),"-")</f>
        <v>Sujetador de gran confort antideslizante sin tirantes color crema</v>
      </c>
      <c r="G1595" s="34">
        <v>1</v>
      </c>
      <c r="H1595" s="35">
        <v>15</v>
      </c>
      <c r="I1595" s="35">
        <f>VENTAS[[#This Row],[Cantidad]]*VENTAS[[#This Row],[Precio Venta]]</f>
        <v>15</v>
      </c>
      <c r="J1595" s="35">
        <f>IF(VENTAS[[#This Row],[Nombre del Gestor]]&gt;1,VENTAS[[#This Row],[Total]]*10%,0)</f>
        <v>1.5</v>
      </c>
      <c r="K1595" s="35">
        <f>IFERROR(VLOOKUP(VENTAS[[#This Row],[Código del producto Vendido]],STOCK[],16,FALSE)*VENTAS[[#This Row],[Cantidad]]+VLOOKUP(VENTAS[[#This Row],[Código del producto Vendido]],STOCK[],19,FALSE)*VENTAS[[#This Row],[Cantidad]],VENTAS[[#This Row],[Total]])</f>
        <v>8.15</v>
      </c>
      <c r="L1595" s="35">
        <f>VENTAS[[#This Row],[Total]]-VENTAS[[#This Row],[Comisión 10%]]-VENTAS[[#This Row],[Costo SIN Comision]]</f>
        <v>5.35</v>
      </c>
      <c r="M1595" s="35"/>
    </row>
    <row r="1596" ht="20" customHeight="1" spans="1:13">
      <c r="A1596" s="29">
        <v>45575</v>
      </c>
      <c r="B1596" s="30"/>
      <c r="C1596" s="30"/>
      <c r="D1596" s="30" t="s">
        <v>3510</v>
      </c>
      <c r="E1596" s="30" t="s">
        <v>2826</v>
      </c>
      <c r="F1596" s="34" t="str">
        <f>IFERROR(VLOOKUP(VENTAS[[#This Row],[Código del producto Vendido]],STOCK[],5,FALSE),"-")</f>
        <v>Bolso tejido redondo de gran capacidad Ojo Turco</v>
      </c>
      <c r="G1596" s="34">
        <v>1</v>
      </c>
      <c r="H1596" s="35">
        <v>25</v>
      </c>
      <c r="I1596" s="35">
        <f>VENTAS[[#This Row],[Cantidad]]*VENTAS[[#This Row],[Precio Venta]]</f>
        <v>25</v>
      </c>
      <c r="J1596" s="35">
        <f>IF(VENTAS[[#This Row],[Nombre del Gestor]]&gt;1,VENTAS[[#This Row],[Total]]*10%,0)</f>
        <v>2.5</v>
      </c>
      <c r="K1596" s="35">
        <f>IFERROR(VLOOKUP(VENTAS[[#This Row],[Código del producto Vendido]],STOCK[],16,FALSE)*VENTAS[[#This Row],[Cantidad]]+VLOOKUP(VENTAS[[#This Row],[Código del producto Vendido]],STOCK[],19,FALSE)*VENTAS[[#This Row],[Cantidad]],VENTAS[[#This Row],[Total]])</f>
        <v>13.03</v>
      </c>
      <c r="L1596" s="35">
        <f>VENTAS[[#This Row],[Total]]-VENTAS[[#This Row],[Comisión 10%]]-VENTAS[[#This Row],[Costo SIN Comision]]</f>
        <v>9.47</v>
      </c>
      <c r="M1596" s="35"/>
    </row>
    <row r="1597" ht="20" customHeight="1" spans="1:13">
      <c r="A1597" s="29">
        <v>45574</v>
      </c>
      <c r="B1597" s="30"/>
      <c r="C1597" s="30"/>
      <c r="D1597" s="30" t="s">
        <v>3512</v>
      </c>
      <c r="E1597" s="30" t="s">
        <v>2937</v>
      </c>
      <c r="F1597" s="34" t="str">
        <f>IFERROR(VLOOKUP(VENTAS[[#This Row],[Código del producto Vendido]],STOCK[],5,FALSE),"-")</f>
        <v>Vestido maxi sólido con espalda ajustable</v>
      </c>
      <c r="G1597" s="34">
        <v>1</v>
      </c>
      <c r="H1597" s="35">
        <v>25</v>
      </c>
      <c r="I1597" s="35">
        <f>VENTAS[[#This Row],[Cantidad]]*VENTAS[[#This Row],[Precio Venta]]</f>
        <v>25</v>
      </c>
      <c r="J1597" s="35">
        <f>IF(VENTAS[[#This Row],[Nombre del Gestor]]&gt;1,VENTAS[[#This Row],[Total]]*10%,0)</f>
        <v>2.5</v>
      </c>
      <c r="K1597" s="35">
        <f>IFERROR(VLOOKUP(VENTAS[[#This Row],[Código del producto Vendido]],STOCK[],16,FALSE)*VENTAS[[#This Row],[Cantidad]]+VLOOKUP(VENTAS[[#This Row],[Código del producto Vendido]],STOCK[],19,FALSE)*VENTAS[[#This Row],[Cantidad]],VENTAS[[#This Row],[Total]])</f>
        <v>10.79</v>
      </c>
      <c r="L1597" s="35">
        <f>VENTAS[[#This Row],[Total]]-VENTAS[[#This Row],[Comisión 10%]]-VENTAS[[#This Row],[Costo SIN Comision]]</f>
        <v>11.71</v>
      </c>
      <c r="M1597" s="35"/>
    </row>
    <row r="1598" ht="20" customHeight="1" spans="1:13">
      <c r="A1598" s="29">
        <v>45572</v>
      </c>
      <c r="B1598" s="30"/>
      <c r="C1598" s="30" t="s">
        <v>3622</v>
      </c>
      <c r="D1598" s="30" t="s">
        <v>3506</v>
      </c>
      <c r="E1598" s="30" t="s">
        <v>2845</v>
      </c>
      <c r="F1598" s="34" t="str">
        <f>IFERROR(VLOOKUP(VENTAS[[#This Row],[Código del producto Vendido]],STOCK[],5,FALSE),"-")</f>
        <v>Pantalones largros rayados de moda de gran comodidad</v>
      </c>
      <c r="G1598" s="34">
        <v>1</v>
      </c>
      <c r="H1598" s="35">
        <v>22</v>
      </c>
      <c r="I1598" s="35">
        <f>VENTAS[[#This Row],[Cantidad]]*VENTAS[[#This Row],[Precio Venta]]</f>
        <v>22</v>
      </c>
      <c r="J1598" s="35">
        <f>IF(VENTAS[[#This Row],[Nombre del Gestor]]&gt;1,VENTAS[[#This Row],[Total]]*10%,0)</f>
        <v>2.2</v>
      </c>
      <c r="K1598" s="35">
        <f>IFERROR(VLOOKUP(VENTAS[[#This Row],[Código del producto Vendido]],STOCK[],16,FALSE)*VENTAS[[#This Row],[Cantidad]]+VLOOKUP(VENTAS[[#This Row],[Código del producto Vendido]],STOCK[],19,FALSE)*VENTAS[[#This Row],[Cantidad]],VENTAS[[#This Row],[Total]])</f>
        <v>10.52</v>
      </c>
      <c r="L1598" s="35">
        <f>VENTAS[[#This Row],[Total]]-VENTAS[[#This Row],[Comisión 10%]]-VENTAS[[#This Row],[Costo SIN Comision]]</f>
        <v>9.28</v>
      </c>
      <c r="M1598" s="35"/>
    </row>
    <row r="1599" ht="20" customHeight="1" spans="1:13">
      <c r="A1599" s="29">
        <v>45572</v>
      </c>
      <c r="B1599" s="30"/>
      <c r="C1599" s="30" t="s">
        <v>3622</v>
      </c>
      <c r="D1599" s="30" t="s">
        <v>3506</v>
      </c>
      <c r="E1599" s="30" t="s">
        <v>2429</v>
      </c>
      <c r="F1599" s="34" t="str">
        <f>IFERROR(VLOOKUP(VENTAS[[#This Row],[Código del producto Vendido]],STOCK[],5,FALSE),"-")</f>
        <v>Pantalón ancho con cordón ajustable</v>
      </c>
      <c r="G1599" s="34">
        <v>1</v>
      </c>
      <c r="H1599" s="35">
        <v>23</v>
      </c>
      <c r="I1599" s="35">
        <f>VENTAS[[#This Row],[Cantidad]]*VENTAS[[#This Row],[Precio Venta]]</f>
        <v>23</v>
      </c>
      <c r="J1599" s="35">
        <f>IF(VENTAS[[#This Row],[Nombre del Gestor]]&gt;1,VENTAS[[#This Row],[Total]]*10%,0)</f>
        <v>2.3</v>
      </c>
      <c r="K1599" s="35">
        <f>IFERROR(VLOOKUP(VENTAS[[#This Row],[Código del producto Vendido]],STOCK[],16,FALSE)*VENTAS[[#This Row],[Cantidad]]+VLOOKUP(VENTAS[[#This Row],[Código del producto Vendido]],STOCK[],19,FALSE)*VENTAS[[#This Row],[Cantidad]],VENTAS[[#This Row],[Total]])</f>
        <v>11.4353349001175</v>
      </c>
      <c r="L1599" s="35">
        <f>VENTAS[[#This Row],[Total]]-VENTAS[[#This Row],[Comisión 10%]]-VENTAS[[#This Row],[Costo SIN Comision]]</f>
        <v>9.26466509988249</v>
      </c>
      <c r="M1599" s="35"/>
    </row>
    <row r="1600" ht="20" customHeight="1" spans="1:13">
      <c r="A1600" s="29"/>
      <c r="B1600" s="30"/>
      <c r="C1600" s="30"/>
      <c r="D1600" s="30"/>
      <c r="E1600" s="30" t="s">
        <v>2992</v>
      </c>
      <c r="F1600" s="34" t="str">
        <f>IFERROR(VLOOKUP(VENTAS[[#This Row],[Código del producto Vendido]],STOCK[],5,FALSE),"-")</f>
        <v>Camiseta de moda con estampado de cereza</v>
      </c>
      <c r="G1600" s="34">
        <v>1</v>
      </c>
      <c r="H1600" s="35">
        <v>15</v>
      </c>
      <c r="I1600" s="35">
        <f>VENTAS[[#This Row],[Cantidad]]*VENTAS[[#This Row],[Precio Venta]]</f>
        <v>15</v>
      </c>
      <c r="J1600" s="35">
        <f>IF(VENTAS[[#This Row],[Nombre del Gestor]]&gt;1,VENTAS[[#This Row],[Total]]*10%,0)</f>
        <v>0</v>
      </c>
      <c r="K1600" s="35">
        <f>IFERROR(VLOOKUP(VENTAS[[#This Row],[Código del producto Vendido]],STOCK[],16,FALSE)*VENTAS[[#This Row],[Cantidad]]+VLOOKUP(VENTAS[[#This Row],[Código del producto Vendido]],STOCK[],19,FALSE)*VENTAS[[#This Row],[Cantidad]],VENTAS[[#This Row],[Total]])</f>
        <v>5.92</v>
      </c>
      <c r="L1600" s="35">
        <f>VENTAS[[#This Row],[Total]]-VENTAS[[#This Row],[Comisión 10%]]-VENTAS[[#This Row],[Costo SIN Comision]]</f>
        <v>9.08</v>
      </c>
      <c r="M1600" s="35"/>
    </row>
    <row r="1601" ht="20" customHeight="1" spans="1:13">
      <c r="A1601" s="29">
        <v>45546</v>
      </c>
      <c r="B1601" s="30"/>
      <c r="C1601" s="30" t="s">
        <v>3730</v>
      </c>
      <c r="D1601" s="30" t="s">
        <v>3660</v>
      </c>
      <c r="E1601" s="30" t="s">
        <v>554</v>
      </c>
      <c r="F1601" s="34" t="str">
        <f>IFERROR(VLOOKUP(VENTAS[[#This Row],[Código del producto Vendido]],STOCK[],5,FALSE),"-")</f>
        <v>Sandalias plateadas con pedrería</v>
      </c>
      <c r="G1601" s="34">
        <v>1</v>
      </c>
      <c r="H1601" s="35">
        <v>25</v>
      </c>
      <c r="I1601" s="35">
        <f>VENTAS[[#This Row],[Cantidad]]*VENTAS[[#This Row],[Precio Venta]]</f>
        <v>25</v>
      </c>
      <c r="J1601" s="35">
        <f>IF(VENTAS[[#This Row],[Nombre del Gestor]]&gt;1,VENTAS[[#This Row],[Total]]*10%,0)</f>
        <v>2.5</v>
      </c>
      <c r="K1601" s="35">
        <f>IFERROR(VLOOKUP(VENTAS[[#This Row],[Código del producto Vendido]],STOCK[],16,FALSE)*VENTAS[[#This Row],[Cantidad]]+VLOOKUP(VENTAS[[#This Row],[Código del producto Vendido]],STOCK[],19,FALSE)*VENTAS[[#This Row],[Cantidad]],VENTAS[[#This Row],[Total]])</f>
        <v>26.035</v>
      </c>
      <c r="L1601" s="35">
        <f>VENTAS[[#This Row],[Total]]-VENTAS[[#This Row],[Comisión 10%]]-VENTAS[[#This Row],[Costo SIN Comision]]</f>
        <v>-3.535</v>
      </c>
      <c r="M1601" s="35"/>
    </row>
    <row r="1602" ht="20" customHeight="1" spans="1:13">
      <c r="A1602" s="29"/>
      <c r="B1602" s="30"/>
      <c r="C1602" s="30"/>
      <c r="D1602" s="30" t="s">
        <v>3710</v>
      </c>
      <c r="E1602" s="30" t="s">
        <v>357</v>
      </c>
      <c r="F1602" s="34" t="str">
        <f>IFERROR(VLOOKUP(VENTAS[[#This Row],[Código del producto Vendido]],STOCK[],5,FALSE),"-")</f>
        <v>Vestido elegante de espalda corrida</v>
      </c>
      <c r="G1602" s="34">
        <v>1</v>
      </c>
      <c r="H1602" s="35">
        <v>20</v>
      </c>
      <c r="I1602" s="35">
        <f>VENTAS[[#This Row],[Cantidad]]*VENTAS[[#This Row],[Precio Venta]]</f>
        <v>20</v>
      </c>
      <c r="J1602" s="35">
        <f>IF(VENTAS[[#This Row],[Nombre del Gestor]]&gt;1,VENTAS[[#This Row],[Total]]*10%,0)</f>
        <v>2</v>
      </c>
      <c r="K1602" s="35">
        <f>IFERROR(VLOOKUP(VENTAS[[#This Row],[Código del producto Vendido]],STOCK[],16,FALSE)*VENTAS[[#This Row],[Cantidad]]+VLOOKUP(VENTAS[[#This Row],[Código del producto Vendido]],STOCK[],19,FALSE)*VENTAS[[#This Row],[Cantidad]],VENTAS[[#This Row],[Total]])</f>
        <v>14.1711111111111</v>
      </c>
      <c r="L1602" s="35">
        <f>VENTAS[[#This Row],[Total]]-VENTAS[[#This Row],[Comisión 10%]]-VENTAS[[#This Row],[Costo SIN Comision]]</f>
        <v>3.82888888888889</v>
      </c>
      <c r="M1602" s="35"/>
    </row>
    <row r="1603" ht="20" customHeight="1" spans="1:13">
      <c r="A1603" s="29">
        <v>45575</v>
      </c>
      <c r="B1603" s="30"/>
      <c r="C1603" s="30"/>
      <c r="D1603" s="30" t="s">
        <v>3315</v>
      </c>
      <c r="E1603" s="30" t="s">
        <v>1159</v>
      </c>
      <c r="F1603" s="34" t="str">
        <f>IFERROR(VLOOKUP(VENTAS[[#This Row],[Código del producto Vendido]],STOCK[],5,FALSE),"-")</f>
        <v>Pezoneras de silicona</v>
      </c>
      <c r="G1603" s="34">
        <v>1</v>
      </c>
      <c r="H1603" s="35">
        <v>5</v>
      </c>
      <c r="I1603" s="35">
        <f>VENTAS[[#This Row],[Cantidad]]*VENTAS[[#This Row],[Precio Venta]]</f>
        <v>5</v>
      </c>
      <c r="J1603" s="35">
        <f>IF(VENTAS[[#This Row],[Nombre del Gestor]]&gt;1,VENTAS[[#This Row],[Total]]*10%,0)</f>
        <v>0.5</v>
      </c>
      <c r="K1603" s="35">
        <f>IFERROR(VLOOKUP(VENTAS[[#This Row],[Código del producto Vendido]],STOCK[],16,FALSE)*VENTAS[[#This Row],[Cantidad]]+VLOOKUP(VENTAS[[#This Row],[Código del producto Vendido]],STOCK[],19,FALSE)*VENTAS[[#This Row],[Cantidad]],VENTAS[[#This Row],[Total]])</f>
        <v>2.03</v>
      </c>
      <c r="L1603" s="35">
        <f>VENTAS[[#This Row],[Total]]-VENTAS[[#This Row],[Comisión 10%]]-VENTAS[[#This Row],[Costo SIN Comision]]</f>
        <v>2.47</v>
      </c>
      <c r="M1603" s="35"/>
    </row>
    <row r="1604" ht="20" customHeight="1" spans="1:13">
      <c r="A1604" s="29"/>
      <c r="B1604" s="30"/>
      <c r="C1604" s="30"/>
      <c r="D1604" s="30"/>
      <c r="E1604" s="30" t="s">
        <v>2282</v>
      </c>
      <c r="F1604" s="34" t="str">
        <f>IFERROR(VLOOKUP(VENTAS[[#This Row],[Código del producto Vendido]],STOCK[],5,FALSE),"-")</f>
        <v>Bolso de lienzo estampado de corazón</v>
      </c>
      <c r="G1604" s="34">
        <v>1</v>
      </c>
      <c r="H1604" s="35">
        <v>12</v>
      </c>
      <c r="I1604" s="35">
        <f>VENTAS[[#This Row],[Cantidad]]*VENTAS[[#This Row],[Precio Venta]]</f>
        <v>12</v>
      </c>
      <c r="J1604" s="35">
        <f>IF(VENTAS[[#This Row],[Nombre del Gestor]]&gt;1,VENTAS[[#This Row],[Total]]*10%,0)</f>
        <v>0</v>
      </c>
      <c r="K1604" s="35">
        <f>IFERROR(VLOOKUP(VENTAS[[#This Row],[Código del producto Vendido]],STOCK[],16,FALSE)*VENTAS[[#This Row],[Cantidad]]+VLOOKUP(VENTAS[[#This Row],[Código del producto Vendido]],STOCK[],19,FALSE)*VENTAS[[#This Row],[Cantidad]],VENTAS[[#This Row],[Total]])</f>
        <v>4.23</v>
      </c>
      <c r="L1604" s="35">
        <f>VENTAS[[#This Row],[Total]]-VENTAS[[#This Row],[Comisión 10%]]-VENTAS[[#This Row],[Costo SIN Comision]]</f>
        <v>7.77</v>
      </c>
      <c r="M1604" s="35"/>
    </row>
    <row r="1605" ht="20" customHeight="1" spans="1:13">
      <c r="A1605" s="29"/>
      <c r="B1605" s="30"/>
      <c r="C1605" s="30"/>
      <c r="D1605" s="30" t="s">
        <v>3506</v>
      </c>
      <c r="E1605" s="30" t="s">
        <v>2561</v>
      </c>
      <c r="F1605" s="34" t="str">
        <f>IFERROR(VLOOKUP(VENTAS[[#This Row],[Código del producto Vendido]],STOCK[],5,FALSE),"-")</f>
        <v>Top corto de lazo delantero </v>
      </c>
      <c r="G1605" s="34">
        <v>1</v>
      </c>
      <c r="H1605" s="35">
        <v>17</v>
      </c>
      <c r="I1605" s="35">
        <f>VENTAS[[#This Row],[Cantidad]]*VENTAS[[#This Row],[Precio Venta]]</f>
        <v>17</v>
      </c>
      <c r="J1605" s="35">
        <f>IF(VENTAS[[#This Row],[Nombre del Gestor]]&gt;1,VENTAS[[#This Row],[Total]]*10%,0)</f>
        <v>1.7</v>
      </c>
      <c r="K1605" s="35">
        <f>IFERROR(VLOOKUP(VENTAS[[#This Row],[Código del producto Vendido]],STOCK[],16,FALSE)*VENTAS[[#This Row],[Cantidad]]+VLOOKUP(VENTAS[[#This Row],[Código del producto Vendido]],STOCK[],19,FALSE)*VENTAS[[#This Row],[Cantidad]],VENTAS[[#This Row],[Total]])</f>
        <v>11.45</v>
      </c>
      <c r="L1605" s="35">
        <f>VENTAS[[#This Row],[Total]]-VENTAS[[#This Row],[Comisión 10%]]-VENTAS[[#This Row],[Costo SIN Comision]]</f>
        <v>3.85</v>
      </c>
      <c r="M1605" s="35"/>
    </row>
    <row r="1606" ht="20" customHeight="1" spans="1:13">
      <c r="A1606" s="29"/>
      <c r="B1606" s="30"/>
      <c r="C1606" s="30"/>
      <c r="D1606" s="30"/>
      <c r="E1606" s="30" t="s">
        <v>2964</v>
      </c>
      <c r="F1606" s="34" t="str">
        <f>IFERROR(VLOOKUP(VENTAS[[#This Row],[Código del producto Vendido]],STOCK[],5,FALSE),"-")</f>
        <v>Vestido camisola negro con abertura</v>
      </c>
      <c r="G1606" s="34">
        <v>1</v>
      </c>
      <c r="H1606" s="35">
        <v>20</v>
      </c>
      <c r="I1606" s="35">
        <f>VENTAS[[#This Row],[Cantidad]]*VENTAS[[#This Row],[Precio Venta]]</f>
        <v>20</v>
      </c>
      <c r="J1606" s="35">
        <f>IF(VENTAS[[#This Row],[Nombre del Gestor]]&gt;1,VENTAS[[#This Row],[Total]]*10%,0)</f>
        <v>0</v>
      </c>
      <c r="K1606" s="35">
        <f>IFERROR(VLOOKUP(VENTAS[[#This Row],[Código del producto Vendido]],STOCK[],16,FALSE)*VENTAS[[#This Row],[Cantidad]]+VLOOKUP(VENTAS[[#This Row],[Código del producto Vendido]],STOCK[],19,FALSE)*VENTAS[[#This Row],[Cantidad]],VENTAS[[#This Row],[Total]])</f>
        <v>7.63</v>
      </c>
      <c r="L1606" s="35">
        <f>VENTAS[[#This Row],[Total]]-VENTAS[[#This Row],[Comisión 10%]]-VENTAS[[#This Row],[Costo SIN Comision]]</f>
        <v>12.37</v>
      </c>
      <c r="M1606" s="35"/>
    </row>
    <row r="1607" ht="20" customHeight="1" spans="1:13">
      <c r="A1607" s="29"/>
      <c r="B1607" s="30"/>
      <c r="C1607" s="30"/>
      <c r="D1607" s="30" t="s">
        <v>3703</v>
      </c>
      <c r="E1607" s="30" t="s">
        <v>2966</v>
      </c>
      <c r="F1607" s="34" t="str">
        <f>IFERROR(VLOOKUP(VENTAS[[#This Row],[Código del producto Vendido]],STOCK[],5,FALSE),"-")</f>
        <v>Conjunto de dos prendas elegante-casual color blanco</v>
      </c>
      <c r="G1607" s="34">
        <v>1</v>
      </c>
      <c r="H1607" s="35">
        <v>40</v>
      </c>
      <c r="I1607" s="35">
        <f>VENTAS[[#This Row],[Cantidad]]*VENTAS[[#This Row],[Precio Venta]]</f>
        <v>40</v>
      </c>
      <c r="J1607" s="35">
        <f>IF(VENTAS[[#This Row],[Nombre del Gestor]]&gt;1,VENTAS[[#This Row],[Total]]*10%,0)</f>
        <v>4</v>
      </c>
      <c r="K1607" s="35">
        <f>IFERROR(VLOOKUP(VENTAS[[#This Row],[Código del producto Vendido]],STOCK[],16,FALSE)*VENTAS[[#This Row],[Cantidad]]+VLOOKUP(VENTAS[[#This Row],[Código del producto Vendido]],STOCK[],19,FALSE)*VENTAS[[#This Row],[Cantidad]],VENTAS[[#This Row],[Total]])</f>
        <v>14.57</v>
      </c>
      <c r="L1607" s="35">
        <f>VENTAS[[#This Row],[Total]]-VENTAS[[#This Row],[Comisión 10%]]-VENTAS[[#This Row],[Costo SIN Comision]]</f>
        <v>21.43</v>
      </c>
      <c r="M1607" s="35"/>
    </row>
    <row r="1608" ht="20" customHeight="1" spans="1:13">
      <c r="A1608" s="29"/>
      <c r="B1608" s="30"/>
      <c r="C1608" s="30"/>
      <c r="D1608" s="30"/>
      <c r="E1608" s="30" t="s">
        <v>2993</v>
      </c>
      <c r="F1608" s="34" t="str">
        <f>IFERROR(VLOOKUP(VENTAS[[#This Row],[Código del producto Vendido]],STOCK[],5,FALSE),"-")</f>
        <v>Camiseta de moda con estampado de cereza</v>
      </c>
      <c r="G1608" s="34">
        <v>1</v>
      </c>
      <c r="H1608" s="35">
        <v>15</v>
      </c>
      <c r="I1608" s="35">
        <f>VENTAS[[#This Row],[Cantidad]]*VENTAS[[#This Row],[Precio Venta]]</f>
        <v>15</v>
      </c>
      <c r="J1608" s="35">
        <f>IF(VENTAS[[#This Row],[Nombre del Gestor]]&gt;1,VENTAS[[#This Row],[Total]]*10%,0)</f>
        <v>0</v>
      </c>
      <c r="K1608" s="35">
        <f>IFERROR(VLOOKUP(VENTAS[[#This Row],[Código del producto Vendido]],STOCK[],16,FALSE)*VENTAS[[#This Row],[Cantidad]]+VLOOKUP(VENTAS[[#This Row],[Código del producto Vendido]],STOCK[],19,FALSE)*VENTAS[[#This Row],[Cantidad]],VENTAS[[#This Row],[Total]])</f>
        <v>5.92</v>
      </c>
      <c r="L1608" s="35">
        <f>VENTAS[[#This Row],[Total]]-VENTAS[[#This Row],[Comisión 10%]]-VENTAS[[#This Row],[Costo SIN Comision]]</f>
        <v>9.08</v>
      </c>
      <c r="M1608" s="35"/>
    </row>
    <row r="1609" ht="20" customHeight="1" spans="1:13">
      <c r="A1609" s="29"/>
      <c r="B1609" s="30"/>
      <c r="C1609" s="30"/>
      <c r="D1609" s="30"/>
      <c r="E1609" s="30" t="s">
        <v>2993</v>
      </c>
      <c r="F1609" s="34" t="str">
        <f>IFERROR(VLOOKUP(VENTAS[[#This Row],[Código del producto Vendido]],STOCK[],5,FALSE),"-")</f>
        <v>Camiseta de moda con estampado de cereza</v>
      </c>
      <c r="G1609" s="34">
        <v>1</v>
      </c>
      <c r="H1609" s="35">
        <v>15</v>
      </c>
      <c r="I1609" s="35">
        <f>VENTAS[[#This Row],[Cantidad]]*VENTAS[[#This Row],[Precio Venta]]</f>
        <v>15</v>
      </c>
      <c r="J1609" s="35">
        <f>IF(VENTAS[[#This Row],[Nombre del Gestor]]&gt;1,VENTAS[[#This Row],[Total]]*10%,0)</f>
        <v>0</v>
      </c>
      <c r="K1609" s="35">
        <f>IFERROR(VLOOKUP(VENTAS[[#This Row],[Código del producto Vendido]],STOCK[],16,FALSE)*VENTAS[[#This Row],[Cantidad]]+VLOOKUP(VENTAS[[#This Row],[Código del producto Vendido]],STOCK[],19,FALSE)*VENTAS[[#This Row],[Cantidad]],VENTAS[[#This Row],[Total]])</f>
        <v>5.92</v>
      </c>
      <c r="L1609" s="35">
        <f>VENTAS[[#This Row],[Total]]-VENTAS[[#This Row],[Comisión 10%]]-VENTAS[[#This Row],[Costo SIN Comision]]</f>
        <v>9.08</v>
      </c>
      <c r="M1609" s="35"/>
    </row>
    <row r="1610" ht="20" customHeight="1" spans="1:13">
      <c r="A1610" s="29"/>
      <c r="B1610" s="30"/>
      <c r="C1610" s="30"/>
      <c r="D1610" s="30" t="s">
        <v>3451</v>
      </c>
      <c r="E1610" s="30" t="s">
        <v>2547</v>
      </c>
      <c r="F1610" s="34" t="str">
        <f>IFERROR(VLOOKUP(VENTAS[[#This Row],[Código del producto Vendido]],STOCK[],5,FALSE),"-")</f>
        <v>Pullover largo unicolor tela traslúcida terracota</v>
      </c>
      <c r="G1610" s="34">
        <v>1</v>
      </c>
      <c r="H1610" s="35">
        <v>10</v>
      </c>
      <c r="I1610" s="35">
        <f>VENTAS[[#This Row],[Cantidad]]*VENTAS[[#This Row],[Precio Venta]]</f>
        <v>10</v>
      </c>
      <c r="J1610" s="35">
        <f>IF(VENTAS[[#This Row],[Nombre del Gestor]]&gt;1,VENTAS[[#This Row],[Total]]*10%,0)</f>
        <v>1</v>
      </c>
      <c r="K1610" s="35">
        <f>IFERROR(VLOOKUP(VENTAS[[#This Row],[Código del producto Vendido]],STOCK[],16,FALSE)*VENTAS[[#This Row],[Cantidad]]+VLOOKUP(VENTAS[[#This Row],[Código del producto Vendido]],STOCK[],19,FALSE)*VENTAS[[#This Row],[Cantidad]],VENTAS[[#This Row],[Total]])</f>
        <v>4.32</v>
      </c>
      <c r="L1610" s="35">
        <f>VENTAS[[#This Row],[Total]]-VENTAS[[#This Row],[Comisión 10%]]-VENTAS[[#This Row],[Costo SIN Comision]]</f>
        <v>4.68</v>
      </c>
      <c r="M1610" s="35"/>
    </row>
    <row r="1611" ht="20" customHeight="1" spans="1:13">
      <c r="A1611" s="29"/>
      <c r="B1611" s="30"/>
      <c r="C1611" s="30"/>
      <c r="D1611" s="30" t="s">
        <v>3451</v>
      </c>
      <c r="E1611" s="30" t="s">
        <v>2550</v>
      </c>
      <c r="F1611" s="34" t="str">
        <f>IFERROR(VLOOKUP(VENTAS[[#This Row],[Código del producto Vendido]],STOCK[],5,FALSE),"-")</f>
        <v>Pullover largo unicolor tela traslúcida beige</v>
      </c>
      <c r="G1611" s="34">
        <v>1</v>
      </c>
      <c r="H1611" s="35">
        <v>10</v>
      </c>
      <c r="I1611" s="35">
        <f>VENTAS[[#This Row],[Cantidad]]*VENTAS[[#This Row],[Precio Venta]]</f>
        <v>10</v>
      </c>
      <c r="J1611" s="35">
        <f>IF(VENTAS[[#This Row],[Nombre del Gestor]]&gt;1,VENTAS[[#This Row],[Total]]*10%,0)</f>
        <v>1</v>
      </c>
      <c r="K1611" s="35">
        <f>IFERROR(VLOOKUP(VENTAS[[#This Row],[Código del producto Vendido]],STOCK[],16,FALSE)*VENTAS[[#This Row],[Cantidad]]+VLOOKUP(VENTAS[[#This Row],[Código del producto Vendido]],STOCK[],19,FALSE)*VENTAS[[#This Row],[Cantidad]],VENTAS[[#This Row],[Total]])</f>
        <v>4.32</v>
      </c>
      <c r="L1611" s="35">
        <f>VENTAS[[#This Row],[Total]]-VENTAS[[#This Row],[Comisión 10%]]-VENTAS[[#This Row],[Costo SIN Comision]]</f>
        <v>4.68</v>
      </c>
      <c r="M1611" s="35"/>
    </row>
    <row r="1612" ht="20" customHeight="1" spans="1:13">
      <c r="A1612" s="29"/>
      <c r="B1612" s="30"/>
      <c r="C1612" s="30"/>
      <c r="D1612" s="30"/>
      <c r="E1612" s="30" t="s">
        <v>815</v>
      </c>
      <c r="F1612" s="34" t="str">
        <f>IFERROR(VLOOKUP(VENTAS[[#This Row],[Código del producto Vendido]],STOCK[],5,FALSE),"-")</f>
        <v>Blusa verde menta vuelos</v>
      </c>
      <c r="G1612" s="34">
        <v>1</v>
      </c>
      <c r="H1612" s="35">
        <v>10</v>
      </c>
      <c r="I1612" s="35">
        <f>VENTAS[[#This Row],[Cantidad]]*VENTAS[[#This Row],[Precio Venta]]</f>
        <v>10</v>
      </c>
      <c r="J1612" s="35">
        <f>IF(VENTAS[[#This Row],[Nombre del Gestor]]&gt;1,VENTAS[[#This Row],[Total]]*10%,0)</f>
        <v>0</v>
      </c>
      <c r="K1612" s="35">
        <f>IFERROR(VLOOKUP(VENTAS[[#This Row],[Código del producto Vendido]],STOCK[],16,FALSE)*VENTAS[[#This Row],[Cantidad]]+VLOOKUP(VENTAS[[#This Row],[Código del producto Vendido]],STOCK[],19,FALSE)*VENTAS[[#This Row],[Cantidad]],VENTAS[[#This Row],[Total]])</f>
        <v>6.77777777777778</v>
      </c>
      <c r="L1612" s="35">
        <f>VENTAS[[#This Row],[Total]]-VENTAS[[#This Row],[Comisión 10%]]-VENTAS[[#This Row],[Costo SIN Comision]]</f>
        <v>3.22222222222222</v>
      </c>
      <c r="M1612" s="35"/>
    </row>
    <row r="1613" ht="20" customHeight="1" spans="1:13">
      <c r="A1613" s="29">
        <v>45588</v>
      </c>
      <c r="B1613" s="30"/>
      <c r="C1613" s="30" t="s">
        <v>3731</v>
      </c>
      <c r="D1613" s="30"/>
      <c r="E1613" s="30" t="s">
        <v>3139</v>
      </c>
      <c r="F1613" s="34" t="str">
        <f>IFERROR(VLOOKUP(VENTAS[[#This Row],[Código del producto Vendido]],STOCK[],5,FALSE),"-")</f>
        <v>Suéter oversize de cuello redondo crema con listas finas negras Marca H&amp;M</v>
      </c>
      <c r="G1613" s="34">
        <v>1</v>
      </c>
      <c r="H1613" s="35">
        <v>12</v>
      </c>
      <c r="I1613" s="35">
        <f>VENTAS[[#This Row],[Cantidad]]*VENTAS[[#This Row],[Precio Venta]]</f>
        <v>12</v>
      </c>
      <c r="J1613" s="35">
        <f>IF(VENTAS[[#This Row],[Nombre del Gestor]]&gt;1,VENTAS[[#This Row],[Total]]*10%,0)</f>
        <v>0</v>
      </c>
      <c r="K1613" s="35">
        <f>IFERROR(VLOOKUP(VENTAS[[#This Row],[Código del producto Vendido]],STOCK[],16,FALSE)*VENTAS[[#This Row],[Cantidad]]+VLOOKUP(VENTAS[[#This Row],[Código del producto Vendido]],STOCK[],19,FALSE)*VENTAS[[#This Row],[Cantidad]],VENTAS[[#This Row],[Total]])</f>
        <v>12</v>
      </c>
      <c r="L1613" s="35">
        <f>VENTAS[[#This Row],[Total]]-VENTAS[[#This Row],[Comisión 10%]]-VENTAS[[#This Row],[Costo SIN Comision]]</f>
        <v>0</v>
      </c>
      <c r="M1613" s="35"/>
    </row>
    <row r="1614" ht="20" customHeight="1" spans="1:13">
      <c r="A1614" s="29">
        <v>45588</v>
      </c>
      <c r="B1614" s="30"/>
      <c r="C1614" s="30" t="s">
        <v>3732</v>
      </c>
      <c r="D1614" s="30"/>
      <c r="E1614" s="30" t="s">
        <v>3097</v>
      </c>
      <c r="F1614" s="34" t="str">
        <f>IFERROR(VLOOKUP(VENTAS[[#This Row],[Código del producto Vendido]],STOCK[],5,FALSE),"-")</f>
        <v>Blusa negra con hombreras </v>
      </c>
      <c r="G1614" s="34">
        <v>1</v>
      </c>
      <c r="H1614" s="35">
        <v>8</v>
      </c>
      <c r="I1614" s="35">
        <f>VENTAS[[#This Row],[Cantidad]]*VENTAS[[#This Row],[Precio Venta]]</f>
        <v>8</v>
      </c>
      <c r="J1614" s="35">
        <f>IF(VENTAS[[#This Row],[Nombre del Gestor]]&gt;1,VENTAS[[#This Row],[Total]]*10%,0)</f>
        <v>0</v>
      </c>
      <c r="K1614" s="35">
        <f>IFERROR(VLOOKUP(VENTAS[[#This Row],[Código del producto Vendido]],STOCK[],16,FALSE)*VENTAS[[#This Row],[Cantidad]]+VLOOKUP(VENTAS[[#This Row],[Código del producto Vendido]],STOCK[],19,FALSE)*VENTAS[[#This Row],[Cantidad]],VENTAS[[#This Row],[Total]])</f>
        <v>8</v>
      </c>
      <c r="L1614" s="35">
        <f>VENTAS[[#This Row],[Total]]-VENTAS[[#This Row],[Comisión 10%]]-VENTAS[[#This Row],[Costo SIN Comision]]</f>
        <v>0</v>
      </c>
      <c r="M1614" s="35"/>
    </row>
    <row r="1615" ht="20" customHeight="1" spans="1:13">
      <c r="A1615" s="29">
        <v>45588</v>
      </c>
      <c r="B1615" s="30"/>
      <c r="C1615" s="30" t="s">
        <v>3733</v>
      </c>
      <c r="D1615" s="30"/>
      <c r="E1615" s="30" t="s">
        <v>3158</v>
      </c>
      <c r="F1615" s="34" t="str">
        <f>IFERROR(VLOOKUP(VENTAS[[#This Row],[Código del producto Vendido]],STOCK[],5,FALSE),"-")</f>
        <v>Tanga brasileña color verde de algodón Marca H&amp;M</v>
      </c>
      <c r="G1615" s="34">
        <v>4</v>
      </c>
      <c r="H1615" s="35">
        <v>0.86</v>
      </c>
      <c r="I1615" s="35">
        <f>VENTAS[[#This Row],[Cantidad]]*VENTAS[[#This Row],[Precio Venta]]</f>
        <v>3.44</v>
      </c>
      <c r="J1615" s="35">
        <f>IF(VENTAS[[#This Row],[Nombre del Gestor]]&gt;1,VENTAS[[#This Row],[Total]]*10%,0)</f>
        <v>0</v>
      </c>
      <c r="K1615" s="35">
        <f>IFERROR(VLOOKUP(VENTAS[[#This Row],[Código del producto Vendido]],STOCK[],16,FALSE)*VENTAS[[#This Row],[Cantidad]]+VLOOKUP(VENTAS[[#This Row],[Código del producto Vendido]],STOCK[],19,FALSE)*VENTAS[[#This Row],[Cantidad]],VENTAS[[#This Row],[Total]])</f>
        <v>3.44</v>
      </c>
      <c r="L1615" s="35">
        <f>VENTAS[[#This Row],[Total]]-VENTAS[[#This Row],[Comisión 10%]]-VENTAS[[#This Row],[Costo SIN Comision]]</f>
        <v>0</v>
      </c>
      <c r="M1615" s="35"/>
    </row>
    <row r="1616" ht="20" customHeight="1" spans="1:13">
      <c r="A1616" s="29">
        <v>45588</v>
      </c>
      <c r="B1616" s="30"/>
      <c r="C1616" s="30" t="s">
        <v>3734</v>
      </c>
      <c r="D1616" s="30"/>
      <c r="E1616" s="30" t="s">
        <v>3165</v>
      </c>
      <c r="F1616" s="34" t="str">
        <f>IFERROR(VLOOKUP(VENTAS[[#This Row],[Código del producto Vendido]],STOCK[],5,FALSE),"-")</f>
        <v>Falda negra ajustada a media pierna Marca H&amp;M</v>
      </c>
      <c r="G1616" s="34">
        <v>1</v>
      </c>
      <c r="H1616" s="35">
        <v>6</v>
      </c>
      <c r="I1616" s="35">
        <f>VENTAS[[#This Row],[Cantidad]]*VENTAS[[#This Row],[Precio Venta]]</f>
        <v>6</v>
      </c>
      <c r="J1616" s="35">
        <f>IF(VENTAS[[#This Row],[Nombre del Gestor]]&gt;1,VENTAS[[#This Row],[Total]]*10%,0)</f>
        <v>0</v>
      </c>
      <c r="K1616" s="35">
        <f>IFERROR(VLOOKUP(VENTAS[[#This Row],[Código del producto Vendido]],STOCK[],16,FALSE)*VENTAS[[#This Row],[Cantidad]]+VLOOKUP(VENTAS[[#This Row],[Código del producto Vendido]],STOCK[],19,FALSE)*VENTAS[[#This Row],[Cantidad]],VENTAS[[#This Row],[Total]])</f>
        <v>6</v>
      </c>
      <c r="L1616" s="35">
        <f>VENTAS[[#This Row],[Total]]-VENTAS[[#This Row],[Comisión 10%]]-VENTAS[[#This Row],[Costo SIN Comision]]</f>
        <v>0</v>
      </c>
      <c r="M1616" s="35"/>
    </row>
    <row r="1617" ht="20" customHeight="1" spans="1:13">
      <c r="A1617" s="29">
        <v>45588</v>
      </c>
      <c r="B1617" s="30"/>
      <c r="C1617" s="30" t="s">
        <v>3735</v>
      </c>
      <c r="D1617" s="30"/>
      <c r="E1617" s="30" t="s">
        <v>3169</v>
      </c>
      <c r="F1617" s="34" t="str">
        <f>IFERROR(VLOOKUP(VENTAS[[#This Row],[Código del producto Vendido]],STOCK[],5,FALSE),"-")</f>
        <v>Leggings mallas negros no transparentables Marca H&amp;M</v>
      </c>
      <c r="G1617" s="34">
        <v>1</v>
      </c>
      <c r="H1617" s="35">
        <v>5</v>
      </c>
      <c r="I1617" s="35">
        <f>VENTAS[[#This Row],[Cantidad]]*VENTAS[[#This Row],[Precio Venta]]</f>
        <v>5</v>
      </c>
      <c r="J1617" s="35">
        <f>IF(VENTAS[[#This Row],[Nombre del Gestor]]&gt;1,VENTAS[[#This Row],[Total]]*10%,0)</f>
        <v>0</v>
      </c>
      <c r="K1617" s="35">
        <f>IFERROR(VLOOKUP(VENTAS[[#This Row],[Código del producto Vendido]],STOCK[],16,FALSE)*VENTAS[[#This Row],[Cantidad]]+VLOOKUP(VENTAS[[#This Row],[Código del producto Vendido]],STOCK[],19,FALSE)*VENTAS[[#This Row],[Cantidad]],VENTAS[[#This Row],[Total]])</f>
        <v>5</v>
      </c>
      <c r="L1617" s="35">
        <f>VENTAS[[#This Row],[Total]]-VENTAS[[#This Row],[Comisión 10%]]-VENTAS[[#This Row],[Costo SIN Comision]]</f>
        <v>0</v>
      </c>
      <c r="M1617" s="35"/>
    </row>
    <row r="1618" ht="20" customHeight="1" spans="1:13">
      <c r="A1618" s="29">
        <v>45588</v>
      </c>
      <c r="B1618" s="30"/>
      <c r="C1618" s="30" t="s">
        <v>3736</v>
      </c>
      <c r="D1618" s="30"/>
      <c r="E1618" s="30" t="s">
        <v>3177</v>
      </c>
      <c r="F1618" s="34" t="str">
        <f>IFERROR(VLOOKUP(VENTAS[[#This Row],[Código del producto Vendido]],STOCK[],5,FALSE),"-")</f>
        <v>Pullover deportivo verde </v>
      </c>
      <c r="G1618" s="34">
        <v>1</v>
      </c>
      <c r="H1618" s="35">
        <v>10</v>
      </c>
      <c r="I1618" s="35">
        <f>VENTAS[[#This Row],[Cantidad]]*VENTAS[[#This Row],[Precio Venta]]</f>
        <v>10</v>
      </c>
      <c r="J1618" s="35">
        <f>IF(VENTAS[[#This Row],[Nombre del Gestor]]&gt;1,VENTAS[[#This Row],[Total]]*10%,0)</f>
        <v>0</v>
      </c>
      <c r="K1618" s="35">
        <f>IFERROR(VLOOKUP(VENTAS[[#This Row],[Código del producto Vendido]],STOCK[],16,FALSE)*VENTAS[[#This Row],[Cantidad]]+VLOOKUP(VENTAS[[#This Row],[Código del producto Vendido]],STOCK[],19,FALSE)*VENTAS[[#This Row],[Cantidad]],VENTAS[[#This Row],[Total]])</f>
        <v>10</v>
      </c>
      <c r="L1618" s="35">
        <f>VENTAS[[#This Row],[Total]]-VENTAS[[#This Row],[Comisión 10%]]-VENTAS[[#This Row],[Costo SIN Comision]]</f>
        <v>0</v>
      </c>
      <c r="M1618" s="35"/>
    </row>
    <row r="1619" ht="20" customHeight="1" spans="1:13">
      <c r="A1619" s="29">
        <v>45588</v>
      </c>
      <c r="B1619" s="30"/>
      <c r="C1619" s="30" t="s">
        <v>3737</v>
      </c>
      <c r="D1619" s="30"/>
      <c r="E1619" s="30" t="s">
        <v>3235</v>
      </c>
      <c r="F1619" s="34" t="str">
        <f>IFERROR(VLOOKUP(VENTAS[[#This Row],[Código del producto Vendido]],STOCK[],5,FALSE),"-")</f>
        <v>Enguatada gris jaspeado oscuro Marca H&amp;M</v>
      </c>
      <c r="G1619" s="34">
        <v>1</v>
      </c>
      <c r="H1619" s="35">
        <v>12</v>
      </c>
      <c r="I1619" s="35">
        <f>VENTAS[[#This Row],[Cantidad]]*VENTAS[[#This Row],[Precio Venta]]</f>
        <v>12</v>
      </c>
      <c r="J1619" s="35">
        <f>IF(VENTAS[[#This Row],[Nombre del Gestor]]&gt;1,VENTAS[[#This Row],[Total]]*10%,0)</f>
        <v>0</v>
      </c>
      <c r="K1619" s="35">
        <f>IFERROR(VLOOKUP(VENTAS[[#This Row],[Código del producto Vendido]],STOCK[],16,FALSE)*VENTAS[[#This Row],[Cantidad]]+VLOOKUP(VENTAS[[#This Row],[Código del producto Vendido]],STOCK[],19,FALSE)*VENTAS[[#This Row],[Cantidad]],VENTAS[[#This Row],[Total]])</f>
        <v>12</v>
      </c>
      <c r="L1619" s="35">
        <f>VENTAS[[#This Row],[Total]]-VENTAS[[#This Row],[Comisión 10%]]-VENTAS[[#This Row],[Costo SIN Comision]]</f>
        <v>0</v>
      </c>
      <c r="M1619" s="35"/>
    </row>
    <row r="1620" ht="20" customHeight="1" spans="1:13">
      <c r="A1620" s="29">
        <v>45588</v>
      </c>
      <c r="B1620" s="30"/>
      <c r="C1620" s="30" t="s">
        <v>3738</v>
      </c>
      <c r="D1620" s="30"/>
      <c r="E1620" s="30" t="s">
        <v>3240</v>
      </c>
      <c r="F1620" s="34" t="str">
        <f>IFERROR(VLOOKUP(VENTAS[[#This Row],[Código del producto Vendido]],STOCK[],5,FALSE),"-")</f>
        <v>Niños abrigos   </v>
      </c>
      <c r="G1620" s="34">
        <v>2</v>
      </c>
      <c r="H1620" s="35">
        <v>8</v>
      </c>
      <c r="I1620" s="35">
        <f>VENTAS[[#This Row],[Cantidad]]*VENTAS[[#This Row],[Precio Venta]]</f>
        <v>16</v>
      </c>
      <c r="J1620" s="35">
        <f>IF(VENTAS[[#This Row],[Nombre del Gestor]]&gt;1,VENTAS[[#This Row],[Total]]*10%,0)</f>
        <v>0</v>
      </c>
      <c r="K1620" s="35">
        <f>IFERROR(VLOOKUP(VENTAS[[#This Row],[Código del producto Vendido]],STOCK[],16,FALSE)*VENTAS[[#This Row],[Cantidad]]+VLOOKUP(VENTAS[[#This Row],[Código del producto Vendido]],STOCK[],19,FALSE)*VENTAS[[#This Row],[Cantidad]],VENTAS[[#This Row],[Total]])</f>
        <v>16</v>
      </c>
      <c r="L1620" s="35">
        <f>VENTAS[[#This Row],[Total]]-VENTAS[[#This Row],[Comisión 10%]]-VENTAS[[#This Row],[Costo SIN Comision]]</f>
        <v>0</v>
      </c>
      <c r="M1620" s="35"/>
    </row>
    <row r="1621" ht="20" customHeight="1" spans="1:13">
      <c r="A1621" s="29">
        <v>45588</v>
      </c>
      <c r="B1621" s="30"/>
      <c r="C1621" s="30" t="s">
        <v>3739</v>
      </c>
      <c r="D1621" s="30"/>
      <c r="E1621" s="30" t="s">
        <v>3243</v>
      </c>
      <c r="F1621" s="34" t="str">
        <f>IFERROR(VLOOKUP(VENTAS[[#This Row],[Código del producto Vendido]],STOCK[],5,FALSE),"-")</f>
        <v>Jogger negro de estilo cargo Marca H&amp;M</v>
      </c>
      <c r="G1621" s="34">
        <v>1</v>
      </c>
      <c r="H1621" s="35">
        <v>12</v>
      </c>
      <c r="I1621" s="35">
        <f>VENTAS[[#This Row],[Cantidad]]*VENTAS[[#This Row],[Precio Venta]]</f>
        <v>12</v>
      </c>
      <c r="J1621" s="35">
        <f>IF(VENTAS[[#This Row],[Nombre del Gestor]]&gt;1,VENTAS[[#This Row],[Total]]*10%,0)</f>
        <v>0</v>
      </c>
      <c r="K1621" s="35">
        <f>IFERROR(VLOOKUP(VENTAS[[#This Row],[Código del producto Vendido]],STOCK[],16,FALSE)*VENTAS[[#This Row],[Cantidad]]+VLOOKUP(VENTAS[[#This Row],[Código del producto Vendido]],STOCK[],19,FALSE)*VENTAS[[#This Row],[Cantidad]],VENTAS[[#This Row],[Total]])</f>
        <v>12</v>
      </c>
      <c r="L1621" s="35">
        <f>VENTAS[[#This Row],[Total]]-VENTAS[[#This Row],[Comisión 10%]]-VENTAS[[#This Row],[Costo SIN Comision]]</f>
        <v>0</v>
      </c>
      <c r="M1621" s="35"/>
    </row>
    <row r="1622" ht="20" customHeight="1" spans="1:13">
      <c r="A1622" s="29">
        <v>45588</v>
      </c>
      <c r="B1622" s="30"/>
      <c r="C1622" s="30"/>
      <c r="D1622" s="30" t="s">
        <v>3506</v>
      </c>
      <c r="E1622" s="30" t="s">
        <v>3254</v>
      </c>
      <c r="F1622" s="34" t="str">
        <f>IFERROR(VLOOKUP(VENTAS[[#This Row],[Código del producto Vendido]],STOCK[],5,FALSE),"-")</f>
        <v>Jogger gris jaspeado con bolsillos discretos Marca H&amp;M</v>
      </c>
      <c r="G1622" s="34">
        <v>1</v>
      </c>
      <c r="H1622" s="35">
        <v>12</v>
      </c>
      <c r="I1622" s="35">
        <f>VENTAS[[#This Row],[Cantidad]]*VENTAS[[#This Row],[Precio Venta]]</f>
        <v>12</v>
      </c>
      <c r="J1622" s="35">
        <f>IF(VENTAS[[#This Row],[Nombre del Gestor]]&gt;1,VENTAS[[#This Row],[Total]]*10%,0)</f>
        <v>1.2</v>
      </c>
      <c r="K1622" s="35">
        <f>IFERROR(VLOOKUP(VENTAS[[#This Row],[Código del producto Vendido]],STOCK[],16,FALSE)*VENTAS[[#This Row],[Cantidad]]+VLOOKUP(VENTAS[[#This Row],[Código del producto Vendido]],STOCK[],19,FALSE)*VENTAS[[#This Row],[Cantidad]],VENTAS[[#This Row],[Total]])</f>
        <v>12</v>
      </c>
      <c r="L1622" s="35">
        <f>VENTAS[[#This Row],[Total]]-VENTAS[[#This Row],[Comisión 10%]]-VENTAS[[#This Row],[Costo SIN Comision]]</f>
        <v>-1.2</v>
      </c>
      <c r="M1622" s="35"/>
    </row>
    <row r="1623" ht="20" customHeight="1" spans="1:13">
      <c r="A1623" s="29">
        <v>45588</v>
      </c>
      <c r="B1623" s="30"/>
      <c r="C1623" s="30" t="s">
        <v>3740</v>
      </c>
      <c r="D1623" s="30"/>
      <c r="E1623" s="30" t="s">
        <v>3255</v>
      </c>
      <c r="F1623" s="34" t="str">
        <f>IFERROR(VLOOKUP(VENTAS[[#This Row],[Código del producto Vendido]],STOCK[],5,FALSE),"-")</f>
        <v>Ajustadores Bralette de encaje Blanco Marca H&amp;M</v>
      </c>
      <c r="G1623" s="34">
        <v>1</v>
      </c>
      <c r="H1623" s="35">
        <v>3</v>
      </c>
      <c r="I1623" s="35">
        <f>VENTAS[[#This Row],[Cantidad]]*VENTAS[[#This Row],[Precio Venta]]</f>
        <v>3</v>
      </c>
      <c r="J1623" s="35">
        <f>IF(VENTAS[[#This Row],[Nombre del Gestor]]&gt;1,VENTAS[[#This Row],[Total]]*10%,0)</f>
        <v>0</v>
      </c>
      <c r="K1623" s="35">
        <f>IFERROR(VLOOKUP(VENTAS[[#This Row],[Código del producto Vendido]],STOCK[],16,FALSE)*VENTAS[[#This Row],[Cantidad]]+VLOOKUP(VENTAS[[#This Row],[Código del producto Vendido]],STOCK[],19,FALSE)*VENTAS[[#This Row],[Cantidad]],VENTAS[[#This Row],[Total]])</f>
        <v>3</v>
      </c>
      <c r="L1623" s="35">
        <f>VENTAS[[#This Row],[Total]]-VENTAS[[#This Row],[Comisión 10%]]-VENTAS[[#This Row],[Costo SIN Comision]]</f>
        <v>0</v>
      </c>
      <c r="M1623" s="35"/>
    </row>
    <row r="1624" ht="20" customHeight="1" spans="1:13">
      <c r="A1624" s="29">
        <v>45588</v>
      </c>
      <c r="B1624" s="30"/>
      <c r="C1624" s="30" t="s">
        <v>3741</v>
      </c>
      <c r="D1624" s="30"/>
      <c r="E1624" s="30" t="s">
        <v>3258</v>
      </c>
      <c r="F1624" s="34" t="str">
        <f>IFERROR(VLOOKUP(VENTAS[[#This Row],[Código del producto Vendido]],STOCK[],5,FALSE),"-")</f>
        <v>Ajustadores Bralette de encaje Negro Marca H&amp;M</v>
      </c>
      <c r="G1624" s="34">
        <v>1</v>
      </c>
      <c r="H1624" s="35">
        <v>3</v>
      </c>
      <c r="I1624" s="35">
        <f>VENTAS[[#This Row],[Cantidad]]*VENTAS[[#This Row],[Precio Venta]]</f>
        <v>3</v>
      </c>
      <c r="J1624" s="35">
        <f>IF(VENTAS[[#This Row],[Nombre del Gestor]]&gt;1,VENTAS[[#This Row],[Total]]*10%,0)</f>
        <v>0</v>
      </c>
      <c r="K1624" s="35">
        <f>IFERROR(VLOOKUP(VENTAS[[#This Row],[Código del producto Vendido]],STOCK[],16,FALSE)*VENTAS[[#This Row],[Cantidad]]+VLOOKUP(VENTAS[[#This Row],[Código del producto Vendido]],STOCK[],19,FALSE)*VENTAS[[#This Row],[Cantidad]],VENTAS[[#This Row],[Total]])</f>
        <v>3</v>
      </c>
      <c r="L1624" s="35">
        <f>VENTAS[[#This Row],[Total]]-VENTAS[[#This Row],[Comisión 10%]]-VENTAS[[#This Row],[Costo SIN Comision]]</f>
        <v>0</v>
      </c>
      <c r="M1624" s="35"/>
    </row>
    <row r="1625" ht="20" customHeight="1" spans="1:13">
      <c r="A1625" s="29">
        <v>45588</v>
      </c>
      <c r="B1625" s="30"/>
      <c r="C1625" s="30" t="s">
        <v>3742</v>
      </c>
      <c r="D1625" s="30"/>
      <c r="E1625" s="30" t="s">
        <v>3264</v>
      </c>
      <c r="F1625" s="34" t="str">
        <f>IFERROR(VLOOKUP(VENTAS[[#This Row],[Código del producto Vendido]],STOCK[],5,FALSE),"-")</f>
        <v>Calcetines bajos de algodón color beich</v>
      </c>
      <c r="G1625" s="34">
        <v>2</v>
      </c>
      <c r="H1625" s="35">
        <v>0.86</v>
      </c>
      <c r="I1625" s="35">
        <f>VENTAS[[#This Row],[Cantidad]]*VENTAS[[#This Row],[Precio Venta]]</f>
        <v>1.72</v>
      </c>
      <c r="J1625" s="35">
        <f>IF(VENTAS[[#This Row],[Nombre del Gestor]]&gt;1,VENTAS[[#This Row],[Total]]*10%,0)</f>
        <v>0</v>
      </c>
      <c r="K1625" s="35">
        <f>IFERROR(VLOOKUP(VENTAS[[#This Row],[Código del producto Vendido]],STOCK[],16,FALSE)*VENTAS[[#This Row],[Cantidad]]+VLOOKUP(VENTAS[[#This Row],[Código del producto Vendido]],STOCK[],19,FALSE)*VENTAS[[#This Row],[Cantidad]],VENTAS[[#This Row],[Total]])</f>
        <v>1.72</v>
      </c>
      <c r="L1625" s="35">
        <f>VENTAS[[#This Row],[Total]]-VENTAS[[#This Row],[Comisión 10%]]-VENTAS[[#This Row],[Costo SIN Comision]]</f>
        <v>0</v>
      </c>
      <c r="M1625" s="35"/>
    </row>
    <row r="1626" ht="20" customHeight="1" spans="1:13">
      <c r="A1626" s="29">
        <v>45588</v>
      </c>
      <c r="B1626" s="30"/>
      <c r="C1626" s="30" t="s">
        <v>3743</v>
      </c>
      <c r="D1626" s="30"/>
      <c r="E1626" s="30" t="s">
        <v>3266</v>
      </c>
      <c r="F1626" s="34" t="str">
        <f>IFERROR(VLOOKUP(VENTAS[[#This Row],[Código del producto Vendido]],STOCK[],5,FALSE),"-")</f>
        <v>Calcetines bajos de algodón color blanco</v>
      </c>
      <c r="G1626" s="34">
        <v>1</v>
      </c>
      <c r="H1626" s="35">
        <v>0.86</v>
      </c>
      <c r="I1626" s="35">
        <f>VENTAS[[#This Row],[Cantidad]]*VENTAS[[#This Row],[Precio Venta]]</f>
        <v>0.86</v>
      </c>
      <c r="J1626" s="35">
        <f>IF(VENTAS[[#This Row],[Nombre del Gestor]]&gt;1,VENTAS[[#This Row],[Total]]*10%,0)</f>
        <v>0</v>
      </c>
      <c r="K1626" s="35">
        <f>IFERROR(VLOOKUP(VENTAS[[#This Row],[Código del producto Vendido]],STOCK[],16,FALSE)*VENTAS[[#This Row],[Cantidad]]+VLOOKUP(VENTAS[[#This Row],[Código del producto Vendido]],STOCK[],19,FALSE)*VENTAS[[#This Row],[Cantidad]],VENTAS[[#This Row],[Total]])</f>
        <v>0.86</v>
      </c>
      <c r="L1626" s="35">
        <f>VENTAS[[#This Row],[Total]]-VENTAS[[#This Row],[Comisión 10%]]-VENTAS[[#This Row],[Costo SIN Comision]]</f>
        <v>0</v>
      </c>
      <c r="M1626" s="35"/>
    </row>
    <row r="1627" ht="20" customHeight="1" spans="1:13">
      <c r="A1627" s="29">
        <v>45588</v>
      </c>
      <c r="B1627" s="30"/>
      <c r="C1627" s="30" t="s">
        <v>3744</v>
      </c>
      <c r="D1627" s="30"/>
      <c r="E1627" s="30" t="s">
        <v>3063</v>
      </c>
      <c r="F1627" s="34" t="str">
        <f>IFERROR(VLOOKUP(VENTAS[[#This Row],[Código del producto Vendido]],STOCK[],5,FALSE),"-")</f>
        <v>Pullover Gris Oscuro jaspeado de algodón Marca H&amp;M</v>
      </c>
      <c r="G1627" s="34">
        <v>1</v>
      </c>
      <c r="H1627" s="35">
        <v>10</v>
      </c>
      <c r="I1627" s="35">
        <f>VENTAS[[#This Row],[Cantidad]]*VENTAS[[#This Row],[Precio Venta]]</f>
        <v>10</v>
      </c>
      <c r="J1627" s="35">
        <f>IF(VENTAS[[#This Row],[Nombre del Gestor]]&gt;1,VENTAS[[#This Row],[Total]]*10%,0)</f>
        <v>0</v>
      </c>
      <c r="K1627" s="35">
        <f>IFERROR(VLOOKUP(VENTAS[[#This Row],[Código del producto Vendido]],STOCK[],16,FALSE)*VENTAS[[#This Row],[Cantidad]]+VLOOKUP(VENTAS[[#This Row],[Código del producto Vendido]],STOCK[],19,FALSE)*VENTAS[[#This Row],[Cantidad]],VENTAS[[#This Row],[Total]])</f>
        <v>10</v>
      </c>
      <c r="L1627" s="35">
        <f>VENTAS[[#This Row],[Total]]-VENTAS[[#This Row],[Comisión 10%]]-VENTAS[[#This Row],[Costo SIN Comision]]</f>
        <v>0</v>
      </c>
      <c r="M1627" s="35"/>
    </row>
    <row r="1628" ht="20" customHeight="1" spans="1:13">
      <c r="A1628" s="29"/>
      <c r="B1628" s="30"/>
      <c r="C1628" s="30"/>
      <c r="D1628" s="30"/>
      <c r="E1628" s="30"/>
      <c r="F1628" s="34" t="str">
        <f>IFERROR(VLOOKUP(VENTAS[[#This Row],[Código del producto Vendido]],STOCK[],5,FALSE),"-")</f>
        <v>-</v>
      </c>
      <c r="G1628" s="34"/>
      <c r="H1628" s="35"/>
      <c r="I1628" s="35"/>
      <c r="J1628" s="35"/>
      <c r="K1628" s="35"/>
      <c r="L1628" s="35"/>
      <c r="M1628" s="35"/>
    </row>
    <row r="1629" ht="20" customHeight="1" spans="1:13">
      <c r="A1629" s="29"/>
      <c r="B1629" s="30"/>
      <c r="C1629" s="30"/>
      <c r="D1629" s="30"/>
      <c r="E1629" s="30"/>
      <c r="F1629" s="34" t="str">
        <f>IFERROR(VLOOKUP(VENTAS[[#This Row],[Código del producto Vendido]],STOCK[],5,FALSE),"-")</f>
        <v>-</v>
      </c>
      <c r="G1629" s="34"/>
      <c r="H1629" s="35"/>
      <c r="I1629" s="35"/>
      <c r="J1629" s="35"/>
      <c r="K1629" s="35"/>
      <c r="L1629" s="35"/>
      <c r="M1629" s="35"/>
    </row>
    <row r="1630" ht="20" customHeight="1" spans="1:13">
      <c r="A1630" s="29"/>
      <c r="B1630" s="30"/>
      <c r="C1630" s="30"/>
      <c r="D1630" s="30"/>
      <c r="E1630" s="30"/>
      <c r="F1630" s="34" t="str">
        <f>IFERROR(VLOOKUP(VENTAS[[#This Row],[Código del producto Vendido]],STOCK[],5,FALSE),"-")</f>
        <v>-</v>
      </c>
      <c r="G1630" s="34"/>
      <c r="H1630" s="35"/>
      <c r="I1630" s="35"/>
      <c r="J1630" s="35"/>
      <c r="K1630" s="35"/>
      <c r="L1630" s="35"/>
      <c r="M1630" s="35"/>
    </row>
    <row r="1631" ht="20" customHeight="1" spans="1:13">
      <c r="A1631" s="29"/>
      <c r="B1631" s="30"/>
      <c r="C1631" s="30"/>
      <c r="D1631" s="30"/>
      <c r="E1631" s="30"/>
      <c r="F1631" s="34" t="str">
        <f>IFERROR(VLOOKUP(VENTAS[[#This Row],[Código del producto Vendido]],STOCK[],5,FALSE),"-")</f>
        <v>-</v>
      </c>
      <c r="G1631" s="34"/>
      <c r="H1631" s="35"/>
      <c r="I1631" s="35"/>
      <c r="J1631" s="35"/>
      <c r="K1631" s="35"/>
      <c r="L1631" s="35"/>
      <c r="M1631" s="35"/>
    </row>
    <row r="1632" ht="20" customHeight="1" spans="1:13">
      <c r="A1632" s="29"/>
      <c r="B1632" s="30"/>
      <c r="C1632" s="30"/>
      <c r="D1632" s="30"/>
      <c r="E1632" s="30"/>
      <c r="F1632" s="34" t="str">
        <f>IFERROR(VLOOKUP(VENTAS[[#This Row],[Código del producto Vendido]],STOCK[],5,FALSE),"-")</f>
        <v>-</v>
      </c>
      <c r="G1632" s="34"/>
      <c r="H1632" s="35"/>
      <c r="I1632" s="35"/>
      <c r="J1632" s="35"/>
      <c r="K1632" s="35"/>
      <c r="L1632" s="35"/>
      <c r="M1632" s="35"/>
    </row>
    <row r="1633" ht="20" customHeight="1" spans="1:13">
      <c r="A1633" s="29"/>
      <c r="B1633" s="30"/>
      <c r="C1633" s="30"/>
      <c r="D1633" s="30"/>
      <c r="E1633" s="30"/>
      <c r="F1633" s="34" t="str">
        <f>IFERROR(VLOOKUP(VENTAS[[#This Row],[Código del producto Vendido]],STOCK[],5,FALSE),"-")</f>
        <v>-</v>
      </c>
      <c r="G1633" s="34"/>
      <c r="H1633" s="35"/>
      <c r="I1633" s="35"/>
      <c r="J1633" s="35"/>
      <c r="K1633" s="35"/>
      <c r="L1633" s="35"/>
      <c r="M1633" s="35"/>
    </row>
    <row r="1634" ht="20" customHeight="1" spans="1:13">
      <c r="A1634" s="29"/>
      <c r="B1634" s="30"/>
      <c r="C1634" s="30"/>
      <c r="D1634" s="30"/>
      <c r="E1634" s="30"/>
      <c r="F1634" s="34" t="str">
        <f>IFERROR(VLOOKUP(VENTAS[[#This Row],[Código del producto Vendido]],STOCK[],5,FALSE),"-")</f>
        <v>-</v>
      </c>
      <c r="G1634" s="34"/>
      <c r="H1634" s="35"/>
      <c r="I1634" s="35"/>
      <c r="J1634" s="35"/>
      <c r="K1634" s="35"/>
      <c r="L1634" s="35"/>
      <c r="M1634" s="35"/>
    </row>
    <row r="1635" ht="20" customHeight="1" spans="1:13">
      <c r="A1635" s="29"/>
      <c r="B1635" s="30"/>
      <c r="C1635" s="30"/>
      <c r="D1635" s="30"/>
      <c r="E1635" s="30"/>
      <c r="F1635" s="34" t="str">
        <f>IFERROR(VLOOKUP(VENTAS[[#This Row],[Código del producto Vendido]],STOCK[],5,FALSE),"-")</f>
        <v>-</v>
      </c>
      <c r="G1635" s="34"/>
      <c r="H1635" s="35"/>
      <c r="I1635" s="35"/>
      <c r="J1635" s="35"/>
      <c r="K1635" s="35"/>
      <c r="L1635" s="35"/>
      <c r="M1635" s="35"/>
    </row>
    <row r="1636" ht="20" customHeight="1" spans="1:13">
      <c r="A1636" s="29"/>
      <c r="B1636" s="30"/>
      <c r="C1636" s="30"/>
      <c r="D1636" s="30"/>
      <c r="E1636" s="30"/>
      <c r="F1636" s="34" t="str">
        <f>IFERROR(VLOOKUP(VENTAS[[#This Row],[Código del producto Vendido]],STOCK[],5,FALSE),"-")</f>
        <v>-</v>
      </c>
      <c r="G1636" s="34"/>
      <c r="H1636" s="35"/>
      <c r="I1636" s="35"/>
      <c r="J1636" s="35"/>
      <c r="K1636" s="35"/>
      <c r="L1636" s="35"/>
      <c r="M1636" s="35"/>
    </row>
    <row r="1637" ht="20" customHeight="1" spans="1:13">
      <c r="A1637" s="29"/>
      <c r="B1637" s="30"/>
      <c r="C1637" s="30"/>
      <c r="D1637" s="30"/>
      <c r="E1637" s="30"/>
      <c r="F1637" s="34" t="str">
        <f>IFERROR(VLOOKUP(VENTAS[[#This Row],[Código del producto Vendido]],STOCK[],5,FALSE),"-")</f>
        <v>-</v>
      </c>
      <c r="G1637" s="34"/>
      <c r="H1637" s="35"/>
      <c r="I1637" s="35"/>
      <c r="J1637" s="35"/>
      <c r="K1637" s="35"/>
      <c r="L1637" s="35"/>
      <c r="M1637" s="35"/>
    </row>
    <row r="1638" ht="20" customHeight="1" spans="1:13">
      <c r="A1638" s="29"/>
      <c r="B1638" s="30"/>
      <c r="C1638" s="30"/>
      <c r="D1638" s="30"/>
      <c r="E1638" s="30"/>
      <c r="F1638" s="34" t="str">
        <f>IFERROR(VLOOKUP(VENTAS[[#This Row],[Código del producto Vendido]],STOCK[],5,FALSE),"-")</f>
        <v>-</v>
      </c>
      <c r="G1638" s="34"/>
      <c r="H1638" s="35"/>
      <c r="I1638" s="35"/>
      <c r="J1638" s="35"/>
      <c r="K1638" s="35"/>
      <c r="L1638" s="35"/>
      <c r="M1638" s="35"/>
    </row>
    <row r="1639" ht="20" customHeight="1" spans="1:13">
      <c r="A1639" s="29"/>
      <c r="B1639" s="30"/>
      <c r="C1639" s="30"/>
      <c r="D1639" s="30"/>
      <c r="E1639" s="30"/>
      <c r="F1639" s="34" t="str">
        <f>IFERROR(VLOOKUP(VENTAS[[#This Row],[Código del producto Vendido]],STOCK[],5,FALSE),"-")</f>
        <v>-</v>
      </c>
      <c r="G1639" s="34"/>
      <c r="H1639" s="35"/>
      <c r="I1639" s="35"/>
      <c r="J1639" s="35"/>
      <c r="K1639" s="35"/>
      <c r="L1639" s="35"/>
      <c r="M1639" s="35"/>
    </row>
    <row r="1640" ht="20" customHeight="1" spans="1:13">
      <c r="A1640" s="29"/>
      <c r="B1640" s="30"/>
      <c r="C1640" s="30"/>
      <c r="D1640" s="30"/>
      <c r="E1640" s="30"/>
      <c r="F1640" s="34" t="str">
        <f>IFERROR(VLOOKUP(VENTAS[[#This Row],[Código del producto Vendido]],STOCK[],5,FALSE),"-")</f>
        <v>-</v>
      </c>
      <c r="G1640" s="34"/>
      <c r="H1640" s="35"/>
      <c r="I1640" s="35"/>
      <c r="J1640" s="35"/>
      <c r="K1640" s="35"/>
      <c r="L1640" s="35"/>
      <c r="M1640" s="35"/>
    </row>
    <row r="1641" ht="20" customHeight="1" spans="1:13">
      <c r="A1641" s="29"/>
      <c r="B1641" s="30"/>
      <c r="C1641" s="30"/>
      <c r="D1641" s="30"/>
      <c r="E1641" s="30"/>
      <c r="F1641" s="34" t="str">
        <f>IFERROR(VLOOKUP(VENTAS[[#This Row],[Código del producto Vendido]],STOCK[],5,FALSE),"-")</f>
        <v>-</v>
      </c>
      <c r="G1641" s="34"/>
      <c r="H1641" s="35"/>
      <c r="I1641" s="35"/>
      <c r="J1641" s="35"/>
      <c r="K1641" s="35"/>
      <c r="L1641" s="35"/>
      <c r="M1641" s="35"/>
    </row>
    <row r="1642" ht="20" customHeight="1" spans="1:13">
      <c r="A1642" s="29"/>
      <c r="B1642" s="30"/>
      <c r="C1642" s="30"/>
      <c r="D1642" s="30"/>
      <c r="E1642" s="30"/>
      <c r="F1642" s="34"/>
      <c r="G1642" s="34"/>
      <c r="H1642" s="35"/>
      <c r="I1642" s="35"/>
      <c r="J1642" s="35"/>
      <c r="K1642" s="35"/>
      <c r="L1642" s="35"/>
      <c r="M1642" s="35"/>
    </row>
    <row r="1643" ht="20" customHeight="1" spans="1:13">
      <c r="A1643" s="29"/>
      <c r="B1643" s="30"/>
      <c r="C1643" s="30"/>
      <c r="D1643" s="30"/>
      <c r="E1643" s="30"/>
      <c r="F1643" s="34"/>
      <c r="G1643" s="34"/>
      <c r="H1643" s="35"/>
      <c r="I1643" s="35"/>
      <c r="J1643" s="35"/>
      <c r="K1643" s="35"/>
      <c r="L1643" s="35"/>
      <c r="M1643" s="35"/>
    </row>
    <row r="1644" ht="20" customHeight="1" spans="1:13">
      <c r="A1644" s="29"/>
      <c r="B1644" s="30"/>
      <c r="C1644" s="30"/>
      <c r="D1644" s="30"/>
      <c r="E1644" s="30"/>
      <c r="F1644" s="34"/>
      <c r="G1644" s="34"/>
      <c r="H1644" s="35"/>
      <c r="I1644" s="35"/>
      <c r="J1644" s="35"/>
      <c r="K1644" s="35"/>
      <c r="L1644" s="35"/>
      <c r="M1644" s="35"/>
    </row>
    <row r="1645" ht="20" customHeight="1" spans="1:13">
      <c r="A1645" s="29"/>
      <c r="B1645" s="30"/>
      <c r="C1645" s="30"/>
      <c r="D1645" s="30"/>
      <c r="E1645" s="30"/>
      <c r="F1645" s="34"/>
      <c r="G1645" s="34"/>
      <c r="H1645" s="35"/>
      <c r="I1645" s="35"/>
      <c r="J1645" s="35"/>
      <c r="K1645" s="35"/>
      <c r="L1645" s="35"/>
      <c r="M1645" s="35"/>
    </row>
    <row r="1646" ht="20" customHeight="1" spans="1:13">
      <c r="A1646" s="29"/>
      <c r="B1646" s="30"/>
      <c r="C1646" s="30"/>
      <c r="D1646" s="30"/>
      <c r="E1646" s="30"/>
      <c r="F1646" s="34"/>
      <c r="G1646" s="34"/>
      <c r="H1646" s="35"/>
      <c r="I1646" s="35"/>
      <c r="J1646" s="35"/>
      <c r="K1646" s="35"/>
      <c r="L1646" s="35"/>
      <c r="M1646" s="35"/>
    </row>
    <row r="1647" ht="20" customHeight="1" spans="1:13">
      <c r="A1647" s="29"/>
      <c r="B1647" s="30"/>
      <c r="C1647" s="30"/>
      <c r="D1647" s="30"/>
      <c r="E1647" s="30"/>
      <c r="F1647" s="34"/>
      <c r="G1647" s="34"/>
      <c r="H1647" s="35"/>
      <c r="I1647" s="35"/>
      <c r="J1647" s="35"/>
      <c r="K1647" s="35"/>
      <c r="L1647" s="35"/>
      <c r="M1647" s="35"/>
    </row>
    <row r="1648" ht="20" customHeight="1" spans="1:13">
      <c r="A1648" s="29"/>
      <c r="B1648" s="30"/>
      <c r="C1648" s="30"/>
      <c r="D1648" s="30"/>
      <c r="E1648" s="30"/>
      <c r="F1648" s="34"/>
      <c r="G1648" s="34"/>
      <c r="H1648" s="35"/>
      <c r="I1648" s="35"/>
      <c r="J1648" s="35"/>
      <c r="K1648" s="35"/>
      <c r="L1648" s="35"/>
      <c r="M1648" s="35"/>
    </row>
    <row r="1649" ht="20" customHeight="1" spans="1:13">
      <c r="A1649" s="29"/>
      <c r="B1649" s="30"/>
      <c r="C1649" s="30"/>
      <c r="D1649" s="30"/>
      <c r="E1649" s="30"/>
      <c r="F1649" s="34"/>
      <c r="G1649" s="34"/>
      <c r="H1649" s="35"/>
      <c r="I1649" s="35"/>
      <c r="J1649" s="35"/>
      <c r="K1649" s="35"/>
      <c r="L1649" s="35"/>
      <c r="M1649" s="35"/>
    </row>
    <row r="1650" ht="20" customHeight="1" spans="1:13">
      <c r="A1650" s="29"/>
      <c r="B1650" s="30"/>
      <c r="C1650" s="30"/>
      <c r="D1650" s="30"/>
      <c r="E1650" s="30"/>
      <c r="F1650" s="34"/>
      <c r="G1650" s="34"/>
      <c r="H1650" s="35"/>
      <c r="I1650" s="35"/>
      <c r="J1650" s="35"/>
      <c r="K1650" s="35"/>
      <c r="L1650" s="35"/>
      <c r="M1650" s="35"/>
    </row>
    <row r="1651" ht="20" customHeight="1" spans="1:13">
      <c r="A1651" s="29"/>
      <c r="B1651" s="30"/>
      <c r="C1651" s="30"/>
      <c r="D1651" s="30"/>
      <c r="E1651" s="30"/>
      <c r="F1651" s="34"/>
      <c r="G1651" s="34"/>
      <c r="H1651" s="35"/>
      <c r="I1651" s="35"/>
      <c r="J1651" s="35"/>
      <c r="K1651" s="35"/>
      <c r="L1651" s="35"/>
      <c r="M1651" s="35"/>
    </row>
    <row r="1652" ht="20" customHeight="1" spans="1:13">
      <c r="A1652" s="29"/>
      <c r="B1652" s="30"/>
      <c r="C1652" s="30"/>
      <c r="D1652" s="30"/>
      <c r="E1652" s="30"/>
      <c r="F1652" s="34"/>
      <c r="G1652" s="34"/>
      <c r="H1652" s="35"/>
      <c r="I1652" s="35"/>
      <c r="J1652" s="35"/>
      <c r="K1652" s="35"/>
      <c r="L1652" s="35"/>
      <c r="M1652" s="35"/>
    </row>
    <row r="1653" ht="20" customHeight="1" spans="1:13">
      <c r="A1653" s="29"/>
      <c r="B1653" s="30"/>
      <c r="C1653" s="30"/>
      <c r="D1653" s="30"/>
      <c r="E1653" s="30"/>
      <c r="F1653" s="34"/>
      <c r="G1653" s="34"/>
      <c r="H1653" s="35"/>
      <c r="I1653" s="35"/>
      <c r="J1653" s="35"/>
      <c r="K1653" s="35"/>
      <c r="L1653" s="35"/>
      <c r="M1653" s="35"/>
    </row>
    <row r="1654" ht="20" customHeight="1" spans="1:13">
      <c r="A1654" s="29"/>
      <c r="B1654" s="30"/>
      <c r="C1654" s="30"/>
      <c r="D1654" s="30"/>
      <c r="E1654" s="30"/>
      <c r="F1654" s="34"/>
      <c r="G1654" s="34"/>
      <c r="H1654" s="35"/>
      <c r="I1654" s="35"/>
      <c r="J1654" s="35"/>
      <c r="K1654" s="35"/>
      <c r="L1654" s="35"/>
      <c r="M1654" s="35"/>
    </row>
    <row r="1655" ht="20" customHeight="1" spans="1:13">
      <c r="A1655" s="29"/>
      <c r="B1655" s="30"/>
      <c r="C1655" s="30"/>
      <c r="D1655" s="30"/>
      <c r="E1655" s="30"/>
      <c r="F1655" s="34"/>
      <c r="G1655" s="34"/>
      <c r="H1655" s="35"/>
      <c r="I1655" s="35"/>
      <c r="J1655" s="35"/>
      <c r="K1655" s="35"/>
      <c r="L1655" s="35"/>
      <c r="M1655" s="35"/>
    </row>
    <row r="1656" ht="20" customHeight="1" spans="1:13">
      <c r="A1656" s="29"/>
      <c r="B1656" s="30"/>
      <c r="C1656" s="30"/>
      <c r="D1656" s="30"/>
      <c r="E1656" s="30"/>
      <c r="F1656" s="34"/>
      <c r="G1656" s="34"/>
      <c r="H1656" s="35"/>
      <c r="I1656" s="35"/>
      <c r="J1656" s="35"/>
      <c r="K1656" s="35"/>
      <c r="L1656" s="35"/>
      <c r="M1656" s="35"/>
    </row>
    <row r="1657" ht="20" customHeight="1" spans="1:13">
      <c r="A1657" s="29"/>
      <c r="B1657" s="30"/>
      <c r="C1657" s="30"/>
      <c r="D1657" s="30"/>
      <c r="E1657" s="30"/>
      <c r="F1657" s="34"/>
      <c r="G1657" s="34"/>
      <c r="H1657" s="35"/>
      <c r="I1657" s="35"/>
      <c r="J1657" s="35"/>
      <c r="K1657" s="35"/>
      <c r="L1657" s="35"/>
      <c r="M1657" s="35"/>
    </row>
    <row r="1658" ht="20" customHeight="1" spans="1:13">
      <c r="A1658" s="29"/>
      <c r="B1658" s="30"/>
      <c r="C1658" s="30"/>
      <c r="D1658" s="30"/>
      <c r="E1658" s="30"/>
      <c r="F1658" s="34"/>
      <c r="G1658" s="34"/>
      <c r="H1658" s="35"/>
      <c r="I1658" s="35"/>
      <c r="J1658" s="35"/>
      <c r="K1658" s="35"/>
      <c r="L1658" s="35"/>
      <c r="M1658" s="35"/>
    </row>
    <row r="1659" ht="20" customHeight="1" spans="1:13">
      <c r="A1659" s="29"/>
      <c r="B1659" s="30"/>
      <c r="C1659" s="30"/>
      <c r="D1659" s="30"/>
      <c r="E1659" s="30"/>
      <c r="F1659" s="34"/>
      <c r="G1659" s="34"/>
      <c r="H1659" s="35"/>
      <c r="I1659" s="35"/>
      <c r="J1659" s="35"/>
      <c r="K1659" s="35"/>
      <c r="L1659" s="35"/>
      <c r="M1659" s="35"/>
    </row>
    <row r="1660" ht="20" customHeight="1" spans="1:13">
      <c r="A1660" s="29"/>
      <c r="B1660" s="30"/>
      <c r="C1660" s="30"/>
      <c r="D1660" s="30"/>
      <c r="E1660" s="30"/>
      <c r="F1660" s="34"/>
      <c r="G1660" s="34"/>
      <c r="H1660" s="35"/>
      <c r="I1660" s="35"/>
      <c r="J1660" s="35"/>
      <c r="K1660" s="35"/>
      <c r="L1660" s="35"/>
      <c r="M1660" s="35"/>
    </row>
    <row r="1661" ht="20" customHeight="1" spans="1:13">
      <c r="A1661" s="29"/>
      <c r="B1661" s="30"/>
      <c r="C1661" s="30"/>
      <c r="D1661" s="30"/>
      <c r="E1661" s="30"/>
      <c r="F1661" s="34"/>
      <c r="G1661" s="34"/>
      <c r="H1661" s="35"/>
      <c r="I1661" s="35"/>
      <c r="J1661" s="35"/>
      <c r="K1661" s="35"/>
      <c r="L1661" s="35"/>
      <c r="M1661" s="35"/>
    </row>
    <row r="1662" ht="142" customHeight="1" spans="1:13">
      <c r="A1662" s="69"/>
      <c r="B1662" s="69"/>
      <c r="C1662" s="69"/>
      <c r="D1662" s="70" t="s">
        <v>3745</v>
      </c>
      <c r="E1662" s="71" t="s">
        <v>3281</v>
      </c>
      <c r="F1662" s="72" t="s">
        <v>3746</v>
      </c>
      <c r="G1662" s="71" t="s">
        <v>3281</v>
      </c>
      <c r="H1662" s="71" t="s">
        <v>3281</v>
      </c>
      <c r="I1662" s="73" t="s">
        <v>3282</v>
      </c>
      <c r="J1662" s="73" t="s">
        <v>3282</v>
      </c>
      <c r="K1662" s="73" t="s">
        <v>3282</v>
      </c>
      <c r="L1662" s="73" t="s">
        <v>3282</v>
      </c>
      <c r="M1662" s="74"/>
    </row>
  </sheetData>
  <mergeCells count="2">
    <mergeCell ref="A1:E1"/>
    <mergeCell ref="G1:H1"/>
  </mergeCells>
  <conditionalFormatting sqref="E359">
    <cfRule type="expression" dxfId="29" priority="2433">
      <formula>#REF!=0</formula>
    </cfRule>
    <cfRule type="duplicateValues" dxfId="30" priority="2434"/>
  </conditionalFormatting>
  <conditionalFormatting sqref="E368">
    <cfRule type="expression" dxfId="29" priority="2435">
      <formula>#REF!=0</formula>
    </cfRule>
    <cfRule type="duplicateValues" dxfId="30" priority="2436"/>
  </conditionalFormatting>
  <conditionalFormatting sqref="E445">
    <cfRule type="duplicateValues" dxfId="30" priority="4"/>
  </conditionalFormatting>
  <conditionalFormatting sqref="E520:E531">
    <cfRule type="duplicateValues" dxfId="30" priority="2"/>
  </conditionalFormatting>
  <conditionalFormatting sqref="E445 E520:E531">
    <cfRule type="expression" dxfId="29" priority="2437">
      <formula>#REF!=0</formula>
    </cfRule>
  </conditionalFormatting>
  <dataValidations count="1">
    <dataValidation type="list" allowBlank="1" showInputMessage="1" showErrorMessage="1" sqref="E3:E165 E167:E228 E230:E239">
      <formula1>STOCK!$A$2:$A$1001056</formula1>
    </dataValidation>
  </dataValidations>
  <pageMargins left="0.7" right="0.7" top="0.75" bottom="0.75" header="0.3" footer="0.3"/>
  <headerFooter/>
  <legacyDrawing r:id="rId2"/>
  <tableParts count="1">
    <tablePart r:id="rId3"/>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303"/>
  <sheetViews>
    <sheetView zoomScale="150" zoomScaleNormal="150" topLeftCell="A795" workbookViewId="0">
      <selection activeCell="C105" sqref="C105"/>
    </sheetView>
  </sheetViews>
  <sheetFormatPr defaultColWidth="11" defaultRowHeight="2.4" outlineLevelCol="3"/>
  <cols>
    <col min="1" max="2" width="12" customWidth="1"/>
    <col min="3" max="3" width="52" customWidth="1"/>
  </cols>
  <sheetData>
    <row r="1" s="1" customFormat="1" ht="37" customHeight="1" spans="1:3">
      <c r="A1" s="4" t="s">
        <v>0</v>
      </c>
      <c r="B1" s="4" t="s">
        <v>1</v>
      </c>
      <c r="C1" s="4" t="s">
        <v>3290</v>
      </c>
    </row>
    <row r="2" s="2" customFormat="1" ht="55" customHeight="1" spans="1:4">
      <c r="A2" s="5" t="s">
        <v>29</v>
      </c>
      <c r="B2" s="6"/>
      <c r="C2" s="2" t="str">
        <f>IFERROR(VLOOKUP(VENTAS4[[#This Row],[Code]],STOCK[],5,FALSE),"-")</f>
        <v>Pareo falda </v>
      </c>
      <c r="D2" s="7"/>
    </row>
    <row r="3" s="2" customFormat="1" ht="55" customHeight="1" spans="1:4">
      <c r="A3" s="5" t="s">
        <v>35</v>
      </c>
      <c r="B3" s="6"/>
      <c r="C3" s="2" t="str">
        <f>IFERROR(VLOOKUP(VENTAS4[[#This Row],[Code]],STOCK[],5,FALSE),"-")</f>
        <v>Bikini Floral</v>
      </c>
      <c r="D3" s="7"/>
    </row>
    <row r="4" s="2" customFormat="1" ht="55" customHeight="1" spans="1:4">
      <c r="A4" s="5" t="s">
        <v>39</v>
      </c>
      <c r="B4" s="6"/>
      <c r="C4" s="2" t="str">
        <f>IFERROR(VLOOKUP(VENTAS4[[#This Row],[Code]],STOCK[],5,FALSE),"-")</f>
        <v>Bikini Floral</v>
      </c>
      <c r="D4" s="8"/>
    </row>
    <row r="5" s="2" customFormat="1" ht="55" customHeight="1" spans="1:3">
      <c r="A5" s="5" t="s">
        <v>41</v>
      </c>
      <c r="B5" s="6"/>
      <c r="C5" s="2" t="str">
        <f>IFERROR(VLOOKUP(VENTAS4[[#This Row],[Code]],STOCK[],5,FALSE),"-")</f>
        <v>Vestido camisero elegante</v>
      </c>
    </row>
    <row r="6" s="2" customFormat="1" ht="55" customHeight="1" spans="1:3">
      <c r="A6" s="5" t="s">
        <v>45</v>
      </c>
      <c r="B6" s="6"/>
      <c r="C6" s="2" t="str">
        <f>IFERROR(VLOOKUP(VENTAS4[[#This Row],[Code]],STOCK[],5,FALSE),"-")</f>
        <v>Vestido Camisero Elegante</v>
      </c>
    </row>
    <row r="7" s="2" customFormat="1" ht="55" customHeight="1" spans="1:3">
      <c r="A7" s="5" t="s">
        <v>48</v>
      </c>
      <c r="B7" s="6"/>
      <c r="C7" s="2" t="str">
        <f>IFERROR(VLOOKUP(VENTAS4[[#This Row],[Code]],STOCK[],5,FALSE),"-")</f>
        <v>Vestido Camisero Elegante</v>
      </c>
    </row>
    <row r="8" s="2" customFormat="1" ht="55" customHeight="1" spans="1:3">
      <c r="A8" s="5" t="s">
        <v>49</v>
      </c>
      <c r="B8" s="6"/>
      <c r="C8" s="2" t="str">
        <f>IFERROR(VLOOKUP(VENTAS4[[#This Row],[Code]],STOCK[],5,FALSE),"-")</f>
        <v>Pareo Pantalón</v>
      </c>
    </row>
    <row r="9" s="2" customFormat="1" ht="55" customHeight="1" spans="1:3">
      <c r="A9" s="5" t="s">
        <v>52</v>
      </c>
      <c r="B9" s="6"/>
      <c r="C9" s="2" t="str">
        <f>IFERROR(VLOOKUP(VENTAS4[[#This Row],[Code]],STOCK[],5,FALSE),"-")</f>
        <v>Pareo pantalón</v>
      </c>
    </row>
    <row r="10" s="2" customFormat="1" ht="55" customHeight="1" spans="1:3">
      <c r="A10" s="5" t="s">
        <v>54</v>
      </c>
      <c r="B10" s="6"/>
      <c r="C10" s="2" t="str">
        <f>IFERROR(VLOOKUP(VENTAS4[[#This Row],[Code]],STOCK[],5,FALSE),"-")</f>
        <v>Pareo pantalón en malla</v>
      </c>
    </row>
    <row r="11" s="2" customFormat="1" ht="55" customHeight="1" spans="1:3">
      <c r="A11" s="5" t="s">
        <v>56</v>
      </c>
      <c r="B11" s="6"/>
      <c r="C11" s="2" t="str">
        <f>IFERROR(VLOOKUP(VENTAS4[[#This Row],[Code]],STOCK[],5,FALSE),"-")</f>
        <v>Bañador con cremallera </v>
      </c>
    </row>
    <row r="12" s="2" customFormat="1" ht="55" customHeight="1" spans="1:3">
      <c r="A12" s="5" t="s">
        <v>58</v>
      </c>
      <c r="B12" s="6"/>
      <c r="C12" s="2" t="str">
        <f>IFERROR(VLOOKUP(VENTAS4[[#This Row],[Code]],STOCK[],5,FALSE),"-")</f>
        <v>Bikini Mangas Fuccia</v>
      </c>
    </row>
    <row r="13" s="2" customFormat="1" ht="55" customHeight="1" spans="1:3">
      <c r="A13" s="5" t="s">
        <v>61</v>
      </c>
      <c r="B13" s="6"/>
      <c r="C13" s="2" t="str">
        <f>IFERROR(VLOOKUP(VENTAS4[[#This Row],[Code]],STOCK[],5,FALSE),"-")</f>
        <v>Bikini Mangas Fuccia</v>
      </c>
    </row>
    <row r="14" s="2" customFormat="1" ht="55" customHeight="1" spans="1:3">
      <c r="A14" s="5" t="s">
        <v>62</v>
      </c>
      <c r="B14" s="6"/>
      <c r="C14" s="2" t="str">
        <f>IFERROR(VLOOKUP(VENTAS4[[#This Row],[Code]],STOCK[],5,FALSE),"-")</f>
        <v>Enguatada con protección UV</v>
      </c>
    </row>
    <row r="15" s="2" customFormat="1" ht="55" customHeight="1" spans="1:3">
      <c r="A15" s="5" t="s">
        <v>64</v>
      </c>
      <c r="B15" s="6"/>
      <c r="C15" s="2" t="str">
        <f>IFERROR(VLOOKUP(VENTAS4[[#This Row],[Code]],STOCK[],5,FALSE),"-")</f>
        <v>Bañador Elegante con Lazo</v>
      </c>
    </row>
    <row r="16" s="2" customFormat="1" ht="55" customHeight="1" spans="1:3">
      <c r="A16" s="5" t="s">
        <v>66</v>
      </c>
      <c r="B16" s="6"/>
      <c r="C16" s="2" t="str">
        <f>IFERROR(VLOOKUP(VENTAS4[[#This Row],[Code]],STOCK[],5,FALSE),"-")</f>
        <v>Bikini Elegante con Herrajes</v>
      </c>
    </row>
    <row r="17" s="2" customFormat="1" ht="55" customHeight="1" spans="1:3">
      <c r="A17" s="5" t="s">
        <v>68</v>
      </c>
      <c r="B17" s="6"/>
      <c r="C17" s="2" t="str">
        <f>IFERROR(VLOOKUP(VENTAS4[[#This Row],[Code]],STOCK[],5,FALSE),"-")</f>
        <v>Bikini Elegante con Herrajes</v>
      </c>
    </row>
    <row r="18" s="2" customFormat="1" ht="55" customHeight="1" spans="1:3">
      <c r="A18" s="5" t="s">
        <v>69</v>
      </c>
      <c r="B18" s="6"/>
      <c r="C18" s="2" t="str">
        <f>IFERROR(VLOOKUP(VENTAS4[[#This Row],[Code]],STOCK[],5,FALSE),"-")</f>
        <v>Bañador de una pieza con degradado</v>
      </c>
    </row>
    <row r="19" s="2" customFormat="1" ht="55" customHeight="1" spans="1:3">
      <c r="A19" s="5" t="s">
        <v>71</v>
      </c>
      <c r="B19" s="6"/>
      <c r="C19" s="2" t="str">
        <f>IFERROR(VLOOKUP(VENTAS4[[#This Row],[Code]],STOCK[],5,FALSE),"-")</f>
        <v>Bañador con estampado floral</v>
      </c>
    </row>
    <row r="20" s="2" customFormat="1" ht="55" customHeight="1" spans="1:3">
      <c r="A20" s="5" t="s">
        <v>73</v>
      </c>
      <c r="B20" s="6"/>
      <c r="C20" s="2" t="str">
        <f>IFERROR(VLOOKUP(VENTAS4[[#This Row],[Code]],STOCK[],5,FALSE),"-")</f>
        <v>Bañador floral </v>
      </c>
    </row>
    <row r="21" s="2" customFormat="1" ht="55" customHeight="1" spans="1:3">
      <c r="A21" s="5" t="s">
        <v>75</v>
      </c>
      <c r="B21" s="6"/>
      <c r="C21" s="2" t="str">
        <f>IFERROR(VLOOKUP(VENTAS4[[#This Row],[Code]],STOCK[],5,FALSE),"-")</f>
        <v>Pareo pantalón de malla</v>
      </c>
    </row>
    <row r="22" s="2" customFormat="1" ht="55" customHeight="1" spans="1:3">
      <c r="A22" s="5" t="s">
        <v>3297</v>
      </c>
      <c r="B22" s="6"/>
      <c r="C22" s="2" t="str">
        <f>IFERROR(VLOOKUP(VENTAS4[[#This Row],[Code]],STOCK[],5,FALSE),"-")</f>
        <v>-</v>
      </c>
    </row>
    <row r="23" s="2" customFormat="1" ht="55" customHeight="1" spans="1:3">
      <c r="A23" s="5" t="s">
        <v>77</v>
      </c>
      <c r="B23" s="6"/>
      <c r="C23" s="2" t="str">
        <f>IFERROR(VLOOKUP(VENTAS4[[#This Row],[Code]],STOCK[],5,FALSE),"-")</f>
        <v>Bikini con cordón lateral</v>
      </c>
    </row>
    <row r="24" s="2" customFormat="1" ht="55" customHeight="1" spans="1:3">
      <c r="A24" s="5" t="s">
        <v>79</v>
      </c>
      <c r="B24" s="6"/>
      <c r="C24" s="2" t="str">
        <f>IFERROR(VLOOKUP(VENTAS4[[#This Row],[Code]],STOCK[],5,FALSE),"-")</f>
        <v>Pareo pantalón de malla</v>
      </c>
    </row>
    <row r="25" s="2" customFormat="1" ht="55" customHeight="1" spans="1:3">
      <c r="A25" s="5" t="s">
        <v>82</v>
      </c>
      <c r="B25" s="6"/>
      <c r="C25" s="2" t="str">
        <f>IFERROR(VLOOKUP(VENTAS4[[#This Row],[Code]],STOCK[],5,FALSE),"-")</f>
        <v>Enguatada solera sin parte de abajo</v>
      </c>
    </row>
    <row r="26" s="2" customFormat="1" ht="55" customHeight="1" spans="1:3">
      <c r="A26" s="5" t="s">
        <v>84</v>
      </c>
      <c r="B26" s="6"/>
      <c r="C26" s="2" t="str">
        <f>IFERROR(VLOOKUP(VENTAS4[[#This Row],[Code]],STOCK[],5,FALSE),"-")</f>
        <v>Bikini elegante con herrajes color humo</v>
      </c>
    </row>
    <row r="27" s="2" customFormat="1" ht="55" customHeight="1" spans="1:3">
      <c r="A27" s="5" t="s">
        <v>87</v>
      </c>
      <c r="B27" s="6"/>
      <c r="C27" s="2" t="str">
        <f>IFERROR(VLOOKUP(VENTAS4[[#This Row],[Code]],STOCK[],5,FALSE),"-")</f>
        <v>Bikini Elegante con Herrajes</v>
      </c>
    </row>
    <row r="28" s="2" customFormat="1" ht="55" customHeight="1" spans="1:3">
      <c r="A28" s="5" t="s">
        <v>88</v>
      </c>
      <c r="B28" s="6"/>
      <c r="C28" s="2" t="str">
        <f>IFERROR(VLOOKUP(VENTAS4[[#This Row],[Code]],STOCK[],5,FALSE),"-")</f>
        <v>Bañador con Cremallera</v>
      </c>
    </row>
    <row r="29" s="2" customFormat="1" ht="55" customHeight="1" spans="1:3">
      <c r="A29" s="5" t="s">
        <v>91</v>
      </c>
      <c r="B29" s="6"/>
      <c r="C29" s="2" t="str">
        <f>IFERROR(VLOOKUP(VENTAS4[[#This Row],[Code]],STOCK[],5,FALSE),"-")</f>
        <v>Bañador una pieza de malla en contraste</v>
      </c>
    </row>
    <row r="30" s="2" customFormat="1" ht="55" customHeight="1" spans="1:3">
      <c r="A30" s="5" t="s">
        <v>93</v>
      </c>
      <c r="B30" s="6"/>
      <c r="C30" s="2" t="str">
        <f>IFERROR(VLOOKUP(VENTAS4[[#This Row],[Code]],STOCK[],5,FALSE),"-")</f>
        <v>Sets de Bikini Casual</v>
      </c>
    </row>
    <row r="31" s="2" customFormat="1" ht="55" customHeight="1" spans="1:3">
      <c r="A31" s="5" t="s">
        <v>95</v>
      </c>
      <c r="B31" s="6"/>
      <c r="C31" s="2" t="str">
        <f>IFERROR(VLOOKUP(VENTAS4[[#This Row],[Code]],STOCK[],5,FALSE),"-")</f>
        <v>Bañador estampado de planta </v>
      </c>
    </row>
    <row r="32" s="2" customFormat="1" ht="55" customHeight="1" spans="1:3">
      <c r="A32" s="5" t="s">
        <v>97</v>
      </c>
      <c r="B32" s="6"/>
      <c r="C32" s="2" t="str">
        <f>IFERROR(VLOOKUP(VENTAS4[[#This Row],[Code]],STOCK[],5,FALSE),"-")</f>
        <v>Bañador estampado de planta</v>
      </c>
    </row>
    <row r="33" s="2" customFormat="1" ht="55" customHeight="1" spans="1:3">
      <c r="A33" s="5" t="s">
        <v>99</v>
      </c>
      <c r="B33" s="6"/>
      <c r="C33" s="2" t="str">
        <f>IFERROR(VLOOKUP(VENTAS4[[#This Row],[Code]],STOCK[],5,FALSE),"-")</f>
        <v>Bañador estampado de planta</v>
      </c>
    </row>
    <row r="34" s="2" customFormat="1" ht="55" customHeight="1" spans="1:3">
      <c r="A34" s="5" t="s">
        <v>100</v>
      </c>
      <c r="B34" s="6"/>
      <c r="C34" s="2" t="str">
        <f>IFERROR(VLOOKUP(VENTAS4[[#This Row],[Code]],STOCK[],5,FALSE),"-")</f>
        <v>Pareo pantalón de malla</v>
      </c>
    </row>
    <row r="35" s="2" customFormat="1" ht="55" customHeight="1" spans="1:3">
      <c r="A35" s="5" t="s">
        <v>102</v>
      </c>
      <c r="B35" s="6"/>
      <c r="C35" s="2" t="str">
        <f>IFERROR(VLOOKUP(VENTAS4[[#This Row],[Code]],STOCK[],5,FALSE),"-")</f>
        <v>Bañador con tira cruzada </v>
      </c>
    </row>
    <row r="36" s="2" customFormat="1" ht="55" customHeight="1" spans="1:3">
      <c r="A36" s="5" t="s">
        <v>104</v>
      </c>
      <c r="B36" s="6"/>
      <c r="C36" s="2" t="str">
        <f>IFERROR(VLOOKUP(VENTAS4[[#This Row],[Code]],STOCK[],5,FALSE),"-")</f>
        <v>Bikini Elegante con Herrajes</v>
      </c>
    </row>
    <row r="37" s="2" customFormat="1" ht="55" customHeight="1" spans="1:3">
      <c r="A37" s="5" t="s">
        <v>105</v>
      </c>
      <c r="B37" s="6"/>
      <c r="C37" s="2" t="str">
        <f>IFERROR(VLOOKUP(VENTAS4[[#This Row],[Code]],STOCK[],5,FALSE),"-")</f>
        <v>Bikini elegante con herrajes color negro</v>
      </c>
    </row>
    <row r="38" s="2" customFormat="1" ht="55" customHeight="1" spans="1:3">
      <c r="A38" s="5" t="s">
        <v>107</v>
      </c>
      <c r="B38" s="6"/>
      <c r="C38" s="2" t="str">
        <f>IFERROR(VLOOKUP(VENTAS4[[#This Row],[Code]],STOCK[],5,FALSE),"-")</f>
        <v>Bañador color combinado</v>
      </c>
    </row>
    <row r="39" s="2" customFormat="1" ht="55" customHeight="1" spans="1:3">
      <c r="A39" s="5" t="s">
        <v>109</v>
      </c>
      <c r="B39" s="6"/>
      <c r="C39" s="2" t="str">
        <f>IFERROR(VLOOKUP(VENTAS4[[#This Row],[Code]],STOCK[],5,FALSE),"-")</f>
        <v>Bañador de zíper en color combinado</v>
      </c>
    </row>
    <row r="40" s="2" customFormat="1" ht="55" customHeight="1" spans="1:3">
      <c r="A40" s="5" t="s">
        <v>111</v>
      </c>
      <c r="B40" s="6"/>
      <c r="C40" s="2" t="str">
        <f>IFERROR(VLOOKUP(VENTAS4[[#This Row],[Code]],STOCK[],5,FALSE),"-")</f>
        <v>Bikini Floral</v>
      </c>
    </row>
    <row r="41" s="2" customFormat="1" ht="55" customHeight="1" spans="1:3">
      <c r="A41" s="5" t="s">
        <v>112</v>
      </c>
      <c r="B41" s="6"/>
      <c r="C41" s="2" t="str">
        <f>IFERROR(VLOOKUP(VENTAS4[[#This Row],[Code]],STOCK[],5,FALSE),"-")</f>
        <v>Bikini Mangas Negro</v>
      </c>
    </row>
    <row r="42" s="2" customFormat="1" ht="55" customHeight="1" spans="1:3">
      <c r="A42" s="5" t="s">
        <v>114</v>
      </c>
      <c r="B42" s="6"/>
      <c r="C42" s="2" t="str">
        <f>IFERROR(VLOOKUP(VENTAS4[[#This Row],[Code]],STOCK[],5,FALSE),"-")</f>
        <v>Bikini con cordón lateral</v>
      </c>
    </row>
    <row r="43" s="2" customFormat="1" ht="55" customHeight="1" spans="1:3">
      <c r="A43" s="5" t="s">
        <v>115</v>
      </c>
      <c r="B43" s="6"/>
      <c r="C43" s="2" t="str">
        <f>IFERROR(VLOOKUP(VENTAS4[[#This Row],[Code]],STOCK[],5,FALSE),"-")</f>
        <v>Bañador con estampado floral</v>
      </c>
    </row>
    <row r="44" s="2" customFormat="1" ht="55" customHeight="1" spans="1:3">
      <c r="A44" s="5" t="s">
        <v>116</v>
      </c>
      <c r="B44" s="6"/>
      <c r="C44" s="2" t="str">
        <f>IFERROR(VLOOKUP(VENTAS4[[#This Row],[Code]],STOCK[],5,FALSE),"-")</f>
        <v>Bañador en contraste con cremallera</v>
      </c>
    </row>
    <row r="45" s="2" customFormat="1" ht="55" customHeight="1" spans="1:3">
      <c r="A45" s="5" t="s">
        <v>118</v>
      </c>
      <c r="B45" s="6"/>
      <c r="C45" s="2" t="str">
        <f>IFERROR(VLOOKUP(VENTAS4[[#This Row],[Code]],STOCK[],5,FALSE),"-")</f>
        <v>Bañador color combinado con cremallera_S</v>
      </c>
    </row>
    <row r="46" s="2" customFormat="1" ht="55" customHeight="1" spans="1:3">
      <c r="A46" s="5" t="s">
        <v>120</v>
      </c>
      <c r="B46" s="6"/>
      <c r="C46" s="2" t="str">
        <f>IFERROR(VLOOKUP(VENTAS4[[#This Row],[Code]],STOCK[],5,FALSE),"-")</f>
        <v>Bañador una pieza tropical</v>
      </c>
    </row>
    <row r="47" s="2" customFormat="1" ht="55" customHeight="1" spans="1:3">
      <c r="A47" s="5" t="s">
        <v>122</v>
      </c>
      <c r="B47" s="6"/>
      <c r="C47" s="2" t="str">
        <f>IFERROR(VLOOKUP(VENTAS4[[#This Row],[Code]],STOCK[],5,FALSE),"-")</f>
        <v>Bikini chicas estampado tropical</v>
      </c>
    </row>
    <row r="48" s="2" customFormat="1" ht="55" customHeight="1" spans="1:3">
      <c r="A48" s="5" t="s">
        <v>126</v>
      </c>
      <c r="B48" s="6"/>
      <c r="C48" s="2" t="str">
        <f>IFERROR(VLOOKUP(VENTAS4[[#This Row],[Code]],STOCK[],5,FALSE),"-")</f>
        <v>Bañador chicas con estampado de letra con cremallera</v>
      </c>
    </row>
    <row r="49" s="2" customFormat="1" ht="55" customHeight="1" spans="1:3">
      <c r="A49" s="5" t="s">
        <v>129</v>
      </c>
      <c r="B49" s="6"/>
      <c r="C49" s="2" t="str">
        <f>IFERROR(VLOOKUP(VENTAS4[[#This Row],[Code]],STOCK[],5,FALSE),"-")</f>
        <v>Bibiki niñita Pez</v>
      </c>
    </row>
    <row r="50" s="2" customFormat="1" ht="55" customHeight="1" spans="1:3">
      <c r="A50" s="5" t="s">
        <v>133</v>
      </c>
      <c r="B50" s="6"/>
      <c r="C50" s="2" t="str">
        <f>IFERROR(VLOOKUP(VENTAS4[[#This Row],[Code]],STOCK[],5,FALSE),"-")</f>
        <v>Traje de baño Mariposa</v>
      </c>
    </row>
    <row r="51" s="2" customFormat="1" ht="55" customHeight="1" spans="1:3">
      <c r="A51" s="5" t="s">
        <v>137</v>
      </c>
      <c r="B51" s="6"/>
      <c r="C51" s="2" t="str">
        <f>IFERROR(VLOOKUP(VENTAS4[[#This Row],[Code]],STOCK[],5,FALSE),"-")</f>
        <v>Bañador con estampado de girasol con cover up</v>
      </c>
    </row>
    <row r="52" s="2" customFormat="1" ht="55" customHeight="1" spans="1:3">
      <c r="A52" s="5" t="s">
        <v>140</v>
      </c>
      <c r="B52" s="6"/>
      <c r="C52" s="2" t="str">
        <f>IFERROR(VLOOKUP(VENTAS4[[#This Row],[Code]],STOCK[],5,FALSE),"-")</f>
        <v>Bikini niñitas Sandía</v>
      </c>
    </row>
    <row r="53" s="2" customFormat="1" ht="55" customHeight="1" spans="1:3">
      <c r="A53" s="5" t="s">
        <v>142</v>
      </c>
      <c r="B53" s="6"/>
      <c r="C53" s="2" t="str">
        <f>IFERROR(VLOOKUP(VENTAS4[[#This Row],[Code]],STOCK[],5,FALSE),"-")</f>
        <v>Bikini niñitas Sandía</v>
      </c>
    </row>
    <row r="54" s="2" customFormat="1" ht="55" customHeight="1" spans="1:3">
      <c r="A54" s="5" t="s">
        <v>144</v>
      </c>
      <c r="B54" s="6"/>
      <c r="C54" s="2" t="str">
        <f>IFERROR(VLOOKUP(VENTAS4[[#This Row],[Code]],STOCK[],5,FALSE),"-")</f>
        <v>Traje de baño niñitas Pastel con diadema</v>
      </c>
    </row>
    <row r="55" s="2" customFormat="1" ht="55" customHeight="1" spans="1:3">
      <c r="A55" s="5" t="s">
        <v>147</v>
      </c>
      <c r="B55" s="6"/>
      <c r="C55" s="2" t="str">
        <f>IFERROR(VLOOKUP(VENTAS4[[#This Row],[Code]],STOCK[],5,FALSE),"-")</f>
        <v>Bikini niñitas unicornio con Diadema</v>
      </c>
    </row>
    <row r="56" s="2" customFormat="1" ht="55" customHeight="1" spans="1:3">
      <c r="A56" s="5" t="s">
        <v>150</v>
      </c>
      <c r="B56" s="6"/>
      <c r="C56" s="2" t="str">
        <f>IFERROR(VLOOKUP(VENTAS4[[#This Row],[Code]],STOCK[],5,FALSE),"-")</f>
        <v>Jean Boyfriend con rotos</v>
      </c>
    </row>
    <row r="57" s="2" customFormat="1" ht="55" customHeight="1" spans="1:3">
      <c r="A57" s="5" t="s">
        <v>153</v>
      </c>
      <c r="B57" s="6"/>
      <c r="C57" s="2" t="str">
        <f>IFERROR(VLOOKUP(VENTAS4[[#This Row],[Code]],STOCK[],5,FALSE),"-")</f>
        <v>Jeans de pierna recta desgarro</v>
      </c>
    </row>
    <row r="58" s="2" customFormat="1" ht="55" customHeight="1" spans="1:3">
      <c r="A58" s="5" t="s">
        <v>156</v>
      </c>
      <c r="B58" s="6"/>
      <c r="C58" s="2" t="str">
        <f>IFERROR(VLOOKUP(VENTAS4[[#This Row],[Code]],STOCK[],5,FALSE),"-")</f>
        <v>Jeans de pierna recta desgarro</v>
      </c>
    </row>
    <row r="59" s="2" customFormat="1" ht="55" customHeight="1" spans="1:3">
      <c r="A59" s="5" t="s">
        <v>157</v>
      </c>
      <c r="B59" s="6"/>
      <c r="C59" s="2" t="str">
        <f>IFERROR(VLOOKUP(VENTAS4[[#This Row],[Code]],STOCK[],5,FALSE),"-")</f>
        <v>Jeans de pierna recta desgarro</v>
      </c>
    </row>
    <row r="60" s="2" customFormat="1" ht="55" customHeight="1" spans="1:3">
      <c r="A60" s="5" t="s">
        <v>158</v>
      </c>
      <c r="B60" s="6"/>
      <c r="C60" s="2" t="str">
        <f>IFERROR(VLOOKUP(VENTAS4[[#This Row],[Code]],STOCK[],5,FALSE),"-")</f>
        <v>Bañador con estampado floral</v>
      </c>
    </row>
    <row r="61" s="2" customFormat="1" ht="55" customHeight="1" spans="1:3">
      <c r="A61" s="5" t="s">
        <v>159</v>
      </c>
      <c r="B61" s="6"/>
      <c r="C61" s="2" t="str">
        <f>IFERROR(VLOOKUP(VENTAS4[[#This Row],[Code]],STOCK[],5,FALSE),"-")</f>
        <v>Bikini niñita Arcoíris</v>
      </c>
    </row>
    <row r="62" s="2" customFormat="1" ht="55" customHeight="1" spans="1:3">
      <c r="A62" s="5" t="s">
        <v>161</v>
      </c>
      <c r="B62" s="6"/>
      <c r="C62" s="2" t="str">
        <f>IFERROR(VLOOKUP(VENTAS4[[#This Row],[Code]],STOCK[],5,FALSE),"-")</f>
        <v>Bañador una pieza con adorno de mariposas</v>
      </c>
    </row>
    <row r="63" s="2" customFormat="1" ht="55" customHeight="1" spans="1:3">
      <c r="A63" s="5" t="s">
        <v>163</v>
      </c>
      <c r="B63" s="6"/>
      <c r="C63" s="2" t="str">
        <f>IFERROR(VLOOKUP(VENTAS4[[#This Row],[Code]],STOCK[],5,FALSE),"-")</f>
        <v>Traje de baño niñitas malla protectora</v>
      </c>
    </row>
    <row r="64" s="2" customFormat="1" ht="55" customHeight="1" spans="1:3">
      <c r="A64" s="5" t="s">
        <v>165</v>
      </c>
      <c r="B64" s="6"/>
      <c r="C64" s="2" t="str">
        <f>IFERROR(VLOOKUP(VENTAS4[[#This Row],[Code]],STOCK[],5,FALSE),"-")</f>
        <v>Vestido de manga farol con cordón delantero</v>
      </c>
    </row>
    <row r="65" s="2" customFormat="1" ht="55" customHeight="1" spans="1:3">
      <c r="A65" s="5" t="s">
        <v>168</v>
      </c>
      <c r="B65" s="6"/>
      <c r="C65" s="2" t="str">
        <f>IFERROR(VLOOKUP(VENTAS4[[#This Row],[Code]],STOCK[],5,FALSE),"-")</f>
        <v>Vestido con estampado floral con abertura alta</v>
      </c>
    </row>
    <row r="66" s="2" customFormat="1" ht="55" customHeight="1" spans="1:3">
      <c r="A66" s="5" t="s">
        <v>170</v>
      </c>
      <c r="B66" s="6"/>
      <c r="C66" s="2" t="str">
        <f>IFERROR(VLOOKUP(VENTAS4[[#This Row],[Code]],STOCK[],5,FALSE),"-")</f>
        <v>Vestido floral de cuello cuadrado</v>
      </c>
    </row>
    <row r="67" s="2" customFormat="1" ht="55" customHeight="1" spans="1:3">
      <c r="A67" s="5" t="s">
        <v>172</v>
      </c>
      <c r="B67" s="6"/>
      <c r="C67" s="2" t="str">
        <f>IFERROR(VLOOKUP(VENTAS4[[#This Row],[Code]],STOCK[],5,FALSE),"-")</f>
        <v>Camiseta unicolor de malla</v>
      </c>
    </row>
    <row r="68" s="2" customFormat="1" ht="55" customHeight="1" spans="1:3">
      <c r="A68" s="5" t="s">
        <v>175</v>
      </c>
      <c r="B68" s="6"/>
      <c r="C68" s="2" t="str">
        <f>IFERROR(VLOOKUP(VENTAS4[[#This Row],[Code]],STOCK[],5,FALSE),"-")</f>
        <v>Vestido cruzado con abertura con nudo delantero </v>
      </c>
    </row>
    <row r="69" s="2" customFormat="1" ht="55" customHeight="1" spans="1:3">
      <c r="A69" s="5" t="s">
        <v>177</v>
      </c>
      <c r="B69" s="6"/>
      <c r="C69" s="2" t="str">
        <f>IFERROR(VLOOKUP(VENTAS4[[#This Row],[Code]],STOCK[],5,FALSE),"-")</f>
        <v>Vestido cruzado con abertura con nudo delantero</v>
      </c>
    </row>
    <row r="70" s="2" customFormat="1" ht="55" customHeight="1" spans="1:3">
      <c r="A70" s="5" t="s">
        <v>179</v>
      </c>
      <c r="B70" s="6"/>
      <c r="C70" s="2" t="str">
        <f>IFERROR(VLOOKUP(VENTAS4[[#This Row],[Code]],STOCK[],5,FALSE),"-")</f>
        <v>Top de manga farol con abertura en espalda</v>
      </c>
    </row>
    <row r="71" s="2" customFormat="1" ht="55" customHeight="1" spans="1:3">
      <c r="A71" s="5" t="s">
        <v>181</v>
      </c>
      <c r="B71" s="6"/>
      <c r="C71" s="2" t="str">
        <f>IFERROR(VLOOKUP(VENTAS4[[#This Row],[Code]],STOCK[],5,FALSE),"-")</f>
        <v>Top de manga farol con abertura en espalda</v>
      </c>
    </row>
    <row r="72" s="2" customFormat="1" ht="55" customHeight="1" spans="1:3">
      <c r="A72" s="5" t="s">
        <v>182</v>
      </c>
      <c r="B72" s="6"/>
      <c r="C72" s="2" t="str">
        <f>IFERROR(VLOOKUP(VENTAS4[[#This Row],[Code]],STOCK[],5,FALSE),"-")</f>
        <v>Top de manga farol con abertura en espald</v>
      </c>
    </row>
    <row r="73" s="2" customFormat="1" ht="55" customHeight="1" spans="1:3">
      <c r="A73" s="5" t="s">
        <v>184</v>
      </c>
      <c r="B73" s="6"/>
      <c r="C73" s="2" t="str">
        <f>IFERROR(VLOOKUP(VENTAS4[[#This Row],[Code]],STOCK[],5,FALSE),"-")</f>
        <v>Blusa espalda cruzada color rosa</v>
      </c>
    </row>
    <row r="74" s="2" customFormat="1" ht="55" customHeight="1" spans="1:3">
      <c r="A74" s="5" t="s">
        <v>187</v>
      </c>
      <c r="B74" s="6"/>
      <c r="C74" s="2" t="str">
        <f>IFERROR(VLOOKUP(VENTAS4[[#This Row],[Code]],STOCK[],5,FALSE),"-")</f>
        <v> Top de espalda cruzada</v>
      </c>
    </row>
    <row r="75" s="2" customFormat="1" ht="55" customHeight="1" spans="1:3">
      <c r="A75" s="5" t="s">
        <v>190</v>
      </c>
      <c r="B75" s="6"/>
      <c r="C75" s="2" t="str">
        <f>IFERROR(VLOOKUP(VENTAS4[[#This Row],[Code]],STOCK[],5,FALSE),"-")</f>
        <v>Pantalones de pierna ancha de talle alto con abertura</v>
      </c>
    </row>
    <row r="76" s="2" customFormat="1" ht="55" customHeight="1" spans="1:3">
      <c r="A76" s="5" t="s">
        <v>192</v>
      </c>
      <c r="B76" s="6"/>
      <c r="C76" s="2" t="str">
        <f>IFERROR(VLOOKUP(VENTAS4[[#This Row],[Code]],STOCK[],5,FALSE),"-")</f>
        <v>Pantalones de pierna ancha de talle alto con abertura</v>
      </c>
    </row>
    <row r="77" s="2" customFormat="1" ht="55" customHeight="1" spans="1:3">
      <c r="A77" s="5" t="s">
        <v>193</v>
      </c>
      <c r="B77" s="6"/>
      <c r="C77" s="2" t="str">
        <f>IFERROR(VLOOKUP(VENTAS4[[#This Row],[Code]],STOCK[],5,FALSE),"-")</f>
        <v>Pantalones de pierna ancha de talle alto con abertura</v>
      </c>
    </row>
    <row r="78" s="2" customFormat="1" ht="55" customHeight="1" spans="1:3">
      <c r="A78" s="5" t="s">
        <v>194</v>
      </c>
      <c r="B78" s="6"/>
      <c r="C78" s="2" t="str">
        <f>IFERROR(VLOOKUP(VENTAS4[[#This Row],[Code]],STOCK[],5,FALSE),"-")</f>
        <v>Falda de trabajo entallada</v>
      </c>
    </row>
    <row r="79" s="2" customFormat="1" ht="55" customHeight="1" spans="1:3">
      <c r="A79" s="5" t="s">
        <v>197</v>
      </c>
      <c r="B79" s="6"/>
      <c r="C79" s="2" t="str">
        <f>IFERROR(VLOOKUP(VENTAS4[[#This Row],[Code]],STOCK[],5,FALSE),"-")</f>
        <v>Falda de trabajo entallada</v>
      </c>
    </row>
    <row r="80" s="2" customFormat="1" ht="55" customHeight="1" spans="1:3">
      <c r="A80" s="5" t="s">
        <v>199</v>
      </c>
      <c r="B80" s="6"/>
      <c r="C80" s="2" t="str">
        <f>IFERROR(VLOOKUP(VENTAS4[[#This Row],[Code]],STOCK[],5,FALSE),"-")</f>
        <v>Vestido ajustado de tirantes</v>
      </c>
    </row>
    <row r="81" s="2" customFormat="1" ht="55" customHeight="1" spans="1:3">
      <c r="A81" s="5" t="s">
        <v>201</v>
      </c>
      <c r="B81" s="6"/>
      <c r="C81" s="2" t="str">
        <f>IFERROR(VLOOKUP(VENTAS4[[#This Row],[Code]],STOCK[],5,FALSE),"-")</f>
        <v>Vestido moca ajustado</v>
      </c>
    </row>
    <row r="82" s="2" customFormat="1" ht="55" customHeight="1" spans="1:3">
      <c r="A82" s="5" t="s">
        <v>205</v>
      </c>
      <c r="B82" s="6"/>
      <c r="C82" s="2" t="str">
        <f>IFERROR(VLOOKUP(VENTAS4[[#This Row],[Code]],STOCK[],5,FALSE),"-")</f>
        <v>Vestido de satén ajustado de tirantes fruncido</v>
      </c>
    </row>
    <row r="83" s="2" customFormat="1" ht="55" customHeight="1" spans="1:3">
      <c r="A83" s="5" t="s">
        <v>207</v>
      </c>
      <c r="B83" s="6"/>
      <c r="C83" s="2" t="str">
        <f>IFERROR(VLOOKUP(VENTAS4[[#This Row],[Code]],STOCK[],5,FALSE),"-")</f>
        <v>Maxi vestido de bajo floral</v>
      </c>
    </row>
    <row r="84" s="2" customFormat="1" ht="55" customHeight="1" spans="1:3">
      <c r="A84" s="5" t="s">
        <v>209</v>
      </c>
      <c r="B84" s="6"/>
      <c r="C84" s="2" t="str">
        <f>IFERROR(VLOOKUP(VENTAS4[[#This Row],[Code]],STOCK[],5,FALSE),"-")</f>
        <v>Maxi vestido de bajo floral</v>
      </c>
    </row>
    <row r="85" s="2" customFormat="1" ht="55" customHeight="1" spans="1:3">
      <c r="A85" s="5" t="s">
        <v>211</v>
      </c>
      <c r="B85" s="6"/>
      <c r="C85" s="2" t="str">
        <f>IFERROR(VLOOKUP(VENTAS4[[#This Row],[Code]],STOCK[],5,FALSE),"-")</f>
        <v>Maxi vestido con bajo floral</v>
      </c>
    </row>
    <row r="86" s="2" customFormat="1" ht="55" customHeight="1" spans="1:3">
      <c r="A86" s="5" t="s">
        <v>214</v>
      </c>
      <c r="B86" s="6"/>
      <c r="C86" s="2" t="str">
        <f>IFERROR(VLOOKUP(VENTAS4[[#This Row],[Code]],STOCK[],5,FALSE),"-")</f>
        <v>Vestido de solapa y abertura</v>
      </c>
    </row>
    <row r="87" s="2" customFormat="1" ht="55" customHeight="1" spans="1:3">
      <c r="A87" s="5" t="s">
        <v>217</v>
      </c>
      <c r="B87" s="6"/>
      <c r="C87" s="2" t="str">
        <f>IFERROR(VLOOKUP(VENTAS4[[#This Row],[Code]],STOCK[],5,FALSE),"-")</f>
        <v>Vestido de solapa y abertura</v>
      </c>
    </row>
    <row r="88" s="2" customFormat="1" ht="55" customHeight="1" spans="1:3">
      <c r="A88" s="5" t="s">
        <v>218</v>
      </c>
      <c r="B88" s="6"/>
      <c r="C88" s="2" t="str">
        <f>IFERROR(VLOOKUP(VENTAS4[[#This Row],[Code]],STOCK[],5,FALSE),"-")</f>
        <v>Camisetaen contraste tejido canalé</v>
      </c>
    </row>
    <row r="89" s="2" customFormat="1" ht="55" customHeight="1" spans="1:3">
      <c r="A89" s="5" t="s">
        <v>220</v>
      </c>
      <c r="B89" s="6"/>
      <c r="C89" s="2" t="str">
        <f>IFERROR(VLOOKUP(VENTAS4[[#This Row],[Code]],STOCK[],5,FALSE),"-")</f>
        <v>Vestido slip abertura de espalda abierta de cuello desbocado</v>
      </c>
    </row>
    <row r="90" s="2" customFormat="1" ht="55" customHeight="1" spans="1:3">
      <c r="A90" s="5" t="s">
        <v>222</v>
      </c>
      <c r="B90" s="6"/>
      <c r="C90" s="2" t="str">
        <f>IFERROR(VLOOKUP(VENTAS4[[#This Row],[Code]],STOCK[],5,FALSE),"-")</f>
        <v>Vestido ajustado de tirantes con abertura</v>
      </c>
    </row>
    <row r="91" s="2" customFormat="1" ht="55" customHeight="1" spans="1:3">
      <c r="A91" s="5" t="s">
        <v>224</v>
      </c>
      <c r="B91" s="6"/>
      <c r="C91" s="2" t="str">
        <f>IFERROR(VLOOKUP(VENTAS4[[#This Row],[Code]],STOCK[],5,FALSE),"-")</f>
        <v>Vestido de manga farol con cordón delantero</v>
      </c>
    </row>
    <row r="92" s="2" customFormat="1" ht="55" customHeight="1" spans="1:3">
      <c r="A92" s="5" t="s">
        <v>225</v>
      </c>
      <c r="B92" s="6"/>
      <c r="C92" s="2" t="str">
        <f>IFERROR(VLOOKUP(VENTAS4[[#This Row],[Code]],STOCK[],5,FALSE),"-")</f>
        <v> Pantalón ancho con cinturón</v>
      </c>
    </row>
    <row r="93" s="2" customFormat="1" ht="55" customHeight="1" spans="1:3">
      <c r="A93" s="5" t="s">
        <v>228</v>
      </c>
      <c r="B93" s="6"/>
      <c r="C93" s="2" t="str">
        <f>IFERROR(VLOOKUP(VENTAS4[[#This Row],[Code]],STOCK[],5,FALSE),"-")</f>
        <v>Pantalón pierna ancha con cinturón</v>
      </c>
    </row>
    <row r="94" s="2" customFormat="1" ht="55" customHeight="1" spans="1:3">
      <c r="A94" s="5" t="s">
        <v>230</v>
      </c>
      <c r="B94" s="6"/>
      <c r="C94" s="2" t="str">
        <f>IFERROR(VLOOKUP(VENTAS4[[#This Row],[Code]],STOCK[],5,FALSE),"-")</f>
        <v>Vestido Esmeralda Fruncido</v>
      </c>
    </row>
    <row r="95" s="2" customFormat="1" ht="55" customHeight="1" spans="1:3">
      <c r="A95" s="5" t="s">
        <v>232</v>
      </c>
      <c r="B95" s="6"/>
      <c r="C95" s="2" t="str">
        <f>IFERROR(VLOOKUP(VENTAS4[[#This Row],[Code]],STOCK[],5,FALSE),"-")</f>
        <v>Top estampado de cuello con cordón</v>
      </c>
    </row>
    <row r="96" s="2" customFormat="1" ht="55" customHeight="1" spans="1:3">
      <c r="A96" s="5" t="s">
        <v>234</v>
      </c>
      <c r="B96" s="6"/>
      <c r="C96" s="2" t="str">
        <f>IFERROR(VLOOKUP(VENTAS4[[#This Row],[Code]],STOCK[],5,FALSE),"-")</f>
        <v>Top de cuello con cordón de lunares</v>
      </c>
    </row>
    <row r="97" s="2" customFormat="1" ht="55" customHeight="1" spans="1:3">
      <c r="A97" s="5" t="s">
        <v>236</v>
      </c>
      <c r="B97" s="6"/>
      <c r="C97" s="2" t="str">
        <f>IFERROR(VLOOKUP(VENTAS4[[#This Row],[Code]],STOCK[],5,FALSE),"-")</f>
        <v>Top de cuello con cordón de lunares</v>
      </c>
    </row>
    <row r="98" s="2" customFormat="1" ht="55" customHeight="1" spans="1:3">
      <c r="A98" s="5" t="s">
        <v>237</v>
      </c>
      <c r="B98" s="6"/>
      <c r="C98" s="2" t="str">
        <f>IFERROR(VLOOKUP(VENTAS4[[#This Row],[Code]],STOCK[],5,FALSE),"-")</f>
        <v>Vestido tank tejido de canalé con cinturón</v>
      </c>
    </row>
    <row r="99" s="2" customFormat="1" ht="55" customHeight="1" spans="1:3">
      <c r="A99" s="5" t="s">
        <v>239</v>
      </c>
      <c r="B99" s="6"/>
      <c r="C99" s="2" t="str">
        <f>IFERROR(VLOOKUP(VENTAS4[[#This Row],[Code]],STOCK[],5,FALSE),"-")</f>
        <v>Vestido tank tejido de canalé con cinturón</v>
      </c>
    </row>
    <row r="100" s="2" customFormat="1" ht="55" customHeight="1" spans="1:3">
      <c r="A100" s="5" t="s">
        <v>240</v>
      </c>
      <c r="B100" s="6"/>
      <c r="C100" s="2" t="str">
        <f>IFERROR(VLOOKUP(VENTAS4[[#This Row],[Code]],STOCK[],5,FALSE),"-")</f>
        <v>Vestido de cuello cuadrado de espalda abierta</v>
      </c>
    </row>
    <row r="101" s="2" customFormat="1" ht="55" customHeight="1" spans="1:3">
      <c r="A101" s="5" t="s">
        <v>242</v>
      </c>
      <c r="B101" s="6"/>
      <c r="C101" s="2" t="str">
        <f>IFERROR(VLOOKUP(VENTAS4[[#This Row],[Code]],STOCK[],5,FALSE),"-")</f>
        <v>Vestido de cuello cuadrado de espalda abierta</v>
      </c>
    </row>
    <row r="102" s="2" customFormat="1" ht="55" customHeight="1" spans="1:3">
      <c r="A102" s="5" t="s">
        <v>243</v>
      </c>
      <c r="B102" s="6"/>
      <c r="C102" s="2" t="str">
        <f>IFERROR(VLOOKUP(VENTAS4[[#This Row],[Code]],STOCK[],5,FALSE),"-")</f>
        <v>Blusa de manga mariposa escote V</v>
      </c>
    </row>
    <row r="103" s="2" customFormat="1" ht="55" customHeight="1" spans="1:3">
      <c r="A103" s="5" t="s">
        <v>245</v>
      </c>
      <c r="B103" s="6"/>
      <c r="C103" s="2" t="str">
        <f>IFERROR(VLOOKUP(VENTAS4[[#This Row],[Code]],STOCK[],5,FALSE),"-")</f>
        <v>Top de mangas anchas y lentejuelas amarillo</v>
      </c>
    </row>
    <row r="104" s="2" customFormat="1" ht="55" customHeight="1" spans="1:3">
      <c r="A104" s="5" t="s">
        <v>248</v>
      </c>
      <c r="B104" s="6"/>
      <c r="C104" s="2" t="str">
        <f>IFERROR(VLOOKUP(VENTAS4[[#This Row],[Code]],STOCK[],5,FALSE),"-")</f>
        <v>Vestido con abertura con botón floral de margarita</v>
      </c>
    </row>
    <row r="105" s="2" customFormat="1" ht="55" customHeight="1" spans="1:3">
      <c r="A105" s="5" t="s">
        <v>250</v>
      </c>
      <c r="B105" s="6"/>
      <c r="C105" s="2" t="str">
        <f>IFERROR(VLOOKUP(VENTAS4[[#This Row],[Code]],STOCK[],5,FALSE),"-")</f>
        <v>Vestido flor y botones</v>
      </c>
    </row>
    <row r="106" s="2" customFormat="1" ht="55" customHeight="1" spans="1:3">
      <c r="A106" s="5" t="s">
        <v>252</v>
      </c>
      <c r="B106" s="6"/>
      <c r="C106" s="2" t="str">
        <f>IFERROR(VLOOKUP(VENTAS4[[#This Row],[Code]],STOCK[],5,FALSE),"-")</f>
        <v>Vestido con abertura con botón floral de margarita</v>
      </c>
    </row>
    <row r="107" s="2" customFormat="1" ht="55" customHeight="1" spans="1:3">
      <c r="A107" s="5" t="s">
        <v>253</v>
      </c>
      <c r="B107" s="6"/>
      <c r="C107" s="2" t="str">
        <f>IFERROR(VLOOKUP(VENTAS4[[#This Row],[Code]],STOCK[],5,FALSE),"-")</f>
        <v>Blusa espalda cruzada blanca</v>
      </c>
    </row>
    <row r="108" s="2" customFormat="1" ht="55" customHeight="1" spans="1:3">
      <c r="A108" s="5" t="s">
        <v>255</v>
      </c>
      <c r="B108" s="6"/>
      <c r="C108" s="2" t="str">
        <f>IFERROR(VLOOKUP(VENTAS4[[#This Row],[Code]],STOCK[],5,FALSE),"-")</f>
        <v>Top de espalda cruzada</v>
      </c>
    </row>
    <row r="109" s="2" customFormat="1" ht="55" customHeight="1" spans="1:3">
      <c r="A109" s="5" t="s">
        <v>258</v>
      </c>
      <c r="B109" s="6"/>
      <c r="C109" s="2" t="str">
        <f>IFERROR(VLOOKUP(VENTAS4[[#This Row],[Code]],STOCK[],5,FALSE),"-")</f>
        <v>Top unicolor de hombros con almohadilla</v>
      </c>
    </row>
    <row r="110" s="2" customFormat="1" ht="55" customHeight="1" spans="1:3">
      <c r="A110" s="5" t="s">
        <v>260</v>
      </c>
      <c r="B110" s="6"/>
      <c r="C110" s="2" t="str">
        <f>IFERROR(VLOOKUP(VENTAS4[[#This Row],[Code]],STOCK[],5,FALSE),"-")</f>
        <v>Blusas Botón Floral Casual</v>
      </c>
    </row>
    <row r="111" s="2" customFormat="1" ht="55" customHeight="1" spans="1:3">
      <c r="A111" s="5" t="s">
        <v>262</v>
      </c>
      <c r="B111" s="6"/>
      <c r="C111" s="2" t="str">
        <f>IFERROR(VLOOKUP(VENTAS4[[#This Row],[Code]],STOCK[],5,FALSE),"-")</f>
        <v>Blusas Botón Floral Casual</v>
      </c>
    </row>
    <row r="112" s="2" customFormat="1" ht="55" customHeight="1" spans="1:3">
      <c r="A112" s="5" t="s">
        <v>263</v>
      </c>
      <c r="B112" s="6"/>
      <c r="C112" s="2" t="str">
        <f>IFERROR(VLOOKUP(VENTAS4[[#This Row],[Code]],STOCK[],5,FALSE),"-")</f>
        <v>Blusas Botón Floral Casual</v>
      </c>
    </row>
    <row r="113" s="2" customFormat="1" ht="55" customHeight="1" spans="1:3">
      <c r="A113" s="5" t="s">
        <v>264</v>
      </c>
      <c r="B113" s="6"/>
      <c r="C113" s="2" t="str">
        <f>IFERROR(VLOOKUP(VENTAS4[[#This Row],[Code]],STOCK[],5,FALSE),"-")</f>
        <v>Vestido de  lunares de cintura con cordó</v>
      </c>
    </row>
    <row r="114" s="2" customFormat="1" ht="55" customHeight="1" spans="1:3">
      <c r="A114" s="5" t="s">
        <v>266</v>
      </c>
      <c r="B114" s="6"/>
      <c r="C114" s="2" t="str">
        <f>IFERROR(VLOOKUP(VENTAS4[[#This Row],[Code]],STOCK[],5,FALSE),"-")</f>
        <v>Vestido Malla en contraste Lunares Elegante</v>
      </c>
    </row>
    <row r="115" s="2" customFormat="1" ht="55" customHeight="1" spans="1:3">
      <c r="A115" s="5" t="s">
        <v>268</v>
      </c>
      <c r="B115" s="6"/>
      <c r="C115" s="2" t="str">
        <f>IFERROR(VLOOKUP(VENTAS4[[#This Row],[Code]],STOCK[],5,FALSE),"-")</f>
        <v>Vestido Malla en contraste Lunares Elegante</v>
      </c>
    </row>
    <row r="116" s="2" customFormat="1" ht="55" customHeight="1" spans="1:3">
      <c r="A116" s="5" t="s">
        <v>269</v>
      </c>
      <c r="B116" s="6"/>
      <c r="C116" s="2" t="str">
        <f>IFERROR(VLOOKUP(VENTAS4[[#This Row],[Code]],STOCK[],5,FALSE),"-")</f>
        <v>Vestido playera oversize</v>
      </c>
    </row>
    <row r="117" s="2" customFormat="1" ht="55" customHeight="1" spans="1:3">
      <c r="A117" s="5" t="s">
        <v>271</v>
      </c>
      <c r="B117" s="6"/>
      <c r="C117" s="2" t="str">
        <f>IFERROR(VLOOKUP(VENTAS4[[#This Row],[Code]],STOCK[],5,FALSE),"-")</f>
        <v>Vestido camiseta bajo con abertura</v>
      </c>
    </row>
    <row r="118" s="2" customFormat="1" ht="55" customHeight="1" spans="1:3">
      <c r="A118" s="5" t="s">
        <v>273</v>
      </c>
      <c r="B118" s="6"/>
      <c r="C118" s="2" t="str">
        <f>IFERROR(VLOOKUP(VENTAS4[[#This Row],[Code]],STOCK[],5,FALSE),"-")</f>
        <v>Vestido playera oversize</v>
      </c>
    </row>
    <row r="119" s="2" customFormat="1" ht="55" customHeight="1" spans="1:3">
      <c r="A119" s="5" t="s">
        <v>274</v>
      </c>
      <c r="B119" s="6"/>
      <c r="C119" s="2" t="str">
        <f>IFERROR(VLOOKUP(VENTAS4[[#This Row],[Code]],STOCK[],5,FALSE),"-")</f>
        <v>Vestido camiseta bajo con abertura</v>
      </c>
    </row>
    <row r="120" s="2" customFormat="1" ht="55" customHeight="1" spans="1:3">
      <c r="A120" s="5" t="s">
        <v>275</v>
      </c>
      <c r="B120" s="6"/>
      <c r="C120" s="2" t="str">
        <f>IFERROR(VLOOKUP(VENTAS4[[#This Row],[Code]],STOCK[],5,FALSE),"-")</f>
        <v>Falda larga viniletto</v>
      </c>
    </row>
    <row r="121" s="2" customFormat="1" ht="55" customHeight="1" spans="1:3">
      <c r="A121" s="5" t="s">
        <v>278</v>
      </c>
      <c r="B121" s="6"/>
      <c r="C121" s="2" t="str">
        <f>IFERROR(VLOOKUP(VENTAS4[[#This Row],[Code]],STOCK[],5,FALSE),"-")</f>
        <v>Top de cuello V media manga</v>
      </c>
    </row>
    <row r="122" s="2" customFormat="1" ht="55" customHeight="1" spans="1:3">
      <c r="A122" s="5" t="s">
        <v>281</v>
      </c>
      <c r="B122" s="6"/>
      <c r="C122" s="2" t="str">
        <f>IFERROR(VLOOKUP(VENTAS4[[#This Row],[Code]],STOCK[],5,FALSE),"-")</f>
        <v>Conjunto cuadros</v>
      </c>
    </row>
    <row r="123" s="2" customFormat="1" ht="55" customHeight="1" spans="1:3">
      <c r="A123" s="5" t="s">
        <v>284</v>
      </c>
      <c r="B123" s="6"/>
      <c r="C123" s="2" t="str">
        <f>IFERROR(VLOOKUP(VENTAS4[[#This Row],[Code]],STOCK[],5,FALSE),"-")</f>
        <v>Vestido lápiz de manga con malla fina</v>
      </c>
    </row>
    <row r="124" s="2" customFormat="1" ht="55" customHeight="1" spans="1:3">
      <c r="A124" s="5" t="s">
        <v>286</v>
      </c>
      <c r="B124" s="6"/>
      <c r="C124" s="2" t="str">
        <f>IFERROR(VLOOKUP(VENTAS4[[#This Row],[Code]],STOCK[],5,FALSE),"-")</f>
        <v>Conjunto de cuello profundo con girante delantero con falda</v>
      </c>
    </row>
    <row r="125" s="2" customFormat="1" ht="55" customHeight="1" spans="1:3">
      <c r="A125" s="5" t="s">
        <v>289</v>
      </c>
      <c r="B125" s="6"/>
      <c r="C125" s="2" t="str">
        <f>IFERROR(VLOOKUP(VENTAS4[[#This Row],[Code]],STOCK[],5,FALSE),"-")</f>
        <v>Conjunto de cuello profundo con girante delantero con falda</v>
      </c>
    </row>
    <row r="126" s="2" customFormat="1" ht="55" customHeight="1" spans="1:3">
      <c r="A126" s="5" t="s">
        <v>290</v>
      </c>
      <c r="B126" s="6"/>
      <c r="C126" s="2" t="str">
        <f>IFERROR(VLOOKUP(VENTAS4[[#This Row],[Code]],STOCK[],5,FALSE),"-")</f>
        <v> Conjunto elegante acanalado </v>
      </c>
    </row>
    <row r="127" s="2" customFormat="1" ht="55" customHeight="1" spans="1:3">
      <c r="A127" s="5" t="s">
        <v>292</v>
      </c>
      <c r="B127" s="6"/>
      <c r="C127" s="2" t="str">
        <f>IFERROR(VLOOKUP(VENTAS4[[#This Row],[Code]],STOCK[],5,FALSE),"-")</f>
        <v>Blusa elegante con diseño geométrico</v>
      </c>
    </row>
    <row r="128" s="2" customFormat="1" ht="55" customHeight="1" spans="1:3">
      <c r="A128" s="5" t="s">
        <v>295</v>
      </c>
      <c r="B128" s="6"/>
      <c r="C128" s="2" t="str">
        <f>IFERROR(VLOOKUP(VENTAS4[[#This Row],[Code]],STOCK[],5,FALSE),"-")</f>
        <v>Conjunto falda y blusa</v>
      </c>
    </row>
    <row r="129" s="2" customFormat="1" ht="55" customHeight="1" spans="1:3">
      <c r="A129" s="5" t="s">
        <v>297</v>
      </c>
      <c r="B129" s="6"/>
      <c r="C129" s="2" t="str">
        <f>IFERROR(VLOOKUP(VENTAS4[[#This Row],[Code]],STOCK[],5,FALSE),"-")</f>
        <v>Jumpsuit palazzo con lazo delantero</v>
      </c>
    </row>
    <row r="130" s="2" customFormat="1" ht="55" customHeight="1" spans="1:3">
      <c r="A130" s="5" t="s">
        <v>300</v>
      </c>
      <c r="B130" s="6"/>
      <c r="C130" s="2" t="str">
        <f>IFERROR(VLOOKUP(VENTAS4[[#This Row],[Code]],STOCK[],5,FALSE),"-")</f>
        <v>Jumpsuit palazzo de tie dye</v>
      </c>
    </row>
    <row r="131" s="2" customFormat="1" ht="55" customHeight="1" spans="1:3">
      <c r="A131" s="5" t="s">
        <v>303</v>
      </c>
      <c r="B131" s="6"/>
      <c r="C131" s="2" t="str">
        <f>IFERROR(VLOOKUP(VENTAS4[[#This Row],[Code]],STOCK[],5,FALSE),"-")</f>
        <v>Jumpsuit palazzo de tie dye</v>
      </c>
    </row>
    <row r="132" s="2" customFormat="1" ht="55" customHeight="1" spans="1:3">
      <c r="A132" s="5" t="s">
        <v>304</v>
      </c>
      <c r="B132" s="6"/>
      <c r="C132" s="2" t="str">
        <f>IFERROR(VLOOKUP(VENTAS4[[#This Row],[Code]],STOCK[],5,FALSE),"-")</f>
        <v>Conjunto short, camisa y top</v>
      </c>
    </row>
    <row r="133" s="2" customFormat="1" ht="55" customHeight="1" spans="1:3">
      <c r="A133" s="5" t="s">
        <v>306</v>
      </c>
      <c r="B133" s="6"/>
      <c r="C133" s="2" t="str">
        <f>IFERROR(VLOOKUP(VENTAS4[[#This Row],[Code]],STOCK[],5,FALSE),"-")</f>
        <v>Conjunto short, camisa y top</v>
      </c>
    </row>
    <row r="134" s="2" customFormat="1" ht="55" customHeight="1" spans="1:3">
      <c r="A134" s="5" t="s">
        <v>307</v>
      </c>
      <c r="B134" s="6"/>
      <c r="C134" s="2" t="str">
        <f>IFERROR(VLOOKUP(VENTAS4[[#This Row],[Code]],STOCK[],5,FALSE),"-")</f>
        <v>Conjunto de top y pantalón</v>
      </c>
    </row>
    <row r="135" s="2" customFormat="1" ht="55" customHeight="1" spans="1:3">
      <c r="A135" s="5" t="s">
        <v>309</v>
      </c>
      <c r="B135" s="6"/>
      <c r="C135" s="2" t="str">
        <f>IFERROR(VLOOKUP(VENTAS4[[#This Row],[Code]],STOCK[],5,FALSE),"-")</f>
        <v>Vestido ajustado de titrantes finos</v>
      </c>
    </row>
    <row r="136" s="2" customFormat="1" ht="55" customHeight="1" spans="1:3">
      <c r="A136" s="5" t="s">
        <v>311</v>
      </c>
      <c r="B136" s="6"/>
      <c r="C136" s="2" t="str">
        <f>IFERROR(VLOOKUP(VENTAS4[[#This Row],[Code]],STOCK[],5,FALSE),"-")</f>
        <v>Vestido ajustado de titrantes finos</v>
      </c>
    </row>
    <row r="137" s="2" customFormat="1" ht="55" customHeight="1" spans="1:3">
      <c r="A137" s="5" t="s">
        <v>312</v>
      </c>
      <c r="B137" s="6"/>
      <c r="C137" s="2" t="str">
        <f>IFERROR(VLOOKUP(VENTAS4[[#This Row],[Code]],STOCK[],5,FALSE),"-")</f>
        <v>Vestido línea A elegante</v>
      </c>
    </row>
    <row r="138" s="2" customFormat="1" ht="55" customHeight="1" spans="1:3">
      <c r="A138" s="5" t="s">
        <v>314</v>
      </c>
      <c r="B138" s="6"/>
      <c r="C138" s="9" t="str">
        <f>IFERROR(VLOOKUP(VENTAS4[[#This Row],[Code]],STOCK[],5,FALSE),"-")</f>
        <v>Vestido línea A elegante</v>
      </c>
    </row>
    <row r="139" s="2" customFormat="1" ht="55" customHeight="1" spans="1:3">
      <c r="A139" s="5" t="s">
        <v>315</v>
      </c>
      <c r="B139" s="6"/>
      <c r="C139" s="9" t="str">
        <f>IFERROR(VLOOKUP(VENTAS4[[#This Row],[Code]],STOCK[],5,FALSE),"-")</f>
        <v>Conjunto Top y Falda con textura</v>
      </c>
    </row>
    <row r="140" s="2" customFormat="1" ht="55" customHeight="1" spans="1:3">
      <c r="A140" s="5" t="s">
        <v>317</v>
      </c>
      <c r="B140" s="6"/>
      <c r="C140" s="9" t="str">
        <f>IFERROR(VLOOKUP(VENTAS4[[#This Row],[Code]],STOCK[],5,FALSE),"-")</f>
        <v>Conjuntot Top corto &amp; Pantalones</v>
      </c>
    </row>
    <row r="141" s="2" customFormat="1" ht="55" customHeight="1" spans="1:3">
      <c r="A141" s="5" t="s">
        <v>319</v>
      </c>
      <c r="B141" s="6"/>
      <c r="C141" s="9" t="str">
        <f>IFERROR(VLOOKUP(VENTAS4[[#This Row],[Code]],STOCK[],5,FALSE),"-")</f>
        <v>Falda en mezclilla de talle alto con abertura</v>
      </c>
    </row>
    <row r="142" s="2" customFormat="1" ht="55" customHeight="1" spans="1:3">
      <c r="A142" s="5" t="s">
        <v>321</v>
      </c>
      <c r="B142" s="6"/>
      <c r="C142" s="9" t="str">
        <f>IFERROR(VLOOKUP(VENTAS4[[#This Row],[Code]],STOCK[],5,FALSE),"-")</f>
        <v>Conjunto top corto y pantalones</v>
      </c>
    </row>
    <row r="143" s="2" customFormat="1" ht="55" customHeight="1" spans="1:3">
      <c r="A143" s="5" t="s">
        <v>323</v>
      </c>
      <c r="B143" s="6"/>
      <c r="C143" s="9" t="str">
        <f>IFERROR(VLOOKUP(VENTAS4[[#This Row],[Code]],STOCK[],5,FALSE),"-")</f>
        <v>Vestido Tie-Dye Bohemio</v>
      </c>
    </row>
    <row r="144" s="2" customFormat="1" ht="55" customHeight="1" spans="1:3">
      <c r="A144" s="5" t="s">
        <v>325</v>
      </c>
      <c r="B144" s="6"/>
      <c r="C144" s="9" t="str">
        <f>IFERROR(VLOOKUP(VENTAS4[[#This Row],[Code]],STOCK[],5,FALSE),"-")</f>
        <v>Vestido camisero con cinturón</v>
      </c>
    </row>
    <row r="145" s="2" customFormat="1" ht="55" customHeight="1" spans="1:3">
      <c r="A145" s="5" t="s">
        <v>327</v>
      </c>
      <c r="B145" s="6"/>
      <c r="C145" s="9" t="str">
        <f>IFERROR(VLOOKUP(VENTAS4[[#This Row],[Code]],STOCK[],5,FALSE),"-")</f>
        <v>Vestido tubo con abertura de muslo con abertura</v>
      </c>
    </row>
    <row r="146" s="2" customFormat="1" ht="55" customHeight="1" spans="1:3">
      <c r="A146" s="5" t="s">
        <v>329</v>
      </c>
      <c r="B146" s="6"/>
      <c r="C146" s="9" t="str">
        <f>IFERROR(VLOOKUP(VENTAS4[[#This Row],[Code]],STOCK[],5,FALSE),"-")</f>
        <v>Vestido ajustado con abertura</v>
      </c>
    </row>
    <row r="147" s="2" customFormat="1" ht="55" customHeight="1" spans="1:3">
      <c r="A147" s="5" t="s">
        <v>331</v>
      </c>
      <c r="B147" s="6"/>
      <c r="C147" s="9" t="str">
        <f>IFERROR(VLOOKUP(VENTAS4[[#This Row],[Code]],STOCK[],5,FALSE),"-")</f>
        <v>Vestido floral con cinturón</v>
      </c>
    </row>
    <row r="148" s="2" customFormat="1" ht="55" customHeight="1" spans="1:3">
      <c r="A148" s="5" t="s">
        <v>333</v>
      </c>
      <c r="B148" s="6"/>
      <c r="C148" s="9" t="str">
        <f>IFERROR(VLOOKUP(VENTAS4[[#This Row],[Code]],STOCK[],5,FALSE),"-")</f>
        <v>Vestido cruzado de lunares </v>
      </c>
    </row>
    <row r="149" s="2" customFormat="1" ht="55" customHeight="1" spans="1:3">
      <c r="A149" s="5" t="s">
        <v>335</v>
      </c>
      <c r="B149" s="6"/>
      <c r="C149" s="9" t="str">
        <f>IFERROR(VLOOKUP(VENTAS4[[#This Row],[Code]],STOCK[],5,FALSE),"-")</f>
        <v>Vestido cruzado de lunares </v>
      </c>
    </row>
    <row r="150" s="2" customFormat="1" ht="55" customHeight="1" spans="1:3">
      <c r="A150" s="5" t="s">
        <v>336</v>
      </c>
      <c r="B150" s="6"/>
      <c r="C150" s="9" t="str">
        <f>IFERROR(VLOOKUP(VENTAS4[[#This Row],[Code]],STOCK[],5,FALSE),"-")</f>
        <v>Vestido healter dama de honor</v>
      </c>
    </row>
    <row r="151" s="2" customFormat="1" ht="55" customHeight="1" spans="1:3">
      <c r="A151" s="5" t="s">
        <v>339</v>
      </c>
      <c r="B151" s="6"/>
      <c r="C151" s="9" t="str">
        <f>IFERROR(VLOOKUP(VENTAS4[[#This Row],[Code]],STOCK[],5,FALSE),"-")</f>
        <v>Vestido healter dama de honor</v>
      </c>
    </row>
    <row r="152" s="2" customFormat="1" ht="55" customHeight="1" spans="1:3">
      <c r="A152" s="5" t="s">
        <v>340</v>
      </c>
      <c r="B152" s="6"/>
      <c r="C152" s="9" t="str">
        <f>IFERROR(VLOOKUP(VENTAS4[[#This Row],[Code]],STOCK[],5,FALSE),"-")</f>
        <v>Vestido healter dama de honor</v>
      </c>
    </row>
    <row r="153" s="2" customFormat="1" ht="55" customHeight="1" spans="1:3">
      <c r="A153" s="5" t="s">
        <v>341</v>
      </c>
      <c r="B153" s="6"/>
      <c r="C153" s="9" t="str">
        <f>IFERROR(VLOOKUP(VENTAS4[[#This Row],[Code]],STOCK[],5,FALSE),"-")</f>
        <v> Body de encaje</v>
      </c>
    </row>
    <row r="154" s="2" customFormat="1" ht="55" customHeight="1" spans="1:3">
      <c r="A154" s="5" t="s">
        <v>343</v>
      </c>
      <c r="B154" s="6"/>
      <c r="C154" s="9" t="str">
        <f>IFERROR(VLOOKUP(VENTAS4[[#This Row],[Code]],STOCK[],5,FALSE),"-")</f>
        <v>Vestido ajustado</v>
      </c>
    </row>
    <row r="155" s="2" customFormat="1" ht="55" customHeight="1" spans="1:3">
      <c r="A155" s="5" t="s">
        <v>345</v>
      </c>
      <c r="B155" s="6"/>
      <c r="C155" s="9" t="str">
        <f>IFERROR(VLOOKUP(VENTAS4[[#This Row],[Code]],STOCK[],5,FALSE),"-")</f>
        <v>SHEIN Belle Vestido de dama de honor de hombros descubiertos fruncido cruzado de satén</v>
      </c>
    </row>
    <row r="156" s="2" customFormat="1" ht="55" customHeight="1" spans="1:3">
      <c r="A156" s="5" t="s">
        <v>347</v>
      </c>
      <c r="B156" s="6"/>
      <c r="C156" s="9" t="str">
        <f>IFERROR(VLOOKUP(VENTAS4[[#This Row],[Code]],STOCK[],5,FALSE),"-")</f>
        <v>Vestido bajo cruzado de tie dye</v>
      </c>
    </row>
    <row r="157" s="2" customFormat="1" ht="55" customHeight="1" spans="1:3">
      <c r="A157" s="5" t="s">
        <v>349</v>
      </c>
      <c r="B157" s="6"/>
      <c r="C157" s="9" t="str">
        <f>IFERROR(VLOOKUP(VENTAS4[[#This Row],[Code]],STOCK[],5,FALSE),"-")</f>
        <v>Pañuelo con estampado de paisley</v>
      </c>
    </row>
    <row r="158" s="2" customFormat="1" ht="55" customHeight="1" spans="1:3">
      <c r="A158" s="5" t="s">
        <v>353</v>
      </c>
      <c r="B158" s="6"/>
      <c r="C158" s="9" t="str">
        <f>IFERROR(VLOOKUP(VENTAS4[[#This Row],[Code]],STOCK[],5,FALSE),"-")</f>
        <v>Vestido de espalda cruzada</v>
      </c>
    </row>
    <row r="159" s="2" customFormat="1" ht="55" customHeight="1" spans="1:3">
      <c r="A159" s="5" t="s">
        <v>355</v>
      </c>
      <c r="B159" s="6"/>
      <c r="C159" s="9" t="str">
        <f>IFERROR(VLOOKUP(VENTAS4[[#This Row],[Code]],STOCK[],5,FALSE),"-")</f>
        <v>EMERY ROSE Vestido maxi floral con estampado de pañuelo de manga farol bajo con fruncido</v>
      </c>
    </row>
    <row r="160" s="2" customFormat="1" ht="55" customHeight="1" spans="1:3">
      <c r="A160" s="5" t="s">
        <v>357</v>
      </c>
      <c r="B160" s="6"/>
      <c r="C160" s="9" t="str">
        <f>IFERROR(VLOOKUP(VENTAS4[[#This Row],[Code]],STOCK[],5,FALSE),"-")</f>
        <v>Vestido elegante de espalda corrida</v>
      </c>
    </row>
    <row r="161" s="2" customFormat="1" ht="55" customHeight="1" spans="1:3">
      <c r="A161" s="5" t="s">
        <v>359</v>
      </c>
      <c r="B161" s="6"/>
      <c r="C161" s="9" t="str">
        <f>IFERROR(VLOOKUP(VENTAS4[[#This Row],[Code]],STOCK[],5,FALSE),"-")</f>
        <v>Pantalón tejido de rayas </v>
      </c>
    </row>
    <row r="162" s="2" customFormat="1" ht="55" customHeight="1" spans="1:3">
      <c r="A162" s="5" t="s">
        <v>361</v>
      </c>
      <c r="B162" s="6"/>
      <c r="C162" s="9" t="str">
        <f>IFERROR(VLOOKUP(VENTAS4[[#This Row],[Code]],STOCK[],5,FALSE),"-")</f>
        <v>Pantalones tejido de rayas </v>
      </c>
    </row>
    <row r="163" s="2" customFormat="1" ht="55" customHeight="1" spans="1:3">
      <c r="A163" s="5" t="s">
        <v>363</v>
      </c>
      <c r="B163" s="6"/>
      <c r="C163" s="9" t="str">
        <f>IFERROR(VLOOKUP(VENTAS4[[#This Row],[Code]],STOCK[],5,FALSE),"-")</f>
        <v>Vestido satinado elegante</v>
      </c>
    </row>
    <row r="164" s="2" customFormat="1" ht="55" customHeight="1" spans="1:3">
      <c r="A164" s="5" t="s">
        <v>365</v>
      </c>
      <c r="B164" s="6"/>
      <c r="C164" s="9" t="str">
        <f>IFERROR(VLOOKUP(VENTAS4[[#This Row],[Code]],STOCK[],5,FALSE),"-")</f>
        <v>Vestido manga larga con cinturón</v>
      </c>
    </row>
    <row r="165" s="2" customFormat="1" ht="55" customHeight="1" spans="1:3">
      <c r="A165" s="5" t="s">
        <v>367</v>
      </c>
      <c r="B165" s="6"/>
      <c r="C165" s="9" t="str">
        <f>IFERROR(VLOOKUP(VENTAS4[[#This Row],[Code]],STOCK[],5,FALSE),"-")</f>
        <v>Vestido de un hombro con nudo</v>
      </c>
    </row>
    <row r="166" s="2" customFormat="1" ht="55" customHeight="1" spans="1:3">
      <c r="A166" s="5" t="s">
        <v>369</v>
      </c>
      <c r="B166" s="6"/>
      <c r="C166" s="9" t="str">
        <f>IFERROR(VLOOKUP(VENTAS4[[#This Row],[Code]],STOCK[],5,FALSE),"-")</f>
        <v>SHEIN Vestido niña ceremonia de tirantes bajo con malla con lazo grande_98CM</v>
      </c>
    </row>
    <row r="167" s="2" customFormat="1" ht="55" customHeight="1" spans="1:3">
      <c r="A167" s="5" t="s">
        <v>372</v>
      </c>
      <c r="B167" s="6"/>
      <c r="C167" s="9" t="str">
        <f>IFERROR(VLOOKUP(VENTAS4[[#This Row],[Code]],STOCK[],5,FALSE),"-")</f>
        <v>SHEIN VCAY Vestido ajustado con estampado de corazón de confeti de hombros descubiertos ribete fruncido_S</v>
      </c>
    </row>
    <row r="168" s="2" customFormat="1" ht="55" customHeight="1" spans="1:3">
      <c r="A168" s="5" t="s">
        <v>374</v>
      </c>
      <c r="B168" s="6"/>
      <c r="C168" s="9" t="str">
        <f>IFERROR(VLOOKUP(VENTAS4[[#This Row],[Code]],STOCK[],5,FALSE),"-")</f>
        <v>SHEIN Belle Vestido de dama de honor de hombros descubiertos fruncido cruzado_S</v>
      </c>
    </row>
    <row r="169" s="2" customFormat="1" ht="55" customHeight="1" spans="1:3">
      <c r="A169" s="5" t="s">
        <v>376</v>
      </c>
      <c r="B169" s="6"/>
      <c r="C169" s="9" t="str">
        <f>IFERROR(VLOOKUP(VENTAS4[[#This Row],[Code]],STOCK[],5,FALSE),"-")</f>
        <v>SHEIN Felegant Vestido ajustado con estampado de leopardo_M</v>
      </c>
    </row>
    <row r="170" s="2" customFormat="1" ht="55" customHeight="1" spans="1:3">
      <c r="A170" s="5" t="s">
        <v>378</v>
      </c>
      <c r="B170" s="6"/>
      <c r="C170" s="9" t="str">
        <f>IFERROR(VLOOKUP(VENTAS4[[#This Row],[Code]],STOCK[],5,FALSE),"-")</f>
        <v>Elegant Vestido ajustado con estampado de leopardo</v>
      </c>
    </row>
    <row r="171" s="2" customFormat="1" ht="55" customHeight="1" spans="1:3">
      <c r="A171" s="5" t="s">
        <v>380</v>
      </c>
      <c r="B171" s="6"/>
      <c r="C171" s="9" t="str">
        <f>IFERROR(VLOOKUP(VENTAS4[[#This Row],[Code]],STOCK[],5,FALSE),"-")</f>
        <v>Vestido corto de puntos </v>
      </c>
    </row>
    <row r="172" s="2" customFormat="1" ht="55" customHeight="1" spans="1:3">
      <c r="A172" s="5" t="s">
        <v>382</v>
      </c>
      <c r="B172" s="6"/>
      <c r="C172" s="9" t="str">
        <f>IFERROR(VLOOKUP(VENTAS4[[#This Row],[Code]],STOCK[],5,FALSE),"-")</f>
        <v>Cinturón con hebilla_Unitalla</v>
      </c>
    </row>
    <row r="173" s="2" customFormat="1" ht="55" customHeight="1" spans="1:3">
      <c r="A173" s="5" t="s">
        <v>385</v>
      </c>
      <c r="B173" s="6"/>
      <c r="C173" s="9" t="str">
        <f>IFERROR(VLOOKUP(VENTAS4[[#This Row],[Code]],STOCK[],5,FALSE),"-")</f>
        <v>Bolsa cartera con manija_Negro</v>
      </c>
    </row>
    <row r="174" s="2" customFormat="1" ht="55" customHeight="1" spans="1:3">
      <c r="A174" s="5" t="s">
        <v>388</v>
      </c>
      <c r="B174" s="6"/>
      <c r="C174" s="9" t="str">
        <f>IFERROR(VLOOKUP(VENTAS4[[#This Row],[Code]],STOCK[],5,FALSE),"-")</f>
        <v>Bolsa cartera con solapa con lagartija_Caqui</v>
      </c>
    </row>
    <row r="175" s="2" customFormat="1" ht="55" customHeight="1" spans="1:3">
      <c r="A175" s="5" t="s">
        <v>390</v>
      </c>
      <c r="B175" s="6"/>
      <c r="C175" s="9" t="str">
        <f>IFERROR(VLOOKUP(VENTAS4[[#This Row],[Code]],STOCK[],5,FALSE),"-")</f>
        <v>Brocha para maquillaje</v>
      </c>
    </row>
    <row r="176" s="2" customFormat="1" ht="55" customHeight="1" spans="1:3">
      <c r="A176" s="5" t="s">
        <v>394</v>
      </c>
      <c r="B176" s="6"/>
      <c r="C176" s="9" t="str">
        <f>IFERROR(VLOOKUP(VENTAS4[[#This Row],[Code]],STOCK[],5,FALSE),"-")</f>
        <v>Bolsa cartera de cocodrilo_Naranja Quemada</v>
      </c>
    </row>
    <row r="177" s="2" customFormat="1" ht="55" customHeight="1" spans="1:3">
      <c r="A177" s="5" t="s">
        <v>396</v>
      </c>
      <c r="B177" s="6"/>
      <c r="C177" s="9" t="str">
        <f>IFERROR(VLOOKUP(VENTAS4[[#This Row],[Code]],STOCK[],5,FALSE),"-")</f>
        <v>Cinturones Casual</v>
      </c>
    </row>
    <row r="178" s="2" customFormat="1" ht="55" customHeight="1" spans="1:3">
      <c r="A178" s="5" t="s">
        <v>398</v>
      </c>
      <c r="B178" s="6"/>
      <c r="C178" s="9" t="str">
        <f>IFERROR(VLOOKUP(VENTAS4[[#This Row],[Code]],STOCK[],5,FALSE),"-")</f>
        <v>EMERY ROSE Vestido Volante rígido Floral Sencillo_L</v>
      </c>
    </row>
    <row r="179" s="2" customFormat="1" ht="55" customHeight="1" spans="1:3">
      <c r="A179" s="5" t="s">
        <v>400</v>
      </c>
      <c r="B179" s="6"/>
      <c r="C179" s="9" t="str">
        <f>IFERROR(VLOOKUP(VENTAS4[[#This Row],[Code]],STOCK[],5,FALSE),"-")</f>
        <v>Vestido Volante rígido Floral </v>
      </c>
    </row>
    <row r="180" s="2" customFormat="1" ht="55" customHeight="1" spans="1:3">
      <c r="A180" s="5" t="s">
        <v>402</v>
      </c>
      <c r="B180" s="6"/>
      <c r="C180" s="9" t="str">
        <f>IFERROR(VLOOKUP(VENTAS4[[#This Row],[Code]],STOCK[],5,FALSE),"-")</f>
        <v>Vestido Floreado corte de sirena</v>
      </c>
    </row>
    <row r="181" s="2" customFormat="1" ht="55" customHeight="1" spans="1:3">
      <c r="A181" s="5" t="s">
        <v>404</v>
      </c>
      <c r="B181" s="6"/>
      <c r="C181" s="9" t="str">
        <f>IFERROR(VLOOKUP(VENTAS4[[#This Row],[Code]],STOCK[],5,FALSE),"-")</f>
        <v>Vestido Bohemio</v>
      </c>
    </row>
    <row r="182" s="2" customFormat="1" ht="55" customHeight="1" spans="1:3">
      <c r="A182" s="5" t="s">
        <v>406</v>
      </c>
      <c r="B182" s="6"/>
      <c r="C182" s="9" t="str">
        <f>IFERROR(VLOOKUP(VENTAS4[[#This Row],[Code]],STOCK[],5,FALSE),"-")</f>
        <v>Bañador una pieza de color combinado </v>
      </c>
    </row>
    <row r="183" s="2" customFormat="1" ht="55" customHeight="1" spans="1:3">
      <c r="A183" s="5" t="s">
        <v>408</v>
      </c>
      <c r="B183" s="6"/>
      <c r="C183" s="9" t="str">
        <f>IFERROR(VLOOKUP(VENTAS4[[#This Row],[Code]],STOCK[],5,FALSE),"-")</f>
        <v>Bañador una pieza de color combinado </v>
      </c>
    </row>
    <row r="184" s="2" customFormat="1" ht="55" customHeight="1" spans="1:3">
      <c r="A184" s="5" t="s">
        <v>409</v>
      </c>
      <c r="B184" s="6"/>
      <c r="C184" s="9" t="str">
        <f>IFERROR(VLOOKUP(VENTAS4[[#This Row],[Code]],STOCK[],5,FALSE),"-")</f>
        <v>Bañador una pieza de color combinado </v>
      </c>
    </row>
    <row r="185" s="2" customFormat="1" ht="55" customHeight="1" spans="1:3">
      <c r="A185" s="5" t="s">
        <v>410</v>
      </c>
      <c r="B185" s="6"/>
      <c r="C185" s="9" t="str">
        <f>IFERROR(VLOOKUP(VENTAS4[[#This Row],[Code]],STOCK[],5,FALSE),"-")</f>
        <v>Bikini Floral</v>
      </c>
    </row>
    <row r="186" s="2" customFormat="1" ht="55" customHeight="1" spans="1:3">
      <c r="A186" s="5" t="s">
        <v>411</v>
      </c>
      <c r="B186" s="6"/>
      <c r="C186" s="9" t="str">
        <f>IFERROR(VLOOKUP(VENTAS4[[#This Row],[Code]],STOCK[],5,FALSE),"-")</f>
        <v>Bikini Floral</v>
      </c>
    </row>
    <row r="187" s="2" customFormat="1" ht="55" customHeight="1" spans="1:3">
      <c r="A187" s="5" t="s">
        <v>412</v>
      </c>
      <c r="B187" s="6"/>
      <c r="C187" s="9" t="str">
        <f>IFERROR(VLOOKUP(VENTAS4[[#This Row],[Code]],STOCK[],5,FALSE),"-")</f>
        <v>Bikini Floral</v>
      </c>
    </row>
    <row r="188" s="2" customFormat="1" ht="55" customHeight="1" spans="1:3">
      <c r="A188" s="5" t="s">
        <v>413</v>
      </c>
      <c r="B188" s="6"/>
      <c r="C188" s="9" t="str">
        <f>IFERROR(VLOOKUP(VENTAS4[[#This Row],[Code]],STOCK[],5,FALSE),"-")</f>
        <v>Bañador bikini tropical con estampado de hoja de talle alto_L</v>
      </c>
    </row>
    <row r="189" s="2" customFormat="1" ht="55" customHeight="1" spans="1:3">
      <c r="A189" s="5" t="s">
        <v>415</v>
      </c>
      <c r="B189" s="6"/>
      <c r="C189" s="9" t="str">
        <f>IFERROR(VLOOKUP(VENTAS4[[#This Row],[Code]],STOCK[],5,FALSE),"-")</f>
        <v>Bañador bikini tropical con estampado de hoja de talle alto_M</v>
      </c>
    </row>
    <row r="190" s="2" customFormat="1" ht="55" customHeight="1" spans="1:3">
      <c r="A190" s="5" t="s">
        <v>417</v>
      </c>
      <c r="B190" s="6"/>
      <c r="C190" s="9" t="str">
        <f>IFERROR(VLOOKUP(VENTAS4[[#This Row],[Code]],STOCK[],5,FALSE),"-")</f>
        <v>Bikini tropical con estampado de hoja</v>
      </c>
    </row>
    <row r="191" s="2" customFormat="1" ht="55" customHeight="1" spans="1:3">
      <c r="A191" s="5" t="s">
        <v>419</v>
      </c>
      <c r="B191" s="6"/>
      <c r="C191" s="9" t="str">
        <f>IFERROR(VLOOKUP(VENTAS4[[#This Row],[Code]],STOCK[],5,FALSE),"-")</f>
        <v>Bañador una pieza tropical_XL</v>
      </c>
    </row>
    <row r="192" s="2" customFormat="1" ht="55" customHeight="1" spans="1:3">
      <c r="A192" s="5" t="s">
        <v>421</v>
      </c>
      <c r="B192" s="6"/>
      <c r="C192" s="9" t="str">
        <f>IFERROR(VLOOKUP(VENTAS4[[#This Row],[Code]],STOCK[],5,FALSE),"-")</f>
        <v>Bañador una pieza tropical_M</v>
      </c>
    </row>
    <row r="193" s="2" customFormat="1" ht="55" customHeight="1" spans="1:3">
      <c r="A193" s="5" t="s">
        <v>423</v>
      </c>
      <c r="B193" s="6"/>
      <c r="C193" s="9" t="str">
        <f>IFERROR(VLOOKUP(VENTAS4[[#This Row],[Code]],STOCK[],5,FALSE),"-")</f>
        <v>Bañador una pieza tropical_L</v>
      </c>
    </row>
    <row r="194" s="2" customFormat="1" ht="55" customHeight="1" spans="1:3">
      <c r="A194" s="5" t="s">
        <v>425</v>
      </c>
      <c r="B194" s="6"/>
      <c r="C194" s="9" t="str">
        <f>IFERROR(VLOOKUP(VENTAS4[[#This Row],[Code]],STOCK[],5,FALSE),"-")</f>
        <v>Mono Bohemiocon cinturón </v>
      </c>
    </row>
    <row r="195" s="2" customFormat="1" ht="55" customHeight="1" spans="1:3">
      <c r="A195" s="5" t="s">
        <v>427</v>
      </c>
      <c r="B195" s="6"/>
      <c r="C195" s="9" t="str">
        <f>IFERROR(VLOOKUP(VENTAS4[[#This Row],[Code]],STOCK[],5,FALSE),"-")</f>
        <v>Mono Bohemio con cinturón </v>
      </c>
    </row>
    <row r="196" s="2" customFormat="1" ht="55" customHeight="1" spans="1:3">
      <c r="A196" s="5" t="s">
        <v>429</v>
      </c>
      <c r="B196" s="6"/>
      <c r="C196" s="9" t="str">
        <f>IFERROR(VLOOKUP(VENTAS4[[#This Row],[Code]],STOCK[],5,FALSE),"-")</f>
        <v>Vestido con cordón de espalda cruzada</v>
      </c>
    </row>
    <row r="197" s="2" customFormat="1" ht="55" customHeight="1" spans="1:3">
      <c r="A197" s="5" t="s">
        <v>431</v>
      </c>
      <c r="B197" s="6"/>
      <c r="C197" s="9" t="str">
        <f>IFERROR(VLOOKUP(VENTAS4[[#This Row],[Code]],STOCK[],5,FALSE),"-")</f>
        <v>Vestido con cordón de espalda cruzada</v>
      </c>
    </row>
    <row r="198" s="2" customFormat="1" ht="55" customHeight="1" spans="1:3">
      <c r="A198" s="5" t="s">
        <v>432</v>
      </c>
      <c r="B198" s="6"/>
      <c r="C198" s="9" t="str">
        <f>IFERROR(VLOOKUP(VENTAS4[[#This Row],[Code]],STOCK[],5,FALSE),"-")</f>
        <v>Vestido con cordón de espalda abierta </v>
      </c>
    </row>
    <row r="199" s="2" customFormat="1" ht="55" customHeight="1" spans="1:3">
      <c r="A199" s="5" t="s">
        <v>434</v>
      </c>
      <c r="B199" s="6"/>
      <c r="C199" s="9" t="str">
        <f>IFERROR(VLOOKUP(VENTAS4[[#This Row],[Code]],STOCK[],5,FALSE),"-")</f>
        <v>Camisa amplia multicolor </v>
      </c>
    </row>
    <row r="200" s="2" customFormat="1" ht="55" customHeight="1" spans="1:3">
      <c r="A200" s="5" t="s">
        <v>436</v>
      </c>
      <c r="B200" s="6"/>
      <c r="C200" s="9" t="str">
        <f>IFERROR(VLOOKUP(VENTAS4[[#This Row],[Code]],STOCK[],5,FALSE),"-")</f>
        <v>Bañador bikini floral</v>
      </c>
    </row>
    <row r="201" s="2" customFormat="1" ht="55" customHeight="1" spans="1:3">
      <c r="A201" s="5" t="s">
        <v>438</v>
      </c>
      <c r="B201" s="6"/>
      <c r="C201" s="9" t="str">
        <f>IFERROR(VLOOKUP(VENTAS4[[#This Row],[Code]],STOCK[],5,FALSE),"-")</f>
        <v>Bañador estampado de planta</v>
      </c>
    </row>
    <row r="202" s="2" customFormat="1" ht="55" customHeight="1" spans="1:3">
      <c r="A202" s="5" t="s">
        <v>439</v>
      </c>
      <c r="B202" s="6"/>
      <c r="C202" s="9" t="str">
        <f>IFERROR(VLOOKUP(VENTAS4[[#This Row],[Code]],STOCK[],5,FALSE),"-")</f>
        <v>Blusa de cuello cisne</v>
      </c>
    </row>
    <row r="203" s="2" customFormat="1" ht="55" customHeight="1" spans="1:3">
      <c r="A203" s="5" t="s">
        <v>441</v>
      </c>
      <c r="B203" s="6"/>
      <c r="C203" s="9" t="str">
        <f>IFERROR(VLOOKUP(VENTAS4[[#This Row],[Code]],STOCK[],5,FALSE),"-")</f>
        <v>Top corto de cuello cuadrado </v>
      </c>
    </row>
    <row r="204" s="2" customFormat="1" ht="55" customHeight="1" spans="1:3">
      <c r="A204" s="5" t="s">
        <v>444</v>
      </c>
      <c r="B204" s="6"/>
      <c r="C204" s="9" t="str">
        <f>IFERROR(VLOOKUP(VENTAS4[[#This Row],[Code]],STOCK[],5,FALSE),"-")</f>
        <v>Vestido Amanecer</v>
      </c>
    </row>
    <row r="205" s="2" customFormat="1" ht="55" customHeight="1" spans="1:3">
      <c r="A205" s="5" t="s">
        <v>446</v>
      </c>
      <c r="B205" s="6"/>
      <c r="C205" s="9" t="str">
        <f>IFERROR(VLOOKUP(VENTAS4[[#This Row],[Code]],STOCK[],5,FALSE),"-")</f>
        <v>Skort asimétrico floral </v>
      </c>
    </row>
    <row r="206" s="2" customFormat="1" ht="55" customHeight="1" spans="1:3">
      <c r="A206" s="5" t="s">
        <v>448</v>
      </c>
      <c r="B206" s="6"/>
      <c r="C206" s="9" t="str">
        <f>IFERROR(VLOOKUP(VENTAS4[[#This Row],[Code]],STOCK[],5,FALSE),"-")</f>
        <v>Bañador estampado de planta</v>
      </c>
    </row>
    <row r="207" s="2" customFormat="1" ht="55" customHeight="1" spans="1:3">
      <c r="A207" s="5" t="s">
        <v>449</v>
      </c>
      <c r="B207" s="6"/>
      <c r="C207" s="9" t="str">
        <f>IFERROR(VLOOKUP(VENTAS4[[#This Row],[Code]],STOCK[],5,FALSE),"-")</f>
        <v>Bañador estampado de planta</v>
      </c>
    </row>
    <row r="208" s="2" customFormat="1" ht="55" customHeight="1" spans="1:3">
      <c r="A208" s="5" t="s">
        <v>450</v>
      </c>
      <c r="B208" s="6"/>
      <c r="C208" s="9" t="str">
        <f>IFERROR(VLOOKUP(VENTAS4[[#This Row],[Code]],STOCK[],5,FALSE),"-")</f>
        <v>Bañador estampado de planta</v>
      </c>
    </row>
    <row r="209" s="2" customFormat="1" ht="55" customHeight="1" spans="1:3">
      <c r="A209" s="5" t="s">
        <v>451</v>
      </c>
      <c r="B209" s="6"/>
      <c r="C209" s="9" t="str">
        <f>IFERROR(VLOOKUP(VENTAS4[[#This Row],[Code]],STOCK[],5,FALSE),"-")</f>
        <v>Bañador bikini de manga raglán con cordón floral</v>
      </c>
    </row>
    <row r="210" s="2" customFormat="1" ht="55" customHeight="1" spans="1:3">
      <c r="A210" s="5" t="s">
        <v>453</v>
      </c>
      <c r="B210" s="6"/>
      <c r="C210" s="9" t="str">
        <f>IFERROR(VLOOKUP(VENTAS4[[#This Row],[Code]],STOCK[],5,FALSE),"-")</f>
        <v>Bañador bikini de manga raglán con cordón floral</v>
      </c>
    </row>
    <row r="211" s="2" customFormat="1" ht="55" customHeight="1" spans="1:3">
      <c r="A211" s="5" t="s">
        <v>454</v>
      </c>
      <c r="B211" s="6"/>
      <c r="C211" s="9" t="str">
        <f>IFERROR(VLOOKUP(VENTAS4[[#This Row],[Code]],STOCK[],5,FALSE),"-")</f>
        <v>Bikini de manga y short floreado</v>
      </c>
    </row>
    <row r="212" s="2" customFormat="1" ht="55" customHeight="1" spans="1:3">
      <c r="A212" s="5" t="s">
        <v>456</v>
      </c>
      <c r="B212" s="6"/>
      <c r="C212" s="9" t="str">
        <f>IFERROR(VLOOKUP(VENTAS4[[#This Row],[Code]],STOCK[],5,FALSE),"-")</f>
        <v>Bolso pequeño guateado con perla artificial</v>
      </c>
    </row>
    <row r="213" s="2" customFormat="1" ht="55" customHeight="1" spans="1:3">
      <c r="A213" s="5" t="s">
        <v>458</v>
      </c>
      <c r="B213" s="6"/>
      <c r="C213" s="9" t="str">
        <f>IFERROR(VLOOKUP(VENTAS4[[#This Row],[Code]],STOCK[],5,FALSE),"-")</f>
        <v>Bañador bikini con estampado tropical_M</v>
      </c>
    </row>
    <row r="214" s="2" customFormat="1" ht="55" customHeight="1" spans="1:3">
      <c r="A214" s="5" t="s">
        <v>460</v>
      </c>
      <c r="B214" s="6"/>
      <c r="C214" s="9" t="str">
        <f>IFERROR(VLOOKUP(VENTAS4[[#This Row],[Code]],STOCK[],5,FALSE),"-")</f>
        <v>Bañador bikini con estampado tropical con nudo de talle alto_M</v>
      </c>
    </row>
    <row r="215" s="2" customFormat="1" ht="55" customHeight="1" spans="1:3">
      <c r="A215" s="5" t="s">
        <v>462</v>
      </c>
      <c r="B215" s="6"/>
      <c r="C215" s="9" t="str">
        <f>IFERROR(VLOOKUP(VENTAS4[[#This Row],[Code]],STOCK[],5,FALSE),"-")</f>
        <v>Vestido cruzado de lunares</v>
      </c>
    </row>
    <row r="216" s="2" customFormat="1" ht="55" customHeight="1" spans="1:3">
      <c r="A216" s="5" t="s">
        <v>464</v>
      </c>
      <c r="B216" s="6"/>
      <c r="C216" s="9" t="str">
        <f>IFERROR(VLOOKUP(VENTAS4[[#This Row],[Code]],STOCK[],5,FALSE),"-")</f>
        <v>Vestido escote de corazón</v>
      </c>
    </row>
    <row r="217" s="2" customFormat="1" ht="55" customHeight="1" spans="1:3">
      <c r="A217" s="5" t="s">
        <v>466</v>
      </c>
      <c r="B217" s="6"/>
      <c r="C217" s="9" t="str">
        <f>IFERROR(VLOOKUP(VENTAS4[[#This Row],[Code]],STOCK[],5,FALSE),"-")</f>
        <v>Vestido escote de corazón</v>
      </c>
    </row>
    <row r="218" s="2" customFormat="1" ht="55" customHeight="1" spans="1:3">
      <c r="A218" s="5" t="s">
        <v>467</v>
      </c>
      <c r="B218" s="6"/>
      <c r="C218" s="9" t="str">
        <f>IFERROR(VLOOKUP(VENTAS4[[#This Row],[Code]],STOCK[],5,FALSE),"-")</f>
        <v>Vestido plisado</v>
      </c>
    </row>
    <row r="219" s="2" customFormat="1" ht="55" customHeight="1" spans="1:3">
      <c r="A219" s="5" t="s">
        <v>471</v>
      </c>
      <c r="B219" s="6"/>
      <c r="C219" s="9" t="str">
        <f>IFERROR(VLOOKUP(VENTAS4[[#This Row],[Code]],STOCK[],5,FALSE),"-")</f>
        <v>Vestido plisado</v>
      </c>
    </row>
    <row r="220" s="2" customFormat="1" ht="55" customHeight="1" spans="1:3">
      <c r="A220" s="5" t="s">
        <v>472</v>
      </c>
      <c r="B220" s="6"/>
      <c r="C220" s="9" t="str">
        <f>IFERROR(VLOOKUP(VENTAS4[[#This Row],[Code]],STOCK[],5,FALSE),"-")</f>
        <v>SHEIN Vestido de hombros descubiertos con botón falso de cintura fruncido de manga farol_S</v>
      </c>
    </row>
    <row r="221" s="2" customFormat="1" ht="55" customHeight="1" spans="1:3">
      <c r="A221" s="5" t="s">
        <v>474</v>
      </c>
      <c r="B221" s="6"/>
      <c r="C221" s="9" t="str">
        <f>IFERROR(VLOOKUP(VENTAS4[[#This Row],[Code]],STOCK[],5,FALSE),"-")</f>
        <v>Bañador bikini push up de cuadros girante_M</v>
      </c>
    </row>
    <row r="222" s="2" customFormat="1" ht="55" customHeight="1" spans="1:3">
      <c r="A222" s="5" t="s">
        <v>476</v>
      </c>
      <c r="B222" s="6"/>
      <c r="C222" s="9" t="str">
        <f>IFERROR(VLOOKUP(VENTAS4[[#This Row],[Code]],STOCK[],5,FALSE),"-")</f>
        <v>Vestido asimétrico</v>
      </c>
    </row>
    <row r="223" s="2" customFormat="1" ht="55" customHeight="1" spans="1:3">
      <c r="A223" s="5" t="s">
        <v>478</v>
      </c>
      <c r="B223" s="6"/>
      <c r="C223" s="9" t="str">
        <f>IFERROR(VLOOKUP(VENTAS4[[#This Row],[Code]],STOCK[],5,FALSE),"-")</f>
        <v>Bolsa cuadrada mini geométrico </v>
      </c>
    </row>
    <row r="224" s="2" customFormat="1" ht="55" customHeight="1" spans="1:3">
      <c r="A224" s="5" t="s">
        <v>480</v>
      </c>
      <c r="B224" s="6"/>
      <c r="C224" s="9" t="str">
        <f>IFERROR(VLOOKUP(VENTAS4[[#This Row],[Code]],STOCK[],5,FALSE),"-")</f>
        <v>Bikini estampado cebra</v>
      </c>
    </row>
    <row r="225" s="2" customFormat="1" ht="55" customHeight="1" spans="1:3">
      <c r="A225" s="5" t="s">
        <v>482</v>
      </c>
      <c r="B225" s="6"/>
      <c r="C225" s="9" t="str">
        <f>IFERROR(VLOOKUP(VENTAS4[[#This Row],[Code]],STOCK[],5,FALSE),"-")</f>
        <v>Bikini estampado cebra</v>
      </c>
    </row>
    <row r="226" s="2" customFormat="1" ht="55" customHeight="1" spans="1:3">
      <c r="A226" s="5" t="s">
        <v>484</v>
      </c>
      <c r="B226" s="6"/>
      <c r="C226" s="9" t="str">
        <f>IFERROR(VLOOKUP(VENTAS4[[#This Row],[Code]],STOCK[],5,FALSE),"-")</f>
        <v>Bolsa cartera con manija</v>
      </c>
    </row>
    <row r="227" s="2" customFormat="1" ht="55" customHeight="1" spans="1:3">
      <c r="A227" s="5" t="s">
        <v>486</v>
      </c>
      <c r="B227" s="6"/>
      <c r="C227" s="9" t="str">
        <f>IFERROR(VLOOKUP(VENTAS4[[#This Row],[Code]],STOCK[],5,FALSE),"-")</f>
        <v>Bolsa bandolera</v>
      </c>
    </row>
    <row r="228" s="2" customFormat="1" ht="55" customHeight="1" spans="1:3">
      <c r="A228" s="5" t="s">
        <v>490</v>
      </c>
      <c r="B228" s="6"/>
      <c r="C228" s="9" t="str">
        <f>IFERROR(VLOOKUP(VENTAS4[[#This Row],[Code]],STOCK[],5,FALSE),"-")</f>
        <v>Bolso cartera con solapa transparente</v>
      </c>
    </row>
    <row r="229" s="2" customFormat="1" ht="55" customHeight="1" spans="1:3">
      <c r="A229" s="5" t="s">
        <v>492</v>
      </c>
      <c r="B229" s="6"/>
      <c r="C229" s="9" t="str">
        <f>IFERROR(VLOOKUP(VENTAS4[[#This Row],[Code]],STOCK[],5,FALSE),"-")</f>
        <v>Bañador de talle alto con vuelos</v>
      </c>
    </row>
    <row r="230" s="2" customFormat="1" ht="55" customHeight="1" spans="1:3">
      <c r="A230" s="5" t="s">
        <v>494</v>
      </c>
      <c r="B230" s="6"/>
      <c r="C230" s="9" t="str">
        <f>IFERROR(VLOOKUP(VENTAS4[[#This Row],[Code]],STOCK[],5,FALSE),"-")</f>
        <v>Bañador bikini con nudo delantero bajo fruncido tropical_S</v>
      </c>
    </row>
    <row r="231" s="2" customFormat="1" ht="55" customHeight="1" spans="1:3">
      <c r="A231" s="5" t="s">
        <v>496</v>
      </c>
      <c r="B231" s="6"/>
      <c r="C231" s="9" t="str">
        <f>IFERROR(VLOOKUP(VENTAS4[[#This Row],[Code]],STOCK[],5,FALSE),"-")</f>
        <v>Bikini estampado de cebra</v>
      </c>
    </row>
    <row r="232" s="2" customFormat="1" ht="55" customHeight="1" spans="1:3">
      <c r="A232" s="5" t="s">
        <v>498</v>
      </c>
      <c r="B232" s="6"/>
      <c r="C232" s="9" t="str">
        <f>IFERROR(VLOOKUP(VENTAS4[[#This Row],[Code]],STOCK[],5,FALSE),"-")</f>
        <v>Vestido Bohemio</v>
      </c>
    </row>
    <row r="233" s="2" customFormat="1" ht="55" customHeight="1" spans="1:3">
      <c r="A233" s="5" t="s">
        <v>499</v>
      </c>
      <c r="B233" s="6"/>
      <c r="C233" s="9" t="str">
        <f>IFERROR(VLOOKUP(VENTAS4[[#This Row],[Code]],STOCK[],5,FALSE),"-")</f>
        <v>Vestido Bohemio</v>
      </c>
    </row>
    <row r="234" s="2" customFormat="1" ht="55" customHeight="1" spans="1:3">
      <c r="A234" s="5" t="s">
        <v>500</v>
      </c>
      <c r="B234" s="6"/>
      <c r="C234" s="9" t="str">
        <f>IFERROR(VLOOKUP(VENTAS4[[#This Row],[Code]],STOCK[],5,FALSE),"-")</f>
        <v>3 piezas Bañador bikini push up con estampado tropical con falda de playa</v>
      </c>
    </row>
    <row r="235" s="2" customFormat="1" ht="55" customHeight="1" spans="1:3">
      <c r="A235" s="5" t="s">
        <v>502</v>
      </c>
      <c r="B235" s="6"/>
      <c r="C235" s="9" t="str">
        <f>IFERROR(VLOOKUP(VENTAS4[[#This Row],[Code]],STOCK[],5,FALSE),"-")</f>
        <v>Bikini push up tropical </v>
      </c>
    </row>
    <row r="236" s="2" customFormat="1" ht="55" customHeight="1" spans="1:3">
      <c r="A236" s="5" t="s">
        <v>504</v>
      </c>
      <c r="B236" s="6"/>
      <c r="C236" s="9" t="str">
        <f>IFERROR(VLOOKUP(VENTAS4[[#This Row],[Code]],STOCK[],5,FALSE),"-")</f>
        <v>Capucha de dos tonos</v>
      </c>
    </row>
    <row r="237" s="2" customFormat="1" ht="55" customHeight="1" spans="1:3">
      <c r="A237" s="5" t="s">
        <v>507</v>
      </c>
      <c r="B237" s="6"/>
      <c r="C237" s="9" t="str">
        <f>IFERROR(VLOOKUP(VENTAS4[[#This Row],[Code]],STOCK[],5,FALSE),"-")</f>
        <v>3 piezas Bañador bikini triángulo halter con estampado geométrico con pantalones cover up</v>
      </c>
    </row>
    <row r="238" s="2" customFormat="1" ht="55" customHeight="1" spans="1:3">
      <c r="A238" s="5" t="s">
        <v>509</v>
      </c>
      <c r="B238" s="6"/>
      <c r="C238" s="9" t="str">
        <f>IFERROR(VLOOKUP(VENTAS4[[#This Row],[Code]],STOCK[],5,FALSE),"-")</f>
        <v>Set 3 piezas bikini</v>
      </c>
    </row>
    <row r="239" s="2" customFormat="1" ht="55" customHeight="1" spans="1:3">
      <c r="A239" s="5" t="s">
        <v>511</v>
      </c>
      <c r="B239" s="6"/>
      <c r="C239" s="9" t="str">
        <f>IFERROR(VLOOKUP(VENTAS4[[#This Row],[Code]],STOCK[],5,FALSE),"-")</f>
        <v>Estuche para gafas transparente</v>
      </c>
    </row>
    <row r="240" s="2" customFormat="1" ht="55" customHeight="1" spans="1:3">
      <c r="A240" s="5" t="s">
        <v>513</v>
      </c>
      <c r="B240" s="6"/>
      <c r="C240" s="9" t="str">
        <f>IFERROR(VLOOKUP(VENTAS4[[#This Row],[Code]],STOCK[],5,FALSE),"-")</f>
        <v>Zapatillas con cordón </v>
      </c>
    </row>
    <row r="241" s="2" customFormat="1" ht="55" customHeight="1" spans="1:3">
      <c r="A241" s="5" t="s">
        <v>517</v>
      </c>
      <c r="B241" s="6"/>
      <c r="C241" s="9" t="str">
        <f>IFERROR(VLOOKUP(VENTAS4[[#This Row],[Code]],STOCK[],5,FALSE),"-")</f>
        <v>Calcetines unicolor</v>
      </c>
    </row>
    <row r="242" s="2" customFormat="1" ht="55" customHeight="1" spans="1:3">
      <c r="A242" s="5" t="s">
        <v>519</v>
      </c>
      <c r="B242" s="6"/>
      <c r="C242" s="9" t="str">
        <f>IFERROR(VLOOKUP(VENTAS4[[#This Row],[Code]],STOCK[],5,FALSE),"-")</f>
        <v> Mocasines con puntada</v>
      </c>
    </row>
    <row r="243" s="2" customFormat="1" ht="55" customHeight="1" spans="1:3">
      <c r="A243" s="5" t="s">
        <v>521</v>
      </c>
      <c r="B243" s="6"/>
      <c r="C243" s="9" t="str">
        <f>IFERROR(VLOOKUP(VENTAS4[[#This Row],[Code]],STOCK[],5,FALSE),"-")</f>
        <v>Almohadilla de maquillaje </v>
      </c>
    </row>
    <row r="244" s="2" customFormat="1" ht="55" customHeight="1" spans="1:3">
      <c r="A244" s="5" t="s">
        <v>525</v>
      </c>
      <c r="B244" s="6"/>
      <c r="C244" s="9" t="str">
        <f>IFERROR(VLOOKUP(VENTAS4[[#This Row],[Code]],STOCK[],5,FALSE),"-")</f>
        <v>Alisador</v>
      </c>
    </row>
    <row r="245" s="2" customFormat="1" ht="55" customHeight="1" spans="1:3">
      <c r="A245" s="5" t="s">
        <v>529</v>
      </c>
      <c r="B245" s="6"/>
      <c r="C245" s="9" t="str">
        <f>IFERROR(VLOOKUP(VENTAS4[[#This Row],[Code]],STOCK[],5,FALSE),"-")</f>
        <v>Esponja de maquillaje </v>
      </c>
    </row>
    <row r="246" s="2" customFormat="1" ht="55" customHeight="1" spans="1:3">
      <c r="A246" s="5" t="s">
        <v>531</v>
      </c>
      <c r="B246" s="6"/>
      <c r="C246" s="9" t="str">
        <f>IFERROR(VLOOKUP(VENTAS4[[#This Row],[Code]],STOCK[],5,FALSE),"-")</f>
        <v>Rizador de pelo de color al azar 10 piezas</v>
      </c>
    </row>
    <row r="247" s="2" customFormat="1" ht="55" customHeight="1" spans="1:3">
      <c r="A247" s="5" t="s">
        <v>533</v>
      </c>
      <c r="B247" s="6"/>
      <c r="C247" s="9" t="str">
        <f>IFERROR(VLOOKUP(VENTAS4[[#This Row],[Code]],STOCK[],5,FALSE),"-")</f>
        <v>Vestido corrugado de vuelos</v>
      </c>
    </row>
    <row r="248" s="2" customFormat="1" ht="55" customHeight="1" spans="1:3">
      <c r="A248" s="5" t="s">
        <v>535</v>
      </c>
      <c r="B248" s="6"/>
      <c r="C248" s="9" t="str">
        <f>IFERROR(VLOOKUP(VENTAS4[[#This Row],[Code]],STOCK[],5,FALSE),"-")</f>
        <v>Gafas minimalista de moda </v>
      </c>
    </row>
    <row r="249" s="2" customFormat="1" ht="55" customHeight="1" spans="1:3">
      <c r="A249" s="5" t="s">
        <v>537</v>
      </c>
      <c r="B249" s="6"/>
      <c r="C249" s="9" t="str">
        <f>IFERROR(VLOOKUP(VENTAS4[[#This Row],[Code]],STOCK[],5,FALSE),"-")</f>
        <v>Sandalias de tiras con diseño de diamante de imitación con tacón grueso Plateado_MX24</v>
      </c>
    </row>
    <row r="250" s="2" customFormat="1" ht="55" customHeight="1" spans="1:3">
      <c r="A250" s="5" t="s">
        <v>540</v>
      </c>
      <c r="B250" s="6"/>
      <c r="C250" s="9" t="str">
        <f>IFERROR(VLOOKUP(VENTAS4[[#This Row],[Code]],STOCK[],5,FALSE),"-")</f>
        <v>SHEIN Felegant Shorts PU de cintura con volante con cordón Negro_5</v>
      </c>
    </row>
    <row r="251" s="2" customFormat="1" ht="55" customHeight="1" spans="1:3">
      <c r="A251" s="5" t="s">
        <v>542</v>
      </c>
      <c r="B251" s="6"/>
      <c r="C251" s="9" t="str">
        <f>IFERROR(VLOOKUP(VENTAS4[[#This Row],[Code]],STOCK[],5,FALSE),"-")</f>
        <v>Body de un hombro manga farol </v>
      </c>
    </row>
    <row r="252" s="2" customFormat="1" ht="55" customHeight="1" spans="1:3">
      <c r="A252" s="5" t="s">
        <v>544</v>
      </c>
      <c r="B252" s="6"/>
      <c r="C252" s="9" t="str">
        <f>IFERROR(VLOOKUP(VENTAS4[[#This Row],[Code]],STOCK[],5,FALSE),"-")</f>
        <v>Cubierta de pezón de metal vinculado</v>
      </c>
    </row>
    <row r="253" s="2" customFormat="1" ht="55" customHeight="1" spans="1:3">
      <c r="A253" s="5" t="s">
        <v>548</v>
      </c>
      <c r="B253" s="6"/>
      <c r="C253" s="9" t="str">
        <f>IFERROR(VLOOKUP(VENTAS4[[#This Row],[Code]],STOCK[],5,FALSE),"-")</f>
        <v>Shorts bajo de doblez de cintura </v>
      </c>
    </row>
    <row r="254" s="2" customFormat="1" ht="55" customHeight="1" spans="1:3">
      <c r="A254" s="5" t="s">
        <v>550</v>
      </c>
      <c r="B254" s="6"/>
      <c r="C254" s="9" t="str">
        <f>IFERROR(VLOOKUP(VENTAS4[[#This Row],[Code]],STOCK[],5,FALSE),"-")</f>
        <v>Botines con tacón con cordón</v>
      </c>
    </row>
    <row r="255" s="2" customFormat="1" ht="55" customHeight="1" spans="1:3">
      <c r="A255" s="5" t="s">
        <v>552</v>
      </c>
      <c r="B255" s="6"/>
      <c r="C255" s="9" t="str">
        <f>IFERROR(VLOOKUP(VENTAS4[[#This Row],[Code]],STOCK[],5,FALSE),"-")</f>
        <v>Falda con abertura alta_XS</v>
      </c>
    </row>
    <row r="256" s="2" customFormat="1" ht="55" customHeight="1" spans="1:3">
      <c r="A256" s="5" t="s">
        <v>554</v>
      </c>
      <c r="B256" s="6"/>
      <c r="C256" s="9" t="str">
        <f>IFERROR(VLOOKUP(VENTAS4[[#This Row],[Code]],STOCK[],5,FALSE),"-")</f>
        <v>Sandalias plateadas con pedrería</v>
      </c>
    </row>
    <row r="257" s="2" customFormat="1" ht="55" customHeight="1" spans="1:3">
      <c r="A257" s="5" t="s">
        <v>557</v>
      </c>
      <c r="B257" s="6"/>
      <c r="C257" s="9" t="str">
        <f>IFERROR(VLOOKUP(VENTAS4[[#This Row],[Code]],STOCK[],5,FALSE),"-")</f>
        <v>Vestido Azul Rey de tela faja</v>
      </c>
    </row>
    <row r="258" s="2" customFormat="1" ht="55" customHeight="1" spans="1:3">
      <c r="A258" s="5" t="s">
        <v>559</v>
      </c>
      <c r="B258" s="6"/>
      <c r="C258" s="9" t="str">
        <f>IFERROR(VLOOKUP(VENTAS4[[#This Row],[Code]],STOCK[],5,FALSE),"-")</f>
        <v>Shorts de cintura con cordón</v>
      </c>
    </row>
    <row r="259" s="2" customFormat="1" ht="55" customHeight="1" spans="1:3">
      <c r="A259" s="5" t="s">
        <v>561</v>
      </c>
      <c r="B259" s="6"/>
      <c r="C259" s="9" t="str">
        <f>IFERROR(VLOOKUP(VENTAS4[[#This Row],[Code]],STOCK[],5,FALSE),"-")</f>
        <v>Vestido de muslo con abertura .</v>
      </c>
    </row>
    <row r="260" s="2" customFormat="1" ht="55" customHeight="1" spans="1:3">
      <c r="A260" s="5" t="s">
        <v>563</v>
      </c>
      <c r="B260" s="6"/>
      <c r="C260" s="9" t="str">
        <f>IFERROR(VLOOKUP(VENTAS4[[#This Row],[Code]],STOCK[],5,FALSE),"-")</f>
        <v>Vestido de espalda abierta de manga farol_S</v>
      </c>
    </row>
    <row r="261" s="2" customFormat="1" ht="55" customHeight="1" spans="1:3">
      <c r="A261" s="5" t="s">
        <v>565</v>
      </c>
      <c r="B261" s="6"/>
      <c r="C261" s="9" t="str">
        <f>IFERROR(VLOOKUP(VENTAS4[[#This Row],[Code]],STOCK[],5,FALSE),"-")</f>
        <v>Vestido de espalda abierta de manga farol_XS</v>
      </c>
    </row>
    <row r="262" s="2" customFormat="1" ht="55" customHeight="1" spans="1:3">
      <c r="A262" s="5" t="s">
        <v>567</v>
      </c>
      <c r="B262" s="6"/>
      <c r="C262" s="9" t="str">
        <f>IFERROR(VLOOKUP(VENTAS4[[#This Row],[Code]],STOCK[],5,FALSE),"-")</f>
        <v>Vestido de manga farol de cuello cuadrado_L</v>
      </c>
    </row>
    <row r="263" s="2" customFormat="1" ht="55" customHeight="1" spans="1:3">
      <c r="A263" s="5" t="s">
        <v>569</v>
      </c>
      <c r="B263" s="6"/>
      <c r="C263" s="9" t="str">
        <f>IFERROR(VLOOKUP(VENTAS4[[#This Row],[Code]],STOCK[],5,FALSE),"-")</f>
        <v>Vestido de manga farol de cuello cuadrado_M</v>
      </c>
    </row>
    <row r="264" s="2" customFormat="1" ht="55" customHeight="1" spans="1:3">
      <c r="A264" s="5" t="s">
        <v>571</v>
      </c>
      <c r="B264" s="6"/>
      <c r="C264" s="9" t="str">
        <f>IFERROR(VLOOKUP(VENTAS4[[#This Row],[Code]],STOCK[],5,FALSE),"-")</f>
        <v>Vestido de manga farol de cuello cuadrado_S</v>
      </c>
    </row>
    <row r="265" s="2" customFormat="1" ht="55" customHeight="1" spans="1:3">
      <c r="A265" s="5" t="s">
        <v>573</v>
      </c>
      <c r="B265" s="6"/>
      <c r="C265" s="9" t="str">
        <f>IFERROR(VLOOKUP(VENTAS4[[#This Row],[Code]],STOCK[],5,FALSE),"-")</f>
        <v>Vestido de manga farol de cuello cuadrado_XS</v>
      </c>
    </row>
    <row r="266" s="2" customFormat="1" ht="55" customHeight="1" spans="1:3">
      <c r="A266" s="5" t="s">
        <v>575</v>
      </c>
      <c r="B266" s="6"/>
      <c r="C266" s="9" t="str">
        <f>IFERROR(VLOOKUP(VENTAS4[[#This Row],[Code]],STOCK[],5,FALSE),"-")</f>
        <v>Top de hombros descubiertos unicolor ribete con fruncido_S</v>
      </c>
    </row>
    <row r="267" s="2" customFormat="1" ht="55" customHeight="1" spans="1:3">
      <c r="A267" s="5" t="s">
        <v>577</v>
      </c>
      <c r="B267" s="6"/>
      <c r="C267" s="9" t="str">
        <f>IFERROR(VLOOKUP(VENTAS4[[#This Row],[Code]],STOCK[],5,FALSE),"-")</f>
        <v>SHEIN SXY Camiseta corta unicolor con abertura_XS</v>
      </c>
    </row>
    <row r="268" s="2" customFormat="1" ht="55" customHeight="1" spans="1:3">
      <c r="A268" s="5" t="s">
        <v>579</v>
      </c>
      <c r="B268" s="6"/>
      <c r="C268" s="9" t="str">
        <f>IFERROR(VLOOKUP(VENTAS4[[#This Row],[Code]],STOCK[],5,FALSE),"-")</f>
        <v>Camiseta corta unicolor con abertura</v>
      </c>
    </row>
    <row r="269" s="2" customFormat="1" ht="55" customHeight="1" spans="1:3">
      <c r="A269" s="5" t="s">
        <v>581</v>
      </c>
      <c r="B269" s="6"/>
      <c r="C269" s="9" t="str">
        <f>IFERROR(VLOOKUP(VENTAS4[[#This Row],[Code]],STOCK[],5,FALSE),"-")</f>
        <v>SHEIN SXY Camiseta corta unicolor con abertura</v>
      </c>
    </row>
    <row r="270" s="2" customFormat="1" ht="55" customHeight="1" spans="1:3">
      <c r="A270" s="5" t="s">
        <v>583</v>
      </c>
      <c r="B270" s="6"/>
      <c r="C270" s="9" t="str">
        <f>IFERROR(VLOOKUP(VENTAS4[[#This Row],[Code]],STOCK[],5,FALSE),"-")</f>
        <v>Top cruzado blanco</v>
      </c>
    </row>
    <row r="271" s="2" customFormat="1" ht="55" customHeight="1" spans="1:3">
      <c r="A271" s="5" t="s">
        <v>586</v>
      </c>
      <c r="B271" s="6"/>
      <c r="C271" s="9" t="str">
        <f>IFERROR(VLOOKUP(VENTAS4[[#This Row],[Code]],STOCK[],5,FALSE),"-")</f>
        <v>Top cruzado blanco</v>
      </c>
    </row>
    <row r="272" s="2" customFormat="1" ht="55" customHeight="1" spans="1:3">
      <c r="A272" s="5" t="s">
        <v>587</v>
      </c>
      <c r="B272" s="6"/>
      <c r="C272" s="9" t="str">
        <f>IFERROR(VLOOKUP(VENTAS4[[#This Row],[Code]],STOCK[],5,FALSE),"-")</f>
        <v>Top corto manga farol</v>
      </c>
    </row>
    <row r="273" s="2" customFormat="1" ht="55" customHeight="1" spans="1:3">
      <c r="A273" s="5" t="s">
        <v>589</v>
      </c>
      <c r="B273" s="6"/>
      <c r="C273" s="9" t="str">
        <f>IFERROR(VLOOKUP(VENTAS4[[#This Row],[Code]],STOCK[],5,FALSE),"-")</f>
        <v>SHEIN SXY Top corto con nudo con abertura de manga farol_S</v>
      </c>
    </row>
    <row r="274" s="2" customFormat="1" ht="55" customHeight="1" spans="1:3">
      <c r="A274" s="5" t="s">
        <v>591</v>
      </c>
      <c r="B274" s="6"/>
      <c r="C274" s="9" t="str">
        <f>IFERROR(VLOOKUP(VENTAS4[[#This Row],[Code]],STOCK[],5,FALSE),"-")</f>
        <v>SHEIN SXY Top corto con nudo con abertura de manga farol_M</v>
      </c>
    </row>
    <row r="275" s="2" customFormat="1" ht="55" customHeight="1" spans="1:3">
      <c r="A275" s="5" t="s">
        <v>593</v>
      </c>
      <c r="B275" s="6"/>
      <c r="C275" s="9" t="str">
        <f>IFERROR(VLOOKUP(VENTAS4[[#This Row],[Code]],STOCK[],5,FALSE),"-")</f>
        <v>Top cruzado naranja</v>
      </c>
    </row>
    <row r="276" s="2" customFormat="1" ht="55" customHeight="1" spans="1:3">
      <c r="A276" s="5" t="s">
        <v>595</v>
      </c>
      <c r="B276" s="6"/>
      <c r="C276" s="9" t="str">
        <f>IFERROR(VLOOKUP(VENTAS4[[#This Row],[Code]],STOCK[],5,FALSE),"-")</f>
        <v>Top cruzado naranja</v>
      </c>
    </row>
    <row r="277" s="2" customFormat="1" ht="55" customHeight="1" spans="1:3">
      <c r="A277" s="5" t="s">
        <v>596</v>
      </c>
      <c r="B277" s="6"/>
      <c r="C277" s="9" t="str">
        <f>IFERROR(VLOOKUP(VENTAS4[[#This Row],[Code]],STOCK[],5,FALSE),"-")</f>
        <v>Top cruzado naranja</v>
      </c>
    </row>
    <row r="278" s="2" customFormat="1" ht="55" customHeight="1" spans="1:3">
      <c r="A278" s="5" t="s">
        <v>597</v>
      </c>
      <c r="B278" s="6"/>
      <c r="C278" s="9" t="str">
        <f>IFERROR(VLOOKUP(VENTAS4[[#This Row],[Code]],STOCK[],5,FALSE),"-")</f>
        <v>Top corsetero asimétrico</v>
      </c>
    </row>
    <row r="279" s="2" customFormat="1" ht="55" customHeight="1" spans="1:3">
      <c r="A279" s="5" t="s">
        <v>599</v>
      </c>
      <c r="B279" s="6"/>
      <c r="C279" s="9" t="str">
        <f>IFERROR(VLOOKUP(VENTAS4[[#This Row],[Code]],STOCK[],5,FALSE),"-")</f>
        <v>Top corsetero asimétrico</v>
      </c>
    </row>
    <row r="280" s="2" customFormat="1" ht="55" customHeight="1" spans="1:3">
      <c r="A280" s="5" t="s">
        <v>600</v>
      </c>
      <c r="B280" s="6"/>
      <c r="C280" s="9" t="str">
        <f>IFERROR(VLOOKUP(VENTAS4[[#This Row],[Code]],STOCK[],5,FALSE),"-")</f>
        <v>Top corsetero asimétrico</v>
      </c>
    </row>
    <row r="281" s="2" customFormat="1" ht="55" customHeight="1" spans="1:3">
      <c r="A281" s="5" t="s">
        <v>601</v>
      </c>
      <c r="B281" s="6"/>
      <c r="C281" s="9" t="str">
        <f>IFERROR(VLOOKUP(VENTAS4[[#This Row],[Code]],STOCK[],5,FALSE),"-")</f>
        <v>Vestido floral de mangas farol</v>
      </c>
    </row>
    <row r="282" s="2" customFormat="1" ht="55" customHeight="1" spans="1:3">
      <c r="A282" s="5" t="s">
        <v>603</v>
      </c>
      <c r="B282" s="6"/>
      <c r="C282" s="9" t="str">
        <f>IFERROR(VLOOKUP(VENTAS4[[#This Row],[Code]],STOCK[],5,FALSE),"-")</f>
        <v>Vestido floral de mangas farol</v>
      </c>
    </row>
    <row r="283" s="2" customFormat="1" ht="55" customHeight="1" spans="1:3">
      <c r="A283" s="5" t="s">
        <v>604</v>
      </c>
      <c r="B283" s="6"/>
      <c r="C283" s="9" t="str">
        <f>IFERROR(VLOOKUP(VENTAS4[[#This Row],[Code]],STOCK[],5,FALSE),"-")</f>
        <v>Vestido floral de mangas farol</v>
      </c>
    </row>
    <row r="284" s="2" customFormat="1" ht="55" customHeight="1" spans="1:3">
      <c r="A284" s="5" t="s">
        <v>605</v>
      </c>
      <c r="B284" s="6"/>
      <c r="C284" s="9" t="str">
        <f>IFERROR(VLOOKUP(VENTAS4[[#This Row],[Code]],STOCK[],5,FALSE),"-")</f>
        <v>SHEIN Vestido con estampado floral pecho con fruncido con nudo delantero bajo con fruncido_L</v>
      </c>
    </row>
    <row r="285" s="2" customFormat="1" ht="55" customHeight="1" spans="1:3">
      <c r="A285" s="5" t="s">
        <v>607</v>
      </c>
      <c r="B285" s="6"/>
      <c r="C285" s="9" t="str">
        <f>IFERROR(VLOOKUP(VENTAS4[[#This Row],[Code]],STOCK[],5,FALSE),"-")</f>
        <v>Camiseta corta de cuadros</v>
      </c>
    </row>
    <row r="286" s="2" customFormat="1" ht="55" customHeight="1" spans="1:3">
      <c r="A286" s="5" t="s">
        <v>609</v>
      </c>
      <c r="B286" s="6"/>
      <c r="C286" s="9" t="str">
        <f>IFERROR(VLOOKUP(VENTAS4[[#This Row],[Code]],STOCK[],5,FALSE),"-")</f>
        <v>SHEIN Vestido fruncido de cuello con cordón de manga con volante de lunares_XS</v>
      </c>
    </row>
    <row r="287" s="2" customFormat="1" ht="55" customHeight="1" spans="1:3">
      <c r="A287" s="5" t="s">
        <v>611</v>
      </c>
      <c r="B287" s="6"/>
      <c r="C287" s="9" t="str">
        <f>IFERROR(VLOOKUP(VENTAS4[[#This Row],[Code]],STOCK[],5,FALSE),"-")</f>
        <v>SHEIN Vestido fruncido de cuello con cordón de manga con volante de lunares_M</v>
      </c>
    </row>
    <row r="288" s="2" customFormat="1" ht="55" customHeight="1" spans="1:3">
      <c r="A288" s="5" t="s">
        <v>613</v>
      </c>
      <c r="B288" s="6"/>
      <c r="C288" s="9" t="str">
        <f>IFERROR(VLOOKUP(VENTAS4[[#This Row],[Code]],STOCK[],5,FALSE),"-")</f>
        <v>Camiseta corta de manga farol</v>
      </c>
    </row>
    <row r="289" s="2" customFormat="1" ht="55" customHeight="1" spans="1:3">
      <c r="A289" s="5" t="s">
        <v>615</v>
      </c>
      <c r="B289" s="6"/>
      <c r="C289" s="9" t="str">
        <f>IFERROR(VLOOKUP(VENTAS4[[#This Row],[Code]],STOCK[],5,FALSE),"-")</f>
        <v>Camiseta corta de manga farol</v>
      </c>
    </row>
    <row r="290" s="2" customFormat="1" ht="55" customHeight="1" spans="1:3">
      <c r="A290" s="5" t="s">
        <v>616</v>
      </c>
      <c r="B290" s="6"/>
      <c r="C290" s="9" t="str">
        <f>IFERROR(VLOOKUP(VENTAS4[[#This Row],[Code]],STOCK[],5,FALSE),"-")</f>
        <v>Cinturón trenzado </v>
      </c>
    </row>
    <row r="291" s="2" customFormat="1" ht="55" customHeight="1" spans="1:3">
      <c r="A291" s="5" t="s">
        <v>618</v>
      </c>
      <c r="B291" s="6"/>
      <c r="C291" s="9" t="str">
        <f>IFERROR(VLOOKUP(VENTAS4[[#This Row],[Code]],STOCK[],5,FALSE),"-")</f>
        <v>Vestido pecho con fruncido </v>
      </c>
    </row>
    <row r="292" s="2" customFormat="1" ht="55" customHeight="1" spans="1:3">
      <c r="A292" s="5" t="s">
        <v>620</v>
      </c>
      <c r="B292" s="6"/>
      <c r="C292" s="9" t="str">
        <f>IFERROR(VLOOKUP(VENTAS4[[#This Row],[Code]],STOCK[],5,FALSE),"-")</f>
        <v>Vestido pecho con fruncido cruzado cintura con estampado floral_S</v>
      </c>
    </row>
    <row r="293" s="2" customFormat="1" ht="55" customHeight="1" spans="1:3">
      <c r="A293" s="5" t="s">
        <v>622</v>
      </c>
      <c r="B293" s="6"/>
      <c r="C293" s="9" t="str">
        <f>IFERROR(VLOOKUP(VENTAS4[[#This Row],[Code]],STOCK[],5,FALSE),"-")</f>
        <v>Vestido pecho con fruncido cruzado cintura con estampado floral_M</v>
      </c>
    </row>
    <row r="294" s="2" customFormat="1" ht="55" customHeight="1" spans="1:3">
      <c r="A294" s="5" t="s">
        <v>624</v>
      </c>
      <c r="B294" s="6"/>
      <c r="C294" s="9" t="str">
        <f>IFERROR(VLOOKUP(VENTAS4[[#This Row],[Code]],STOCK[],5,FALSE),"-")</f>
        <v>Vestido pecho con fruncido cruzado cintura con estampado floral_L</v>
      </c>
    </row>
    <row r="295" s="2" customFormat="1" ht="55" customHeight="1" spans="1:3">
      <c r="A295" s="5" t="s">
        <v>626</v>
      </c>
      <c r="B295" s="6"/>
      <c r="C295" s="9" t="str">
        <f>IFERROR(VLOOKUP(VENTAS4[[#This Row],[Code]],STOCK[],5,FALSE),"-")</f>
        <v>Vestido vaporoso</v>
      </c>
    </row>
    <row r="296" s="2" customFormat="1" ht="55" customHeight="1" spans="1:3">
      <c r="A296" s="5" t="s">
        <v>628</v>
      </c>
      <c r="B296" s="6"/>
      <c r="C296" s="9" t="str">
        <f>IFERROR(VLOOKUP(VENTAS4[[#This Row],[Code]],STOCK[],5,FALSE),"-")</f>
        <v>Vestido ajustado de malla en contraste</v>
      </c>
    </row>
    <row r="297" s="2" customFormat="1" ht="55" customHeight="1" spans="1:3">
      <c r="A297" s="5" t="s">
        <v>630</v>
      </c>
      <c r="B297" s="6"/>
      <c r="C297" s="9" t="str">
        <f>IFERROR(VLOOKUP(VENTAS4[[#This Row],[Code]],STOCK[],5,FALSE),"-")</f>
        <v>Vestido floral con abertura trasera</v>
      </c>
    </row>
    <row r="298" s="2" customFormat="1" ht="55" customHeight="1" spans="1:3">
      <c r="A298" s="5" t="s">
        <v>632</v>
      </c>
      <c r="B298" s="6"/>
      <c r="C298" s="9" t="str">
        <f>IFERROR(VLOOKUP(VENTAS4[[#This Row],[Code]],STOCK[],5,FALSE),"-")</f>
        <v>Vestido floral con abertura trasera</v>
      </c>
    </row>
    <row r="299" s="2" customFormat="1" ht="55" customHeight="1" spans="1:3">
      <c r="A299" s="5" t="s">
        <v>633</v>
      </c>
      <c r="B299" s="6"/>
      <c r="C299" s="9" t="str">
        <f>IFERROR(VLOOKUP(VENTAS4[[#This Row],[Code]],STOCK[],5,FALSE),"-")</f>
        <v>Vestido floral con abertura trasera</v>
      </c>
    </row>
    <row r="300" s="2" customFormat="1" ht="55" customHeight="1" spans="1:3">
      <c r="A300" s="5" t="s">
        <v>634</v>
      </c>
      <c r="B300" s="6"/>
      <c r="C300" s="9" t="str">
        <f>IFERROR(VLOOKUP(VENTAS4[[#This Row],[Code]],STOCK[],5,FALSE),"-")</f>
        <v>Vestido floral escote corazón</v>
      </c>
    </row>
    <row r="301" s="2" customFormat="1" ht="55" customHeight="1" spans="1:3">
      <c r="A301" s="5" t="s">
        <v>636</v>
      </c>
      <c r="B301" s="6"/>
      <c r="C301" s="9" t="str">
        <f>IFERROR(VLOOKUP(VENTAS4[[#This Row],[Code]],STOCK[],5,FALSE),"-")</f>
        <v>Vestido floral escote corazón</v>
      </c>
    </row>
    <row r="302" s="2" customFormat="1" ht="55" customHeight="1" spans="1:3">
      <c r="A302" s="5" t="s">
        <v>637</v>
      </c>
      <c r="B302" s="6"/>
      <c r="C302" s="9" t="str">
        <f>IFERROR(VLOOKUP(VENTAS4[[#This Row],[Code]],STOCK[],5,FALSE),"-")</f>
        <v>SHEIN Vestido con estampado floral con nudo delantero de manga farol_L</v>
      </c>
    </row>
    <row r="303" s="2" customFormat="1" ht="55" customHeight="1" spans="1:3">
      <c r="A303" s="5" t="s">
        <v>639</v>
      </c>
      <c r="B303" s="6"/>
      <c r="C303" s="9" t="str">
        <f>IFERROR(VLOOKUP(VENTAS4[[#This Row],[Code]],STOCK[],5,FALSE),"-")</f>
        <v>Vestido con estampado floral</v>
      </c>
    </row>
    <row r="304" s="2" customFormat="1" ht="55" customHeight="1" spans="1:3">
      <c r="A304" s="5" t="s">
        <v>641</v>
      </c>
      <c r="B304" s="6"/>
      <c r="C304" s="9" t="str">
        <f>IFERROR(VLOOKUP(VENTAS4[[#This Row],[Code]],STOCK[],5,FALSE),"-")</f>
        <v>Vestido con estampado floral</v>
      </c>
    </row>
    <row r="305" s="2" customFormat="1" ht="55" customHeight="1" spans="1:3">
      <c r="A305" s="5" t="s">
        <v>642</v>
      </c>
      <c r="B305" s="6"/>
      <c r="C305" s="9" t="str">
        <f>IFERROR(VLOOKUP(VENTAS4[[#This Row],[Code]],STOCK[],5,FALSE),"-")</f>
        <v>Vestido floral de manga farol escote corazón con cordón lateral_S</v>
      </c>
    </row>
    <row r="306" s="2" customFormat="1" ht="55" customHeight="1" spans="1:3">
      <c r="A306" s="5" t="s">
        <v>644</v>
      </c>
      <c r="B306" s="6"/>
      <c r="C306" s="9" t="str">
        <f>IFERROR(VLOOKUP(VENTAS4[[#This Row],[Code]],STOCK[],5,FALSE),"-")</f>
        <v>Vestido con estampado jungla</v>
      </c>
    </row>
    <row r="307" s="2" customFormat="1" ht="55" customHeight="1" spans="1:3">
      <c r="A307" s="5" t="s">
        <v>646</v>
      </c>
      <c r="B307" s="6"/>
      <c r="C307" s="9" t="str">
        <f>IFERROR(VLOOKUP(VENTAS4[[#This Row],[Code]],STOCK[],5,FALSE),"-")</f>
        <v>Vestido con estampado jungla</v>
      </c>
    </row>
    <row r="308" s="2" customFormat="1" ht="55" customHeight="1" spans="1:3">
      <c r="A308" s="5" t="s">
        <v>647</v>
      </c>
      <c r="B308" s="6"/>
      <c r="C308" s="9" t="str">
        <f>IFERROR(VLOOKUP(VENTAS4[[#This Row],[Code]],STOCK[],5,FALSE),"-")</f>
        <v>Vestido con estampado jungla</v>
      </c>
    </row>
    <row r="309" s="2" customFormat="1" ht="55" customHeight="1" spans="1:3">
      <c r="A309" s="5" t="s">
        <v>649</v>
      </c>
      <c r="B309" s="6"/>
      <c r="C309" s="9" t="str">
        <f>IFERROR(VLOOKUP(VENTAS4[[#This Row],[Code]],STOCK[],5,FALSE),"-")</f>
        <v>Vestido floral de manga farol de espalda abierta con cordón bajo con fruncido_XS</v>
      </c>
    </row>
    <row r="310" s="2" customFormat="1" ht="55" customHeight="1" spans="1:3">
      <c r="A310" s="5" t="s">
        <v>651</v>
      </c>
      <c r="B310" s="6"/>
      <c r="C310" s="9" t="str">
        <f>IFERROR(VLOOKUP(VENTAS4[[#This Row],[Code]],STOCK[],5,FALSE),"-")</f>
        <v>Vestido floral de manga farol de espalda abierta con cordón bajo con fruncido_S</v>
      </c>
    </row>
    <row r="311" s="2" customFormat="1" ht="55" customHeight="1" spans="1:3">
      <c r="A311" s="5" t="s">
        <v>653</v>
      </c>
      <c r="B311" s="6"/>
      <c r="C311" s="9" t="str">
        <f>IFERROR(VLOOKUP(VENTAS4[[#This Row],[Code]],STOCK[],5,FALSE),"-")</f>
        <v>Vestido floral de manga farol de espalda abierta con cordón bajo con fruncido_M</v>
      </c>
    </row>
    <row r="312" s="2" customFormat="1" ht="55" customHeight="1" spans="1:3">
      <c r="A312" s="5" t="s">
        <v>655</v>
      </c>
      <c r="B312" s="6"/>
      <c r="C312" s="9" t="str">
        <f>IFERROR(VLOOKUP(VENTAS4[[#This Row],[Code]],STOCK[],5,FALSE),"-")</f>
        <v>Vestido floral de manga farol de espalda abierta con cordón bajo con fruncido_L</v>
      </c>
    </row>
    <row r="313" s="2" customFormat="1" ht="55" customHeight="1" spans="1:3">
      <c r="A313" s="5" t="s">
        <v>657</v>
      </c>
      <c r="B313" s="6"/>
      <c r="C313" s="9" t="str">
        <f>IFERROR(VLOOKUP(VENTAS4[[#This Row],[Code]],STOCK[],5,FALSE),"-")</f>
        <v>SHEIN Vestido lencero floral de muslo con abertura_XS</v>
      </c>
    </row>
    <row r="314" s="2" customFormat="1" ht="55" customHeight="1" spans="1:3">
      <c r="A314" s="5" t="s">
        <v>659</v>
      </c>
      <c r="B314" s="6"/>
      <c r="C314" s="9" t="str">
        <f>IFERROR(VLOOKUP(VENTAS4[[#This Row],[Code]],STOCK[],5,FALSE),"-")</f>
        <v>SHEIN Vestido lencero floral de muslo con abertura_S</v>
      </c>
    </row>
    <row r="315" s="2" customFormat="1" ht="55" customHeight="1" spans="1:3">
      <c r="A315" s="5" t="s">
        <v>661</v>
      </c>
      <c r="B315" s="6"/>
      <c r="C315" s="9" t="str">
        <f>IFERROR(VLOOKUP(VENTAS4[[#This Row],[Code]],STOCK[],5,FALSE),"-")</f>
        <v>Top Cruzado negro</v>
      </c>
    </row>
    <row r="316" s="2" customFormat="1" ht="55" customHeight="1" spans="1:3">
      <c r="A316" s="5" t="s">
        <v>663</v>
      </c>
      <c r="B316" s="6"/>
      <c r="C316" s="9" t="str">
        <f>IFERROR(VLOOKUP(VENTAS4[[#This Row],[Code]],STOCK[],5,FALSE),"-")</f>
        <v>Top Cruzado negro</v>
      </c>
    </row>
    <row r="317" s="2" customFormat="1" ht="55" customHeight="1" spans="1:3">
      <c r="A317" s="5" t="s">
        <v>664</v>
      </c>
      <c r="B317" s="6"/>
      <c r="C317" s="9" t="str">
        <f>IFERROR(VLOOKUP(VENTAS4[[#This Row],[Code]],STOCK[],5,FALSE),"-")</f>
        <v>Top Cruzado negro</v>
      </c>
    </row>
    <row r="318" s="2" customFormat="1" ht="55" customHeight="1" spans="1:3">
      <c r="A318" s="5" t="s">
        <v>665</v>
      </c>
      <c r="B318" s="6"/>
      <c r="C318" s="9" t="str">
        <f>IFERROR(VLOOKUP(VENTAS4[[#This Row],[Code]],STOCK[],5,FALSE),"-")</f>
        <v>SHEIN SXY Camiseta con abertura de malla_M</v>
      </c>
    </row>
    <row r="319" s="2" customFormat="1" ht="55" customHeight="1" spans="1:3">
      <c r="A319" s="5" t="s">
        <v>667</v>
      </c>
      <c r="B319" s="6"/>
      <c r="C319" s="9" t="str">
        <f>IFERROR(VLOOKUP(VENTAS4[[#This Row],[Code]],STOCK[],5,FALSE),"-")</f>
        <v>SHEIN SXY Camiseta con abertura de malla_S</v>
      </c>
    </row>
    <row r="320" s="2" customFormat="1" ht="55" customHeight="1" spans="1:3">
      <c r="A320" s="5" t="s">
        <v>669</v>
      </c>
      <c r="B320" s="6"/>
      <c r="C320" s="9" t="str">
        <f>IFERROR(VLOOKUP(VENTAS4[[#This Row],[Code]],STOCK[],5,FALSE),"-")</f>
        <v>SHEIN SXY Camiseta con abertura de malla_XS</v>
      </c>
    </row>
    <row r="321" s="2" customFormat="1" ht="55" customHeight="1" spans="1:3">
      <c r="A321" s="5" t="s">
        <v>671</v>
      </c>
      <c r="B321" s="6"/>
      <c r="C321" s="9" t="str">
        <f>IFERROR(VLOOKUP(VENTAS4[[#This Row],[Code]],STOCK[],5,FALSE),"-")</f>
        <v>Top Cruzado azul</v>
      </c>
    </row>
    <row r="322" s="2" customFormat="1" ht="55" customHeight="1" spans="1:3">
      <c r="A322" s="5" t="s">
        <v>673</v>
      </c>
      <c r="B322" s="6"/>
      <c r="C322" s="9" t="str">
        <f>IFERROR(VLOOKUP(VENTAS4[[#This Row],[Code]],STOCK[],5,FALSE),"-")</f>
        <v>Top Cruzado azul</v>
      </c>
    </row>
    <row r="323" s="2" customFormat="1" ht="55" customHeight="1" spans="1:3">
      <c r="A323" s="5" t="s">
        <v>674</v>
      </c>
      <c r="B323" s="6"/>
      <c r="C323" s="9" t="str">
        <f>IFERROR(VLOOKUP(VENTAS4[[#This Row],[Code]],STOCK[],5,FALSE),"-")</f>
        <v>SHEIN Frenchy Vestido de leopardo &amp; piel de tigre con estampado de manga mariposa sin cinturón_S</v>
      </c>
    </row>
    <row r="324" s="2" customFormat="1" ht="55" customHeight="1" spans="1:3">
      <c r="A324" s="5" t="s">
        <v>676</v>
      </c>
      <c r="B324" s="6"/>
      <c r="C324" s="9" t="str">
        <f>IFERROR(VLOOKUP(VENTAS4[[#This Row],[Code]],STOCK[],5,FALSE),"-")</f>
        <v>Blusa corta de manga farol</v>
      </c>
    </row>
    <row r="325" s="2" customFormat="1" ht="55" customHeight="1" spans="1:3">
      <c r="A325" s="5" t="s">
        <v>678</v>
      </c>
      <c r="B325" s="6"/>
      <c r="C325" s="9" t="str">
        <f>IFERROR(VLOOKUP(VENTAS4[[#This Row],[Code]],STOCK[],5,FALSE),"-")</f>
        <v>Blusa corta de manga farol</v>
      </c>
    </row>
    <row r="326" s="2" customFormat="1" ht="55" customHeight="1" spans="1:3">
      <c r="A326" s="5" t="s">
        <v>680</v>
      </c>
      <c r="B326" s="6"/>
      <c r="C326" s="9" t="str">
        <f>IFERROR(VLOOKUP(VENTAS4[[#This Row],[Code]],STOCK[],5,FALSE),"-")</f>
        <v>Vestido de espalda abierta de manga farol_L</v>
      </c>
    </row>
    <row r="327" s="2" customFormat="1" ht="55" customHeight="1" spans="1:3">
      <c r="A327" s="5" t="s">
        <v>682</v>
      </c>
      <c r="B327" s="6"/>
      <c r="C327" s="9" t="str">
        <f>IFERROR(VLOOKUP(VENTAS4[[#This Row],[Code]],STOCK[],5,FALSE),"-")</f>
        <v>Vestido de espalda abierta de manga farol_M</v>
      </c>
    </row>
    <row r="328" s="2" customFormat="1" ht="55" customHeight="1" spans="1:3">
      <c r="A328" s="5" t="s">
        <v>684</v>
      </c>
      <c r="B328" s="6"/>
      <c r="C328" s="9" t="str">
        <f>IFERROR(VLOOKUP(VENTAS4[[#This Row],[Code]],STOCK[],5,FALSE),"-")</f>
        <v>Top de cuello cruzado con nudo lateral</v>
      </c>
    </row>
    <row r="329" s="2" customFormat="1" ht="55" customHeight="1" spans="1:3">
      <c r="A329" s="5" t="s">
        <v>686</v>
      </c>
      <c r="B329" s="6"/>
      <c r="C329" s="9" t="str">
        <f>IFERROR(VLOOKUP(VENTAS4[[#This Row],[Code]],STOCK[],5,FALSE),"-")</f>
        <v>Vestido ajustado con diseño de cadena</v>
      </c>
    </row>
    <row r="330" s="2" customFormat="1" ht="55" customHeight="1" spans="1:3">
      <c r="A330" s="5" t="s">
        <v>688</v>
      </c>
      <c r="B330" s="6"/>
      <c r="C330" s="9" t="str">
        <f>IFERROR(VLOOKUP(VENTAS4[[#This Row],[Code]],STOCK[],5,FALSE),"-")</f>
        <v>Falda ajustada animal print</v>
      </c>
    </row>
    <row r="331" s="2" customFormat="1" ht="55" customHeight="1" spans="1:3">
      <c r="A331" s="5" t="s">
        <v>690</v>
      </c>
      <c r="B331" s="6"/>
      <c r="C331" s="9" t="str">
        <f>IFERROR(VLOOKUP(VENTAS4[[#This Row],[Code]],STOCK[],5,FALSE),"-")</f>
        <v>Vestido con estampado de cereza</v>
      </c>
    </row>
    <row r="332" s="2" customFormat="1" ht="55" customHeight="1" spans="1:3">
      <c r="A332" s="5" t="s">
        <v>692</v>
      </c>
      <c r="B332" s="6"/>
      <c r="C332" s="9" t="str">
        <f>IFERROR(VLOOKUP(VENTAS4[[#This Row],[Code]],STOCK[],5,FALSE),"-")</f>
        <v>Vestido slip de rayas de cebra</v>
      </c>
    </row>
    <row r="333" s="2" customFormat="1" ht="55" customHeight="1" spans="1:3">
      <c r="A333" s="5" t="s">
        <v>694</v>
      </c>
      <c r="B333" s="6"/>
      <c r="C333" s="9" t="str">
        <f>IFERROR(VLOOKUP(VENTAS4[[#This Row],[Code]],STOCK[],5,FALSE),"-")</f>
        <v>Vestido slip cebra</v>
      </c>
    </row>
    <row r="334" s="2" customFormat="1" ht="55" customHeight="1" spans="1:3">
      <c r="A334" s="5" t="s">
        <v>696</v>
      </c>
      <c r="B334" s="6"/>
      <c r="C334" s="9" t="str">
        <f>IFERROR(VLOOKUP(VENTAS4[[#This Row],[Code]],STOCK[],5,FALSE),"-")</f>
        <v> Vestido ajustado con estampado de dragón</v>
      </c>
    </row>
    <row r="335" s="2" customFormat="1" ht="55" customHeight="1" spans="1:3">
      <c r="A335" s="5" t="s">
        <v>698</v>
      </c>
      <c r="B335" s="6"/>
      <c r="C335" s="9" t="str">
        <f>IFERROR(VLOOKUP(VENTAS4[[#This Row],[Code]],STOCK[],5,FALSE),"-")</f>
        <v> Vestido slip dragón</v>
      </c>
    </row>
    <row r="336" s="2" customFormat="1" ht="55" customHeight="1" spans="1:3">
      <c r="A336" s="5" t="s">
        <v>700</v>
      </c>
      <c r="B336" s="6"/>
      <c r="C336" s="9" t="str">
        <f>IFERROR(VLOOKUP(VENTAS4[[#This Row],[Code]],STOCK[],5,FALSE),"-")</f>
        <v>Vestido corto de punto</v>
      </c>
    </row>
    <row r="337" s="2" customFormat="1" ht="55" customHeight="1" spans="1:3">
      <c r="A337" s="5" t="s">
        <v>703</v>
      </c>
      <c r="B337" s="6"/>
      <c r="C337" s="9" t="str">
        <f>IFERROR(VLOOKUP(VENTAS4[[#This Row],[Code]],STOCK[],5,FALSE),"-")</f>
        <v>Body tong H&amp;M</v>
      </c>
    </row>
    <row r="338" s="2" customFormat="1" ht="55" customHeight="1" spans="1:3">
      <c r="A338" s="5" t="s">
        <v>706</v>
      </c>
      <c r="B338" s="6"/>
      <c r="C338" s="9" t="str">
        <f>IFERROR(VLOOKUP(VENTAS4[[#This Row],[Code]],STOCK[],5,FALSE),"-")</f>
        <v>Top bandeau</v>
      </c>
    </row>
    <row r="339" s="2" customFormat="1" ht="55" customHeight="1" spans="1:3">
      <c r="A339" s="5" t="s">
        <v>708</v>
      </c>
      <c r="B339" s="6"/>
      <c r="C339" s="9" t="str">
        <f>IFERROR(VLOOKUP(VENTAS4[[#This Row],[Code]],STOCK[],5,FALSE),"-")</f>
        <v>Pantalón elegante de tela brillosa H&amp;M</v>
      </c>
    </row>
    <row r="340" s="2" customFormat="1" ht="55" customHeight="1" spans="1:3">
      <c r="A340" s="5" t="s">
        <v>711</v>
      </c>
      <c r="B340" s="6"/>
      <c r="C340" s="9" t="str">
        <f>IFERROR(VLOOKUP(VENTAS4[[#This Row],[Code]],STOCK[],5,FALSE),"-")</f>
        <v>Vestido con cordón de ajuste H&amp;M</v>
      </c>
    </row>
    <row r="341" s="2" customFormat="1" ht="55" customHeight="1" spans="1:3">
      <c r="A341" s="5" t="s">
        <v>715</v>
      </c>
      <c r="B341" s="6"/>
      <c r="C341" s="9" t="str">
        <f>IFERROR(VLOOKUP(VENTAS4[[#This Row],[Code]],STOCK[],5,FALSE),"-")</f>
        <v>Vestido con cordón de ajuste H&amp;M</v>
      </c>
    </row>
    <row r="342" s="2" customFormat="1" ht="55" customHeight="1" spans="1:3">
      <c r="A342" s="5" t="s">
        <v>716</v>
      </c>
      <c r="B342" s="6"/>
      <c r="C342" s="9" t="str">
        <f>IFERROR(VLOOKUP(VENTAS4[[#This Row],[Code]],STOCK[],5,FALSE),"-")</f>
        <v>Vestido bodycon</v>
      </c>
    </row>
    <row r="343" s="2" customFormat="1" ht="55" customHeight="1" spans="1:3">
      <c r="A343" s="5" t="s">
        <v>719</v>
      </c>
      <c r="B343" s="6"/>
      <c r="C343" s="9" t="str">
        <f>IFERROR(VLOOKUP(VENTAS4[[#This Row],[Code]],STOCK[],5,FALSE),"-")</f>
        <v>Top acanalado sin mangas</v>
      </c>
    </row>
    <row r="344" s="2" customFormat="1" ht="55" customHeight="1" spans="1:3">
      <c r="A344" s="5" t="s">
        <v>721</v>
      </c>
      <c r="B344" s="6"/>
      <c r="C344" s="9" t="str">
        <f>IFERROR(VLOOKUP(VENTAS4[[#This Row],[Code]],STOCK[],5,FALSE),"-")</f>
        <v>Top acanalado sin mangas</v>
      </c>
    </row>
    <row r="345" s="2" customFormat="1" ht="55" customHeight="1" spans="1:3">
      <c r="A345" s="5" t="s">
        <v>722</v>
      </c>
      <c r="B345" s="6"/>
      <c r="C345" s="9" t="str">
        <f>IFERROR(VLOOKUP(VENTAS4[[#This Row],[Code]],STOCK[],5,FALSE),"-")</f>
        <v>Top acanalado sin mangas</v>
      </c>
    </row>
    <row r="346" s="2" customFormat="1" ht="55" customHeight="1" spans="1:3">
      <c r="A346" s="5" t="s">
        <v>723</v>
      </c>
      <c r="B346" s="6"/>
      <c r="C346" s="9" t="str">
        <f>IFERROR(VLOOKUP(VENTAS4[[#This Row],[Code]],STOCK[],5,FALSE),"-")</f>
        <v>gafas azules con cadena H&amp;M</v>
      </c>
    </row>
    <row r="347" s="2" customFormat="1" ht="55" customHeight="1" spans="1:3">
      <c r="A347" s="5" t="s">
        <v>726</v>
      </c>
      <c r="B347" s="6"/>
      <c r="C347" s="9" t="str">
        <f>IFERROR(VLOOKUP(VENTAS4[[#This Row],[Code]],STOCK[],5,FALSE),"-")</f>
        <v>Top acanalado sin mangas</v>
      </c>
    </row>
    <row r="348" s="2" customFormat="1" ht="55" customHeight="1" spans="1:3">
      <c r="A348" s="5" t="s">
        <v>727</v>
      </c>
      <c r="B348" s="6"/>
      <c r="C348" s="9" t="str">
        <f>IFERROR(VLOOKUP(VENTAS4[[#This Row],[Code]],STOCK[],5,FALSE),"-")</f>
        <v>Vestido acanalado de un hombro</v>
      </c>
    </row>
    <row r="349" s="2" customFormat="1" ht="55" customHeight="1" spans="1:3">
      <c r="A349" s="5" t="s">
        <v>729</v>
      </c>
      <c r="B349" s="6"/>
      <c r="C349" s="9" t="str">
        <f>IFERROR(VLOOKUP(VENTAS4[[#This Row],[Code]],STOCK[],5,FALSE),"-")</f>
        <v>Vestido de un hombro</v>
      </c>
    </row>
    <row r="350" s="2" customFormat="1" ht="55" customHeight="1" spans="1:3">
      <c r="A350" s="5" t="s">
        <v>732</v>
      </c>
      <c r="B350" s="6"/>
      <c r="C350" s="9" t="str">
        <f>IFERROR(VLOOKUP(VENTAS4[[#This Row],[Code]],STOCK[],5,FALSE),"-")</f>
        <v>Vestido corto azul real</v>
      </c>
    </row>
    <row r="351" s="2" customFormat="1" ht="55" customHeight="1" spans="1:3">
      <c r="A351" s="5" t="s">
        <v>735</v>
      </c>
      <c r="B351" s="6"/>
      <c r="C351" s="9" t="str">
        <f>IFERROR(VLOOKUP(VENTAS4[[#This Row],[Code]],STOCK[],5,FALSE),"-")</f>
        <v>Vestido corto azul real</v>
      </c>
    </row>
    <row r="352" s="2" customFormat="1" ht="55" customHeight="1" spans="1:3">
      <c r="A352" s="5" t="s">
        <v>736</v>
      </c>
      <c r="B352" s="6"/>
      <c r="C352" s="9" t="str">
        <f>IFERROR(VLOOKUP(VENTAS4[[#This Row],[Code]],STOCK[],5,FALSE),"-")</f>
        <v>Sostén Push-up</v>
      </c>
    </row>
    <row r="353" s="2" customFormat="1" ht="55" customHeight="1" spans="1:3">
      <c r="A353" s="5" t="s">
        <v>739</v>
      </c>
      <c r="B353" s="6"/>
      <c r="C353" s="9" t="str">
        <f>IFERROR(VLOOKUP(VENTAS4[[#This Row],[Code]],STOCK[],5,FALSE),"-")</f>
        <v>Sostén Push-up</v>
      </c>
    </row>
    <row r="354" s="2" customFormat="1" ht="55" customHeight="1" spans="1:3">
      <c r="A354" s="5" t="s">
        <v>740</v>
      </c>
      <c r="B354" s="6"/>
      <c r="C354" s="9" t="str">
        <f>IFERROR(VLOOKUP(VENTAS4[[#This Row],[Code]],STOCK[],5,FALSE),"-")</f>
        <v>Pants ajustados</v>
      </c>
    </row>
    <row r="355" s="2" customFormat="1" ht="55" customHeight="1" spans="1:3">
      <c r="A355" s="5" t="s">
        <v>743</v>
      </c>
      <c r="B355" s="6"/>
      <c r="C355" s="9" t="str">
        <f>IFERROR(VLOOKUP(VENTAS4[[#This Row],[Code]],STOCK[],5,FALSE),"-")</f>
        <v>Short denim</v>
      </c>
    </row>
    <row r="356" s="2" customFormat="1" ht="55" customHeight="1" spans="1:3">
      <c r="A356" s="5" t="s">
        <v>746</v>
      </c>
      <c r="B356" s="6"/>
      <c r="C356" s="9" t="str">
        <f>IFERROR(VLOOKUP(VENTAS4[[#This Row],[Code]],STOCK[],5,FALSE),"-")</f>
        <v>Jean slim fit</v>
      </c>
    </row>
    <row r="357" s="2" customFormat="1" ht="55" customHeight="1" spans="1:3">
      <c r="A357" s="5" t="s">
        <v>750</v>
      </c>
      <c r="B357" s="6"/>
      <c r="C357" s="9" t="str">
        <f>IFERROR(VLOOKUP(VENTAS4[[#This Row],[Code]],STOCK[],5,FALSE),"-")</f>
        <v>Sandalias trenzadas</v>
      </c>
    </row>
    <row r="358" s="2" customFormat="1" ht="55" customHeight="1" spans="1:3">
      <c r="A358" s="5" t="s">
        <v>753</v>
      </c>
      <c r="B358" s="6"/>
      <c r="C358" s="9" t="str">
        <f>IFERROR(VLOOKUP(VENTAS4[[#This Row],[Code]],STOCK[],5,FALSE),"-")</f>
        <v>Sandalias Rojas</v>
      </c>
    </row>
    <row r="359" s="2" customFormat="1" ht="55" customHeight="1" spans="1:3">
      <c r="A359" s="5" t="s">
        <v>755</v>
      </c>
      <c r="B359" s="6"/>
      <c r="C359" s="9" t="str">
        <f>IFERROR(VLOOKUP(VENTAS4[[#This Row],[Code]],STOCK[],5,FALSE),"-")</f>
        <v>Sandalias Trenzadas</v>
      </c>
    </row>
    <row r="360" s="2" customFormat="1" ht="55" customHeight="1" spans="1:3">
      <c r="A360" s="5" t="s">
        <v>758</v>
      </c>
      <c r="B360" s="6"/>
      <c r="C360" s="9" t="str">
        <f>IFERROR(VLOOKUP(VENTAS4[[#This Row],[Code]],STOCK[],5,FALSE),"-")</f>
        <v>Sandalias Trenzadas</v>
      </c>
    </row>
    <row r="361" s="2" customFormat="1" ht="55" customHeight="1" spans="1:3">
      <c r="A361" s="5" t="s">
        <v>759</v>
      </c>
      <c r="B361" s="6"/>
      <c r="C361" s="9" t="str">
        <f>IFERROR(VLOOKUP(VENTAS4[[#This Row],[Code]],STOCK[],5,FALSE),"-")</f>
        <v>Sandalias anudadas</v>
      </c>
    </row>
    <row r="362" s="2" customFormat="1" ht="55" customHeight="1" spans="1:3">
      <c r="A362" s="5" t="s">
        <v>763</v>
      </c>
      <c r="B362" s="6"/>
      <c r="C362" s="9" t="str">
        <f>IFERROR(VLOOKUP(VENTAS4[[#This Row],[Code]],STOCK[],5,FALSE),"-")</f>
        <v>Sandalias anudadas</v>
      </c>
    </row>
    <row r="363" s="2" customFormat="1" ht="55" customHeight="1" spans="1:3">
      <c r="A363" s="5" t="s">
        <v>765</v>
      </c>
      <c r="B363" s="6"/>
      <c r="C363" s="9" t="str">
        <f>IFERROR(VLOOKUP(VENTAS4[[#This Row],[Code]],STOCK[],5,FALSE),"-")</f>
        <v>Sandalias anudadas</v>
      </c>
    </row>
    <row r="364" s="2" customFormat="1" ht="55" customHeight="1" spans="1:3">
      <c r="A364" s="5" t="s">
        <v>767</v>
      </c>
      <c r="B364" s="6"/>
      <c r="C364" s="9" t="str">
        <f>IFERROR(VLOOKUP(VENTAS4[[#This Row],[Code]],STOCK[],5,FALSE),"-")</f>
        <v>Alpargatas a cuadros</v>
      </c>
    </row>
    <row r="365" s="2" customFormat="1" ht="55" customHeight="1" spans="1:3">
      <c r="A365" s="5" t="s">
        <v>769</v>
      </c>
      <c r="B365" s="6"/>
      <c r="C365" s="9" t="str">
        <f>IFERROR(VLOOKUP(VENTAS4[[#This Row],[Code]],STOCK[],5,FALSE),"-")</f>
        <v>Sandalias atadas </v>
      </c>
    </row>
    <row r="366" s="2" customFormat="1" ht="55" customHeight="1" spans="1:3">
      <c r="A366" s="5" t="s">
        <v>771</v>
      </c>
      <c r="B366" s="6"/>
      <c r="C366" s="9" t="str">
        <f>IFERROR(VLOOKUP(VENTAS4[[#This Row],[Code]],STOCK[],5,FALSE),"-")</f>
        <v>Sandalias prácticas</v>
      </c>
    </row>
    <row r="367" s="2" customFormat="1" ht="55" customHeight="1" spans="1:3">
      <c r="A367" s="5" t="s">
        <v>773</v>
      </c>
      <c r="B367" s="6"/>
      <c r="C367" s="9" t="str">
        <f>IFERROR(VLOOKUP(VENTAS4[[#This Row],[Code]],STOCK[],5,FALSE),"-")</f>
        <v>Sandalias prácticas</v>
      </c>
    </row>
    <row r="368" s="2" customFormat="1" ht="55" customHeight="1" spans="1:3">
      <c r="A368" s="5" t="s">
        <v>774</v>
      </c>
      <c r="B368" s="6"/>
      <c r="C368" s="9" t="str">
        <f>IFERROR(VLOOKUP(VENTAS4[[#This Row],[Code]],STOCK[],5,FALSE),"-")</f>
        <v>Top berry en tela de algodón</v>
      </c>
    </row>
    <row r="369" s="2" customFormat="1" ht="55" customHeight="1" spans="1:3">
      <c r="A369" s="5" t="s">
        <v>777</v>
      </c>
      <c r="B369" s="6"/>
      <c r="C369" s="9" t="str">
        <f>IFERROR(VLOOKUP(VENTAS4[[#This Row],[Code]],STOCK[],5,FALSE),"-")</f>
        <v>Top berry en tela de algodón</v>
      </c>
    </row>
    <row r="370" s="2" customFormat="1" ht="55" customHeight="1" spans="1:3">
      <c r="A370" s="5" t="s">
        <v>779</v>
      </c>
      <c r="B370" s="6"/>
      <c r="C370" s="9" t="str">
        <f>IFERROR(VLOOKUP(VENTAS4[[#This Row],[Code]],STOCK[],5,FALSE),"-")</f>
        <v>Top Amarillo en tela de algodón</v>
      </c>
    </row>
    <row r="371" s="2" customFormat="1" ht="55" customHeight="1" spans="1:3">
      <c r="A371" s="5" t="s">
        <v>781</v>
      </c>
      <c r="B371" s="6"/>
      <c r="C371" s="9" t="str">
        <f>IFERROR(VLOOKUP(VENTAS4[[#This Row],[Code]],STOCK[],5,FALSE),"-")</f>
        <v>Top Amarillo en tela de algodón</v>
      </c>
    </row>
    <row r="372" s="2" customFormat="1" ht="55" customHeight="1" spans="1:3">
      <c r="A372" s="5" t="s">
        <v>782</v>
      </c>
      <c r="B372" s="6"/>
      <c r="C372" s="9" t="str">
        <f>IFERROR(VLOOKUP(VENTAS4[[#This Row],[Code]],STOCK[],5,FALSE),"-")</f>
        <v>Top Negro en tela de algodón</v>
      </c>
    </row>
    <row r="373" s="2" customFormat="1" ht="55" customHeight="1" spans="1:3">
      <c r="A373" s="5" t="s">
        <v>784</v>
      </c>
      <c r="B373" s="6"/>
      <c r="C373" s="9" t="str">
        <f>IFERROR(VLOOKUP(VENTAS4[[#This Row],[Code]],STOCK[],5,FALSE),"-")</f>
        <v>Top Manga Corta Negro</v>
      </c>
    </row>
    <row r="374" s="2" customFormat="1" ht="55" customHeight="1" spans="1:3">
      <c r="A374" s="5" t="s">
        <v>786</v>
      </c>
      <c r="B374" s="6"/>
      <c r="C374" s="9" t="str">
        <f>IFERROR(VLOOKUP(VENTAS4[[#This Row],[Code]],STOCK[],5,FALSE),"-")</f>
        <v>Gorra de Malla</v>
      </c>
    </row>
    <row r="375" s="2" customFormat="1" ht="55" customHeight="1" spans="1:3">
      <c r="A375" s="5" t="s">
        <v>788</v>
      </c>
      <c r="B375" s="6"/>
      <c r="C375" s="9" t="str">
        <f>IFERROR(VLOOKUP(VENTAS4[[#This Row],[Code]],STOCK[],5,FALSE),"-")</f>
        <v>Visera rosa</v>
      </c>
    </row>
    <row r="376" s="2" customFormat="1" ht="55" customHeight="1" spans="1:3">
      <c r="A376" s="5" t="s">
        <v>790</v>
      </c>
      <c r="B376" s="6"/>
      <c r="C376" s="9" t="str">
        <f>IFERROR(VLOOKUP(VENTAS4[[#This Row],[Code]],STOCK[],5,FALSE),"-")</f>
        <v>Bermuda denim</v>
      </c>
    </row>
    <row r="377" s="2" customFormat="1" ht="55" customHeight="1" spans="1:3">
      <c r="A377" s="5" t="s">
        <v>792</v>
      </c>
      <c r="B377" s="6"/>
      <c r="C377" s="9" t="str">
        <f>IFERROR(VLOOKUP(VENTAS4[[#This Row],[Code]],STOCK[],5,FALSE),"-")</f>
        <v>Bermuda denim</v>
      </c>
    </row>
    <row r="378" s="2" customFormat="1" ht="55" customHeight="1" spans="1:3">
      <c r="A378" s="5" t="s">
        <v>793</v>
      </c>
      <c r="B378" s="6"/>
      <c r="C378" s="9" t="str">
        <f>IFERROR(VLOOKUP(VENTAS4[[#This Row],[Code]],STOCK[],5,FALSE),"-")</f>
        <v>Bañador atado a los lados</v>
      </c>
    </row>
    <row r="379" s="2" customFormat="1" ht="55" customHeight="1" spans="1:3">
      <c r="A379" s="5" t="s">
        <v>795</v>
      </c>
      <c r="B379" s="6"/>
      <c r="C379" s="2" t="str">
        <f>IFERROR(VLOOKUP(VENTAS4[[#This Row],[Code]],STOCK[],5,FALSE),"-")</f>
        <v>Bañador floreado</v>
      </c>
    </row>
    <row r="380" s="2" customFormat="1" ht="55" customHeight="1" spans="1:3">
      <c r="A380" s="5" t="s">
        <v>797</v>
      </c>
      <c r="B380" s="6"/>
      <c r="C380" s="2" t="str">
        <f>IFERROR(VLOOKUP(VENTAS4[[#This Row],[Code]],STOCK[],5,FALSE),"-")</f>
        <v>Bañador  animal print</v>
      </c>
    </row>
    <row r="381" s="2" customFormat="1" ht="55" customHeight="1" spans="1:3">
      <c r="A381" s="5" t="s">
        <v>799</v>
      </c>
      <c r="B381" s="6"/>
      <c r="C381" s="2" t="str">
        <f>IFERROR(VLOOKUP(VENTAS4[[#This Row],[Code]],STOCK[],5,FALSE),"-")</f>
        <v>Short de cordón lateral</v>
      </c>
    </row>
    <row r="382" s="2" customFormat="1" ht="55" customHeight="1" spans="1:3">
      <c r="A382" s="5" t="s">
        <v>802</v>
      </c>
      <c r="B382" s="6"/>
      <c r="C382" s="2" t="str">
        <f>IFERROR(VLOOKUP(VENTAS4[[#This Row],[Code]],STOCK[],5,FALSE),"-")</f>
        <v>Vestido slip satinado</v>
      </c>
    </row>
    <row r="383" s="2" customFormat="1" ht="55" customHeight="1" spans="1:3">
      <c r="A383" s="5" t="s">
        <v>804</v>
      </c>
      <c r="B383" s="6"/>
      <c r="C383" s="2" t="str">
        <f>IFERROR(VLOOKUP(VENTAS4[[#This Row],[Code]],STOCK[],5,FALSE),"-")</f>
        <v> Bañador espalda descubierta</v>
      </c>
    </row>
    <row r="384" s="2" customFormat="1" ht="55" customHeight="1" spans="1:3">
      <c r="A384" s="5" t="s">
        <v>806</v>
      </c>
      <c r="B384" s="6"/>
      <c r="C384" s="2" t="str">
        <f>IFERROR(VLOOKUP(VENTAS4[[#This Row],[Code]],STOCK[],5,FALSE),"-")</f>
        <v>Bañador a rayas con lazo</v>
      </c>
    </row>
    <row r="385" s="2" customFormat="1" ht="55" customHeight="1" spans="1:3">
      <c r="A385" s="5" t="s">
        <v>808</v>
      </c>
      <c r="B385" s="6"/>
      <c r="C385" s="9" t="str">
        <f>IFERROR(VLOOKUP(VENTAS4[[#This Row],[Code]],STOCK[],5,FALSE),"-")</f>
        <v>Bañador estampado en contraste</v>
      </c>
    </row>
    <row r="386" s="2" customFormat="1" ht="55" customHeight="1" spans="1:3">
      <c r="A386" s="5" t="s">
        <v>810</v>
      </c>
      <c r="B386" s="6"/>
      <c r="C386" s="9" t="str">
        <f>IFERROR(VLOOKUP(VENTAS4[[#This Row],[Code]],STOCK[],5,FALSE),"-")</f>
        <v>Vestido slip de espalda corrida</v>
      </c>
    </row>
    <row r="387" s="2" customFormat="1" ht="55" customHeight="1" spans="1:3">
      <c r="A387" s="5" t="s">
        <v>812</v>
      </c>
      <c r="B387" s="6"/>
      <c r="C387" s="9" t="str">
        <f>IFERROR(VLOOKUP(VENTAS4[[#This Row],[Code]],STOCK[],5,FALSE),"-")</f>
        <v>Top de cuello asimétrico</v>
      </c>
    </row>
    <row r="388" s="2" customFormat="1" ht="55" customHeight="1" spans="1:3">
      <c r="A388" s="5" t="s">
        <v>815</v>
      </c>
      <c r="B388" s="6"/>
      <c r="C388" s="9" t="str">
        <f>IFERROR(VLOOKUP(VENTAS4[[#This Row],[Code]],STOCK[],5,FALSE),"-")</f>
        <v>Blusa verde menta vuelos</v>
      </c>
    </row>
    <row r="389" s="2" customFormat="1" ht="55" customHeight="1" spans="1:3">
      <c r="A389" s="5" t="s">
        <v>818</v>
      </c>
      <c r="B389" s="6"/>
      <c r="C389" s="9" t="str">
        <f>IFERROR(VLOOKUP(VENTAS4[[#This Row],[Code]],STOCK[],5,FALSE),"-")</f>
        <v>Blusa atada bohemia</v>
      </c>
    </row>
    <row r="390" s="2" customFormat="1" ht="55" customHeight="1" spans="1:3">
      <c r="A390" s="5" t="s">
        <v>821</v>
      </c>
      <c r="B390" s="6"/>
      <c r="C390" s="9" t="str">
        <f>IFERROR(VLOOKUP(VENTAS4[[#This Row],[Code]],STOCK[],5,FALSE),"-")</f>
        <v>Blusa estampada amplia</v>
      </c>
    </row>
    <row r="391" s="2" customFormat="1" ht="55" customHeight="1" spans="1:3">
      <c r="A391" s="5" t="s">
        <v>823</v>
      </c>
      <c r="B391" s="6"/>
      <c r="C391" s="9" t="str">
        <f>IFERROR(VLOOKUP(VENTAS4[[#This Row],[Code]],STOCK[],5,FALSE),"-")</f>
        <v>Bikini Rosa Viejo Satinado </v>
      </c>
    </row>
    <row r="392" s="2" customFormat="1" ht="55" customHeight="1" spans="1:3">
      <c r="A392" s="5" t="s">
        <v>825</v>
      </c>
      <c r="B392" s="6"/>
      <c r="C392" s="9" t="str">
        <f>IFERROR(VLOOKUP(VENTAS4[[#This Row],[Code]],STOCK[],5,FALSE),"-")</f>
        <v>Bikini cintura alta</v>
      </c>
    </row>
    <row r="393" s="2" customFormat="1" ht="55" customHeight="1" spans="1:3">
      <c r="A393" s="5" t="s">
        <v>828</v>
      </c>
      <c r="B393" s="6"/>
      <c r="C393" s="9" t="str">
        <f>IFERROR(VLOOKUP(VENTAS4[[#This Row],[Code]],STOCK[],5,FALSE),"-")</f>
        <v>Set de bikini malva</v>
      </c>
    </row>
    <row r="394" s="2" customFormat="1" ht="55" customHeight="1" spans="1:3">
      <c r="A394" s="5" t="s">
        <v>830</v>
      </c>
      <c r="B394" s="6"/>
      <c r="C394" s="9" t="str">
        <f>IFERROR(VLOOKUP(VENTAS4[[#This Row],[Code]],STOCK[],5,FALSE),"-")</f>
        <v>Vestido estampado malva</v>
      </c>
    </row>
    <row r="395" s="2" customFormat="1" ht="55" customHeight="1" spans="1:3">
      <c r="A395" s="5" t="s">
        <v>832</v>
      </c>
      <c r="B395" s="6"/>
      <c r="C395" s="9" t="str">
        <f>IFERROR(VLOOKUP(VENTAS4[[#This Row],[Code]],STOCK[],5,FALSE),"-")</f>
        <v>Rubor rosa</v>
      </c>
    </row>
    <row r="396" s="2" customFormat="1" ht="55" customHeight="1" spans="1:3">
      <c r="A396" s="5" t="s">
        <v>835</v>
      </c>
      <c r="B396" s="6"/>
      <c r="C396" s="9" t="str">
        <f>IFERROR(VLOOKUP(VENTAS4[[#This Row],[Code]],STOCK[],5,FALSE),"-")</f>
        <v>Vestido pasión</v>
      </c>
    </row>
    <row r="397" s="2" customFormat="1" ht="55" customHeight="1" spans="1:3">
      <c r="A397" s="5" t="s">
        <v>837</v>
      </c>
      <c r="B397" s="6"/>
      <c r="C397" s="9" t="str">
        <f>IFERROR(VLOOKUP(VENTAS4[[#This Row],[Code]],STOCK[],5,FALSE),"-")</f>
        <v>Blusa naranja electra</v>
      </c>
    </row>
    <row r="398" s="2" customFormat="1" ht="55" customHeight="1" spans="1:3">
      <c r="A398" s="5" t="s">
        <v>839</v>
      </c>
      <c r="B398" s="6"/>
      <c r="C398" s="9" t="str">
        <f>IFERROR(VLOOKUP(VENTAS4[[#This Row],[Code]],STOCK[],5,FALSE),"-")</f>
        <v>Pareo corazón</v>
      </c>
    </row>
    <row r="399" s="2" customFormat="1" ht="55" customHeight="1" spans="1:3">
      <c r="A399" s="5" t="s">
        <v>841</v>
      </c>
      <c r="B399" s="6"/>
      <c r="C399" s="9" t="str">
        <f>IFERROR(VLOOKUP(VENTAS4[[#This Row],[Code]],STOCK[],5,FALSE),"-")</f>
        <v>Top de malla sexy</v>
      </c>
    </row>
    <row r="400" s="2" customFormat="1" ht="55" customHeight="1" spans="1:3">
      <c r="A400" s="5" t="s">
        <v>843</v>
      </c>
      <c r="B400" s="6"/>
      <c r="C400" s="9" t="str">
        <f>IFERROR(VLOOKUP(VENTAS4[[#This Row],[Code]],STOCK[],5,FALSE),"-")</f>
        <v>Top escote corazón</v>
      </c>
    </row>
    <row r="401" s="2" customFormat="1" ht="55" customHeight="1" spans="1:3">
      <c r="A401" s="5" t="s">
        <v>845</v>
      </c>
      <c r="B401" s="6"/>
      <c r="C401" s="9" t="str">
        <f>IFERROR(VLOOKUP(VENTAS4[[#This Row],[Code]],STOCK[],5,FALSE),"-")</f>
        <v>Top escote corazón</v>
      </c>
    </row>
    <row r="402" s="2" customFormat="1" ht="55" customHeight="1" spans="1:3">
      <c r="A402" s="5" t="s">
        <v>846</v>
      </c>
      <c r="B402" s="6"/>
      <c r="C402" s="9" t="str">
        <f>IFERROR(VLOOKUP(VENTAS4[[#This Row],[Code]],STOCK[],5,FALSE),"-")</f>
        <v>Falda rosa brillante</v>
      </c>
    </row>
    <row r="403" s="2" customFormat="1" ht="55" customHeight="1" spans="1:3">
      <c r="A403" s="5" t="s">
        <v>848</v>
      </c>
      <c r="B403" s="6"/>
      <c r="C403" s="9" t="str">
        <f>IFERROR(VLOOKUP(VENTAS4[[#This Row],[Code]],STOCK[],5,FALSE),"-")</f>
        <v>Kimono Maxi elegante</v>
      </c>
    </row>
    <row r="404" s="2" customFormat="1" ht="55" customHeight="1" spans="1:3">
      <c r="A404" s="5" t="s">
        <v>850</v>
      </c>
      <c r="B404" s="6"/>
      <c r="C404" s="9" t="str">
        <f>IFERROR(VLOOKUP(VENTAS4[[#This Row],[Code]],STOCK[],5,FALSE),"-")</f>
        <v>Vestido esmeralda</v>
      </c>
    </row>
    <row r="405" s="2" customFormat="1" ht="55" customHeight="1" spans="1:3">
      <c r="A405" s="5" t="s">
        <v>852</v>
      </c>
      <c r="B405" s="6"/>
      <c r="C405" s="9" t="str">
        <f>IFERROR(VLOOKUP(VENTAS4[[#This Row],[Code]],STOCK[],5,FALSE),"-")</f>
        <v>Cinturón ancho casual</v>
      </c>
    </row>
    <row r="406" s="2" customFormat="1" ht="55" customHeight="1" spans="1:3">
      <c r="A406" s="5" t="s">
        <v>854</v>
      </c>
      <c r="B406" s="6"/>
      <c r="C406" s="9" t="str">
        <f>IFERROR(VLOOKUP(VENTAS4[[#This Row],[Code]],STOCK[],5,FALSE),"-")</f>
        <v>Gafas anchas de moda</v>
      </c>
    </row>
    <row r="407" s="2" customFormat="1" ht="55" customHeight="1" spans="1:3">
      <c r="A407" s="5" t="s">
        <v>857</v>
      </c>
      <c r="B407" s="6"/>
      <c r="C407" s="9" t="str">
        <f>IFERROR(VLOOKUP(VENTAS4[[#This Row],[Code]],STOCK[],5,FALSE),"-")</f>
        <v>Vestido Ajustado brillo</v>
      </c>
    </row>
    <row r="408" s="2" customFormat="1" ht="55" customHeight="1" spans="1:3">
      <c r="A408" s="5" t="s">
        <v>859</v>
      </c>
      <c r="B408" s="6"/>
      <c r="C408" s="9" t="str">
        <f>IFERROR(VLOOKUP(VENTAS4[[#This Row],[Code]],STOCK[],5,FALSE),"-")</f>
        <v>Vestido venturina</v>
      </c>
    </row>
    <row r="409" s="2" customFormat="1" ht="55" customHeight="1" spans="1:3">
      <c r="A409" s="5" t="s">
        <v>861</v>
      </c>
      <c r="B409" s="6"/>
      <c r="C409" s="9" t="str">
        <f>IFERROR(VLOOKUP(VENTAS4[[#This Row],[Code]],STOCK[],5,FALSE),"-")</f>
        <v>Bikini Rosa canalé</v>
      </c>
    </row>
    <row r="410" s="2" customFormat="1" ht="55" customHeight="1" spans="1:3">
      <c r="A410" s="5" t="s">
        <v>863</v>
      </c>
      <c r="B410" s="6"/>
      <c r="C410" s="9" t="str">
        <f>IFERROR(VLOOKUP(VENTAS4[[#This Row],[Code]],STOCK[],5,FALSE),"-")</f>
        <v>Bikini rosa canalé</v>
      </c>
    </row>
    <row r="411" s="2" customFormat="1" ht="55" customHeight="1" spans="1:3">
      <c r="A411" s="5" t="s">
        <v>865</v>
      </c>
      <c r="B411" s="6"/>
      <c r="C411" s="9" t="str">
        <f>IFERROR(VLOOKUP(VENTAS4[[#This Row],[Code]],STOCK[],5,FALSE),"-")</f>
        <v>Vestido puerina</v>
      </c>
    </row>
    <row r="412" s="2" customFormat="1" ht="55" customHeight="1" spans="1:3">
      <c r="A412" s="5" t="s">
        <v>867</v>
      </c>
      <c r="B412" s="6"/>
      <c r="C412" s="9" t="str">
        <f>IFERROR(VLOOKUP(VENTAS4[[#This Row],[Code]],STOCK[],5,FALSE),"-")</f>
        <v>Bikini push up</v>
      </c>
    </row>
    <row r="413" s="2" customFormat="1" ht="55" customHeight="1" spans="1:3">
      <c r="A413" s="5" t="s">
        <v>869</v>
      </c>
      <c r="B413" s="6"/>
      <c r="C413" s="9" t="str">
        <f>IFERROR(VLOOKUP(VENTAS4[[#This Row],[Code]],STOCK[],5,FALSE),"-")</f>
        <v>Sandalias tacón grueso BAZAR</v>
      </c>
    </row>
    <row r="414" s="2" customFormat="1" ht="55" customHeight="1" spans="1:3">
      <c r="A414" s="5" t="s">
        <v>871</v>
      </c>
      <c r="B414" s="6"/>
      <c r="C414" s="9" t="str">
        <f>IFERROR(VLOOKUP(VENTAS4[[#This Row],[Code]],STOCK[],5,FALSE),"-")</f>
        <v>Calzado hombre dos tonos</v>
      </c>
    </row>
    <row r="415" s="2" customFormat="1" ht="55" customHeight="1" spans="1:3">
      <c r="A415" s="5" t="s">
        <v>873</v>
      </c>
      <c r="B415" s="6"/>
      <c r="C415" s="9" t="str">
        <f>IFERROR(VLOOKUP(VENTAS4[[#This Row],[Code]],STOCK[],5,FALSE),"-")</f>
        <v>Sandalias animal print de tacón</v>
      </c>
    </row>
    <row r="416" s="2" customFormat="1" ht="55" customHeight="1" spans="1:3">
      <c r="A416" s="5" t="s">
        <v>875</v>
      </c>
      <c r="B416" s="6"/>
      <c r="C416" s="9" t="str">
        <f>IFERROR(VLOOKUP(VENTAS4[[#This Row],[Code]],STOCK[],5,FALSE),"-")</f>
        <v>Brasier de encaje_Negro Unitalla</v>
      </c>
    </row>
    <row r="417" s="2" customFormat="1" ht="55" customHeight="1" spans="1:3">
      <c r="A417" s="5" t="s">
        <v>877</v>
      </c>
      <c r="B417" s="6"/>
      <c r="C417" s="9" t="str">
        <f>IFERROR(VLOOKUP(VENTAS4[[#This Row],[Code]],STOCK[],5,FALSE),"-")</f>
        <v>Brasier de encaje blanco</v>
      </c>
    </row>
    <row r="418" s="2" customFormat="1" ht="55" customHeight="1" spans="1:3">
      <c r="A418" s="5" t="s">
        <v>881</v>
      </c>
      <c r="B418" s="6"/>
      <c r="C418" s="9" t="str">
        <f>IFERROR(VLOOKUP(VENTAS4[[#This Row],[Code]],STOCK[],5,FALSE),"-")</f>
        <v>Bragas sin costuras</v>
      </c>
    </row>
    <row r="419" s="2" customFormat="1" ht="55" customHeight="1" spans="1:3">
      <c r="A419" s="5" t="s">
        <v>883</v>
      </c>
      <c r="B419" s="6"/>
      <c r="C419" s="9" t="str">
        <f>IFERROR(VLOOKUP(VENTAS4[[#This Row],[Code]],STOCK[],5,FALSE),"-")</f>
        <v>Base para maquillaje</v>
      </c>
    </row>
    <row r="420" s="2" customFormat="1" ht="55" customHeight="1" spans="1:3">
      <c r="A420" s="5" t="s">
        <v>886</v>
      </c>
      <c r="B420" s="6"/>
      <c r="C420" s="9" t="str">
        <f>IFERROR(VLOOKUP(VENTAS4[[#This Row],[Code]],STOCK[],5,FALSE),"-")</f>
        <v>Falda ajustada (hacer foto)</v>
      </c>
    </row>
    <row r="421" s="2" customFormat="1" ht="55" customHeight="1" spans="1:3">
      <c r="A421" s="5" t="s">
        <v>888</v>
      </c>
      <c r="B421" s="6"/>
      <c r="C421" s="9" t="str">
        <f>IFERROR(VLOOKUP(VENTAS4[[#This Row],[Code]],STOCK[],5,FALSE),"-")</f>
        <v>Bragas sin costuras</v>
      </c>
    </row>
    <row r="422" s="2" customFormat="1" ht="55" customHeight="1" spans="1:3">
      <c r="A422" s="5" t="s">
        <v>889</v>
      </c>
      <c r="B422" s="6"/>
      <c r="C422" s="9" t="str">
        <f>IFERROR(VLOOKUP(VENTAS4[[#This Row],[Code]],STOCK[],5,FALSE),"-")</f>
        <v>Top Cuello encaje y mangas abombadas</v>
      </c>
    </row>
    <row r="423" s="2" customFormat="1" ht="55" customHeight="1" spans="1:3">
      <c r="A423" s="5" t="s">
        <v>892</v>
      </c>
      <c r="B423" s="6"/>
      <c r="C423" s="9" t="str">
        <f>IFERROR(VLOOKUP(VENTAS4[[#This Row],[Code]],STOCK[],5,FALSE),"-")</f>
        <v>Top Cisne Blanco</v>
      </c>
    </row>
    <row r="424" s="2" customFormat="1" ht="55" customHeight="1" spans="1:3">
      <c r="A424" s="5" t="s">
        <v>895</v>
      </c>
      <c r="B424" s="6"/>
      <c r="C424" s="9" t="str">
        <f>IFERROR(VLOOKUP(VENTAS4[[#This Row],[Code]],STOCK[],5,FALSE),"-")</f>
        <v>Top Cisne Blanco</v>
      </c>
    </row>
    <row r="425" s="2" customFormat="1" ht="55" customHeight="1" spans="1:3">
      <c r="A425" s="5" t="s">
        <v>896</v>
      </c>
      <c r="B425" s="6"/>
      <c r="C425" s="9" t="str">
        <f>IFERROR(VLOOKUP(VENTAS4[[#This Row],[Code]],STOCK[],5,FALSE),"-")</f>
        <v>Bañador con adorno de malla</v>
      </c>
    </row>
    <row r="426" s="2" customFormat="1" ht="55" customHeight="1" spans="1:3">
      <c r="A426" s="5" t="s">
        <v>898</v>
      </c>
      <c r="B426" s="6"/>
      <c r="C426" s="9" t="str">
        <f>IFERROR(VLOOKUP(VENTAS4[[#This Row],[Code]],STOCK[],5,FALSE),"-")</f>
        <v>Bañador con adorno de malla</v>
      </c>
    </row>
    <row r="427" s="2" customFormat="1" ht="55" customHeight="1" spans="1:3">
      <c r="A427" s="5" t="s">
        <v>899</v>
      </c>
      <c r="B427" s="6"/>
      <c r="C427" s="9" t="str">
        <f>IFERROR(VLOOKUP(VENTAS4[[#This Row],[Code]],STOCK[],5,FALSE),"-")</f>
        <v>Bañador con adorno de malla</v>
      </c>
    </row>
    <row r="428" s="2" customFormat="1" ht="55" customHeight="1" spans="1:3">
      <c r="A428" s="5" t="s">
        <v>900</v>
      </c>
      <c r="B428" s="6"/>
      <c r="C428" s="9" t="str">
        <f>IFERROR(VLOOKUP(VENTAS4[[#This Row],[Code]],STOCK[],5,FALSE),"-")</f>
        <v>Maxi Vestido Fruncido</v>
      </c>
    </row>
    <row r="429" s="2" customFormat="1" ht="55" customHeight="1" spans="1:3">
      <c r="A429" s="5" t="s">
        <v>902</v>
      </c>
      <c r="B429" s="6"/>
      <c r="C429" s="9" t="str">
        <f>IFERROR(VLOOKUP(VENTAS4[[#This Row],[Code]],STOCK[],5,FALSE),"-")</f>
        <v>Maxi Vestido Fruncido</v>
      </c>
    </row>
    <row r="430" s="2" customFormat="1" ht="55" customHeight="1" spans="1:3">
      <c r="A430" s="5" t="s">
        <v>903</v>
      </c>
      <c r="B430" s="6"/>
      <c r="C430" s="9" t="str">
        <f>IFERROR(VLOOKUP(VENTAS4[[#This Row],[Code]],STOCK[],5,FALSE),"-")</f>
        <v>Maxi Vestido Fruncido</v>
      </c>
    </row>
    <row r="431" s="2" customFormat="1" ht="55" customHeight="1" spans="1:3">
      <c r="A431" s="5" t="s">
        <v>904</v>
      </c>
      <c r="B431" s="6"/>
      <c r="C431" s="9" t="str">
        <f>IFERROR(VLOOKUP(VENTAS4[[#This Row],[Code]],STOCK[],5,FALSE),"-")</f>
        <v>Bikini Floral</v>
      </c>
    </row>
    <row r="432" s="2" customFormat="1" ht="55" customHeight="1" spans="1:3">
      <c r="A432" s="5" t="s">
        <v>905</v>
      </c>
      <c r="B432" s="6"/>
      <c r="C432" s="9" t="str">
        <f>IFERROR(VLOOKUP(VENTAS4[[#This Row],[Code]],STOCK[],5,FALSE),"-")</f>
        <v>Bikini Floral</v>
      </c>
    </row>
    <row r="433" s="2" customFormat="1" ht="55" customHeight="1" spans="1:3">
      <c r="A433" s="5" t="s">
        <v>906</v>
      </c>
      <c r="B433" s="6"/>
      <c r="C433" s="9" t="str">
        <f>IFERROR(VLOOKUP(VENTAS4[[#This Row],[Code]],STOCK[],5,FALSE),"-")</f>
        <v> Top Cuello V Verde</v>
      </c>
    </row>
    <row r="434" s="2" customFormat="1" ht="55" customHeight="1" spans="1:3">
      <c r="A434" s="5" t="s">
        <v>908</v>
      </c>
      <c r="B434" s="6"/>
      <c r="C434" s="9" t="str">
        <f>IFERROR(VLOOKUP(VENTAS4[[#This Row],[Code]],STOCK[],5,FALSE),"-")</f>
        <v>Bañador Surf</v>
      </c>
    </row>
    <row r="435" s="2" customFormat="1" ht="55" customHeight="1" spans="1:3">
      <c r="A435" s="5" t="s">
        <v>911</v>
      </c>
      <c r="B435" s="6"/>
      <c r="C435" s="9" t="str">
        <f>IFERROR(VLOOKUP(VENTAS4[[#This Row],[Code]],STOCK[],5,FALSE),"-")</f>
        <v>Bañador de pierna alta</v>
      </c>
    </row>
    <row r="436" s="2" customFormat="1" ht="55" customHeight="1" spans="1:3">
      <c r="A436" s="5" t="s">
        <v>913</v>
      </c>
      <c r="B436" s="6"/>
      <c r="C436" s="9" t="str">
        <f>IFERROR(VLOOKUP(VENTAS4[[#This Row],[Code]],STOCK[],5,FALSE),"-")</f>
        <v>Camiseta con figura</v>
      </c>
    </row>
    <row r="437" s="2" customFormat="1" ht="55" customHeight="1" spans="1:3">
      <c r="A437" s="5" t="s">
        <v>915</v>
      </c>
      <c r="B437" s="6"/>
      <c r="C437" s="9" t="str">
        <f>IFERROR(VLOOKUP(VENTAS4[[#This Row],[Code]],STOCK[],5,FALSE),"-")</f>
        <v>Camiseta con Dibujo</v>
      </c>
    </row>
    <row r="438" s="2" customFormat="1" ht="55" customHeight="1" spans="1:3">
      <c r="A438" s="5" t="s">
        <v>917</v>
      </c>
      <c r="B438" s="6"/>
      <c r="C438" s="9" t="str">
        <f>IFERROR(VLOOKUP(VENTAS4[[#This Row],[Code]],STOCK[],5,FALSE),"-")</f>
        <v>Vestido de lunares </v>
      </c>
    </row>
    <row r="439" s="2" customFormat="1" ht="55" customHeight="1" spans="1:3">
      <c r="A439" s="5" t="s">
        <v>920</v>
      </c>
      <c r="B439" s="6"/>
      <c r="C439" s="9" t="str">
        <f>IFERROR(VLOOKUP(VENTAS4[[#This Row],[Code]],STOCK[],5,FALSE),"-")</f>
        <v>Vestido de lunares</v>
      </c>
    </row>
    <row r="440" s="2" customFormat="1" ht="55" customHeight="1" spans="1:3">
      <c r="A440" s="5" t="s">
        <v>923</v>
      </c>
      <c r="B440" s="6"/>
      <c r="C440" s="9" t="str">
        <f>IFERROR(VLOOKUP(VENTAS4[[#This Row],[Code]],STOCK[],5,FALSE),"-")</f>
        <v>Pantaloneta Roja</v>
      </c>
    </row>
    <row r="441" s="2" customFormat="1" ht="55" customHeight="1" spans="1:3">
      <c r="A441" s="5" t="s">
        <v>925</v>
      </c>
      <c r="B441" s="6"/>
      <c r="C441" s="9" t="str">
        <f>IFERROR(VLOOKUP(VENTAS4[[#This Row],[Code]],STOCK[],5,FALSE),"-")</f>
        <v>Pantaloneta Roja</v>
      </c>
    </row>
    <row r="442" s="2" customFormat="1" ht="55" customHeight="1" spans="1:3">
      <c r="A442" s="5" t="s">
        <v>927</v>
      </c>
      <c r="B442" s="6"/>
      <c r="C442" s="9" t="str">
        <f>IFERROR(VLOOKUP(VENTAS4[[#This Row],[Code]],STOCK[],5,FALSE),"-")</f>
        <v>Pantaloneta Roja</v>
      </c>
    </row>
    <row r="443" s="2" customFormat="1" ht="55" customHeight="1" spans="1:3">
      <c r="A443" s="5" t="s">
        <v>928</v>
      </c>
      <c r="B443" s="6"/>
      <c r="C443" s="9" t="str">
        <f>IFERROR(VLOOKUP(VENTAS4[[#This Row],[Code]],STOCK[],5,FALSE),"-")</f>
        <v>Falda de trabajo</v>
      </c>
    </row>
    <row r="444" s="2" customFormat="1" ht="55" customHeight="1" spans="1:3">
      <c r="A444" s="5" t="s">
        <v>930</v>
      </c>
      <c r="B444" s="6"/>
      <c r="C444" s="9" t="str">
        <f>IFERROR(VLOOKUP(VENTAS4[[#This Row],[Code]],STOCK[],5,FALSE),"-")</f>
        <v>Falda de trabajo</v>
      </c>
    </row>
    <row r="445" s="2" customFormat="1" ht="55" customHeight="1" spans="1:3">
      <c r="A445" s="5" t="s">
        <v>931</v>
      </c>
      <c r="B445" s="6"/>
      <c r="C445" s="9" t="str">
        <f>IFERROR(VLOOKUP(VENTAS4[[#This Row],[Code]],STOCK[],5,FALSE),"-")</f>
        <v>Falda de trabajo</v>
      </c>
    </row>
    <row r="446" s="2" customFormat="1" ht="55" customHeight="1" spans="1:3">
      <c r="A446" s="5" t="s">
        <v>932</v>
      </c>
      <c r="B446" s="6"/>
      <c r="C446" s="9" t="str">
        <f>IFERROR(VLOOKUP(VENTAS4[[#This Row],[Code]],STOCK[],5,FALSE),"-")</f>
        <v>Falda de trabajo</v>
      </c>
    </row>
    <row r="447" s="2" customFormat="1" ht="55" customHeight="1" spans="1:3">
      <c r="A447" s="5" t="s">
        <v>934</v>
      </c>
      <c r="B447" s="6"/>
      <c r="C447" s="9" t="str">
        <f>IFERROR(VLOOKUP(VENTAS4[[#This Row],[Code]],STOCK[],5,FALSE),"-")</f>
        <v>Bañador de pierna alta</v>
      </c>
    </row>
    <row r="448" s="2" customFormat="1" ht="55" customHeight="1" spans="1:3">
      <c r="A448" s="5" t="s">
        <v>935</v>
      </c>
      <c r="B448" s="6"/>
      <c r="C448" s="9" t="str">
        <f>IFERROR(VLOOKUP(VENTAS4[[#This Row],[Code]],STOCK[],5,FALSE),"-")</f>
        <v>Bañador con zíper de pierna alta</v>
      </c>
    </row>
    <row r="449" s="2" customFormat="1" ht="55" customHeight="1" spans="1:3">
      <c r="A449" s="5" t="s">
        <v>937</v>
      </c>
      <c r="B449" s="6"/>
      <c r="C449" s="9" t="str">
        <f>IFERROR(VLOOKUP(VENTAS4[[#This Row],[Code]],STOCK[],5,FALSE),"-")</f>
        <v>Vestido tropical</v>
      </c>
    </row>
    <row r="450" s="2" customFormat="1" ht="55" customHeight="1" spans="1:3">
      <c r="A450" s="5" t="s">
        <v>939</v>
      </c>
      <c r="B450" s="6"/>
      <c r="C450" s="9" t="str">
        <f>IFERROR(VLOOKUP(VENTAS4[[#This Row],[Code]],STOCK[],5,FALSE),"-")</f>
        <v>Vestido Tropical</v>
      </c>
    </row>
    <row r="451" s="2" customFormat="1" ht="55" customHeight="1" spans="1:3">
      <c r="A451" s="5" t="s">
        <v>941</v>
      </c>
      <c r="B451" s="6"/>
      <c r="C451" s="9" t="str">
        <f>IFERROR(VLOOKUP(VENTAS4[[#This Row],[Code]],STOCK[],5,FALSE),"-")</f>
        <v>Vestido Tropical</v>
      </c>
    </row>
    <row r="452" s="2" customFormat="1" ht="55" customHeight="1" spans="1:3">
      <c r="A452" s="5" t="s">
        <v>942</v>
      </c>
      <c r="B452" s="6"/>
      <c r="C452" s="9" t="str">
        <f>IFERROR(VLOOKUP(VENTAS4[[#This Row],[Code]],STOCK[],5,FALSE),"-")</f>
        <v>Vestido Tropical</v>
      </c>
    </row>
    <row r="453" s="2" customFormat="1" ht="55" customHeight="1" spans="1:3">
      <c r="A453" s="5" t="s">
        <v>943</v>
      </c>
      <c r="B453" s="6"/>
      <c r="C453" s="9" t="str">
        <f>IFERROR(VLOOKUP(VENTAS4[[#This Row],[Code]],STOCK[],5,FALSE),"-")</f>
        <v> Top Básico Business Crema</v>
      </c>
    </row>
    <row r="454" s="2" customFormat="1" ht="55" customHeight="1" spans="1:3">
      <c r="A454" s="5" t="s">
        <v>945</v>
      </c>
      <c r="B454" s="6"/>
      <c r="C454" s="9" t="str">
        <f>IFERROR(VLOOKUP(VENTAS4[[#This Row],[Code]],STOCK[],5,FALSE),"-")</f>
        <v> Top Básico Business </v>
      </c>
    </row>
    <row r="455" s="2" customFormat="1" ht="55" customHeight="1" spans="1:3">
      <c r="A455" s="5" t="s">
        <v>948</v>
      </c>
      <c r="B455" s="6"/>
      <c r="C455" s="9" t="str">
        <f>IFERROR(VLOOKUP(VENTAS4[[#This Row],[Code]],STOCK[],5,FALSE),"-")</f>
        <v> Pantaloneta Verde</v>
      </c>
    </row>
    <row r="456" s="2" customFormat="1" ht="55" customHeight="1" spans="1:3">
      <c r="A456" s="5" t="s">
        <v>950</v>
      </c>
      <c r="B456" s="6"/>
      <c r="C456" s="9" t="str">
        <f>IFERROR(VLOOKUP(VENTAS4[[#This Row],[Code]],STOCK[],5,FALSE),"-")</f>
        <v> Pantaloneta Verde</v>
      </c>
    </row>
    <row r="457" s="2" customFormat="1" ht="55" customHeight="1" spans="1:3">
      <c r="A457" s="5" t="s">
        <v>951</v>
      </c>
      <c r="B457" s="6"/>
      <c r="C457" s="9" t="str">
        <f>IFERROR(VLOOKUP(VENTAS4[[#This Row],[Code]],STOCK[],5,FALSE),"-")</f>
        <v> Pantaloneta Verde</v>
      </c>
    </row>
    <row r="458" s="2" customFormat="1" ht="55" customHeight="1" spans="1:3">
      <c r="A458" s="5" t="s">
        <v>952</v>
      </c>
      <c r="B458" s="6"/>
      <c r="C458" s="9" t="str">
        <f>IFERROR(VLOOKUP(VENTAS4[[#This Row],[Code]],STOCK[],5,FALSE),"-")</f>
        <v>Niñas 3 piezas Bañador bikini de rayas combinadas con abertura con kimono</v>
      </c>
    </row>
    <row r="459" s="2" customFormat="1" ht="55" customHeight="1" spans="1:3">
      <c r="A459" s="5" t="s">
        <v>955</v>
      </c>
      <c r="B459" s="6"/>
      <c r="C459" s="9" t="str">
        <f>IFERROR(VLOOKUP(VENTAS4[[#This Row],[Code]],STOCK[],5,FALSE),"-")</f>
        <v>Bañador una pieza con mariposa aplique fruncido</v>
      </c>
    </row>
    <row r="460" s="2" customFormat="1" ht="55" customHeight="1" spans="1:3">
      <c r="A460" s="5" t="s">
        <v>957</v>
      </c>
      <c r="B460" s="6"/>
      <c r="C460" s="9" t="str">
        <f>IFERROR(VLOOKUP(VENTAS4[[#This Row],[Code]],STOCK[],5,FALSE),"-")</f>
        <v>Pantalón Business Básico</v>
      </c>
    </row>
    <row r="461" s="2" customFormat="1" ht="55" customHeight="1" spans="1:3">
      <c r="A461" s="5" t="s">
        <v>959</v>
      </c>
      <c r="B461" s="6"/>
      <c r="C461" s="9" t="str">
        <f>IFERROR(VLOOKUP(VENTAS4[[#This Row],[Code]],STOCK[],5,FALSE),"-")</f>
        <v>Pantalón business básico</v>
      </c>
    </row>
    <row r="462" s="2" customFormat="1" ht="55" customHeight="1" spans="1:3">
      <c r="A462" s="5" t="s">
        <v>961</v>
      </c>
      <c r="B462" s="6"/>
      <c r="C462" s="9" t="str">
        <f>IFERROR(VLOOKUP(VENTAS4[[#This Row],[Code]],STOCK[],5,FALSE),"-")</f>
        <v>Pantalón Business Básico</v>
      </c>
    </row>
    <row r="463" s="2" customFormat="1" ht="55" customHeight="1" spans="1:3">
      <c r="A463" s="5" t="s">
        <v>962</v>
      </c>
      <c r="B463" s="6"/>
      <c r="C463" s="9" t="str">
        <f>IFERROR(VLOOKUP(VENTAS4[[#This Row],[Code]],STOCK[],5,FALSE),"-")</f>
        <v>Pantalón business básico</v>
      </c>
    </row>
    <row r="464" s="2" customFormat="1" ht="55" customHeight="1" spans="1:3">
      <c r="A464" s="5" t="s">
        <v>964</v>
      </c>
      <c r="B464" s="6"/>
      <c r="C464" s="9" t="str">
        <f>IFERROR(VLOOKUP(VENTAS4[[#This Row],[Code]],STOCK[],5,FALSE),"-")</f>
        <v> Top Básico Business </v>
      </c>
    </row>
    <row r="465" s="2" customFormat="1" ht="55" customHeight="1" spans="1:3">
      <c r="A465" s="5" t="s">
        <v>966</v>
      </c>
      <c r="B465" s="6"/>
      <c r="C465" s="9" t="str">
        <f>IFERROR(VLOOKUP(VENTAS4[[#This Row],[Code]],STOCK[],5,FALSE),"-")</f>
        <v> Top Básico Business</v>
      </c>
    </row>
    <row r="466" s="2" customFormat="1" ht="55" customHeight="1" spans="1:3">
      <c r="A466" s="5" t="s">
        <v>969</v>
      </c>
      <c r="B466" s="6"/>
      <c r="C466" s="9" t="str">
        <f>IFERROR(VLOOKUP(VENTAS4[[#This Row],[Code]],STOCK[],5,FALSE),"-")</f>
        <v> Top Básico Business</v>
      </c>
    </row>
    <row r="467" s="2" customFormat="1" ht="55" customHeight="1" spans="1:3">
      <c r="A467" s="5" t="s">
        <v>971</v>
      </c>
      <c r="B467" s="6"/>
      <c r="C467" s="9" t="str">
        <f>IFERROR(VLOOKUP(VENTAS4[[#This Row],[Code]],STOCK[],5,FALSE),"-")</f>
        <v>Bañador Cisne Espalda descubierta</v>
      </c>
    </row>
    <row r="468" s="2" customFormat="1" ht="55" customHeight="1" spans="1:3">
      <c r="A468" s="5" t="s">
        <v>973</v>
      </c>
      <c r="B468" s="6"/>
      <c r="C468" s="9" t="str">
        <f>IFERROR(VLOOKUP(VENTAS4[[#This Row],[Code]],STOCK[],5,FALSE),"-")</f>
        <v>Bañador despalda descubierta</v>
      </c>
    </row>
    <row r="469" s="2" customFormat="1" ht="55" customHeight="1" spans="1:3">
      <c r="A469" s="5" t="s">
        <v>976</v>
      </c>
      <c r="B469" s="6"/>
      <c r="C469" s="9" t="str">
        <f>IFERROR(VLOOKUP(VENTAS4[[#This Row],[Code]],STOCK[],5,FALSE),"-")</f>
        <v>Bikini niña 3 piezas</v>
      </c>
    </row>
    <row r="470" s="2" customFormat="1" ht="55" customHeight="1" spans="1:3">
      <c r="A470" s="5" t="s">
        <v>979</v>
      </c>
      <c r="B470" s="6"/>
      <c r="C470" s="9" t="str">
        <f>IFERROR(VLOOKUP(VENTAS4[[#This Row],[Code]],STOCK[],5,FALSE),"-")</f>
        <v> Top Mangas Fruncidas</v>
      </c>
    </row>
    <row r="471" s="2" customFormat="1" ht="55" customHeight="1" spans="1:3">
      <c r="A471" s="5" t="s">
        <v>981</v>
      </c>
      <c r="B471" s="6"/>
      <c r="C471" s="9" t="str">
        <f>IFERROR(VLOOKUP(VENTAS4[[#This Row],[Code]],STOCK[],5,FALSE),"-")</f>
        <v> Top Mangas Fruncidas</v>
      </c>
    </row>
    <row r="472" s="2" customFormat="1" ht="55" customHeight="1" spans="1:3">
      <c r="A472" s="5" t="s">
        <v>982</v>
      </c>
      <c r="B472" s="6"/>
      <c r="C472" s="9" t="str">
        <f>IFERROR(VLOOKUP(VENTAS4[[#This Row],[Code]],STOCK[],5,FALSE),"-")</f>
        <v> Top Mangas Fruncidas</v>
      </c>
    </row>
    <row r="473" s="2" customFormat="1" ht="55" customHeight="1" spans="1:3">
      <c r="A473" s="5" t="s">
        <v>983</v>
      </c>
      <c r="B473" s="6"/>
      <c r="C473" s="9" t="str">
        <f>IFERROR(VLOOKUP(VENTAS4[[#This Row],[Code]],STOCK[],5,FALSE),"-")</f>
        <v>Vestido con abertura</v>
      </c>
    </row>
    <row r="474" s="2" customFormat="1" ht="55" customHeight="1" spans="1:3">
      <c r="A474" s="5" t="s">
        <v>985</v>
      </c>
      <c r="B474" s="6"/>
      <c r="C474" s="9" t="str">
        <f>IFERROR(VLOOKUP(VENTAS4[[#This Row],[Code]],STOCK[],5,FALSE),"-")</f>
        <v>Vestido con abertura</v>
      </c>
    </row>
    <row r="475" s="2" customFormat="1" ht="55" customHeight="1" spans="1:3">
      <c r="A475" s="5" t="s">
        <v>986</v>
      </c>
      <c r="B475" s="6"/>
      <c r="C475" s="9" t="str">
        <f>IFERROR(VLOOKUP(VENTAS4[[#This Row],[Code]],STOCK[],5,FALSE),"-")</f>
        <v>Vestido con doble abertura</v>
      </c>
    </row>
    <row r="476" s="2" customFormat="1" ht="55" customHeight="1" spans="1:3">
      <c r="A476" s="5" t="s">
        <v>988</v>
      </c>
      <c r="B476" s="6"/>
      <c r="C476" s="9" t="str">
        <f>IFERROR(VLOOKUP(VENTAS4[[#This Row],[Code]],STOCK[],5,FALSE),"-")</f>
        <v> Top Básico Business Negro</v>
      </c>
    </row>
    <row r="477" s="2" customFormat="1" ht="55" customHeight="1" spans="1:3">
      <c r="A477" s="5" t="s">
        <v>990</v>
      </c>
      <c r="B477" s="6"/>
      <c r="C477" s="9" t="str">
        <f>IFERROR(VLOOKUP(VENTAS4[[#This Row],[Code]],STOCK[],5,FALSE),"-")</f>
        <v> Top Básico Business Negro</v>
      </c>
    </row>
    <row r="478" s="2" customFormat="1" ht="55" customHeight="1" spans="1:3">
      <c r="A478" s="5" t="s">
        <v>991</v>
      </c>
      <c r="B478" s="6"/>
      <c r="C478" s="9" t="str">
        <f>IFERROR(VLOOKUP(VENTAS4[[#This Row],[Code]],STOCK[],5,FALSE),"-")</f>
        <v> Top Básico Business </v>
      </c>
    </row>
    <row r="479" s="2" customFormat="1" ht="55" customHeight="1" spans="1:3">
      <c r="A479" s="5" t="s">
        <v>993</v>
      </c>
      <c r="B479" s="6"/>
      <c r="C479" s="9" t="str">
        <f>IFERROR(VLOOKUP(VENTAS4[[#This Row],[Code]],STOCK[],5,FALSE),"-")</f>
        <v>Vestido Girasol</v>
      </c>
    </row>
    <row r="480" s="2" customFormat="1" ht="55" customHeight="1" spans="1:3">
      <c r="A480" s="5" t="s">
        <v>996</v>
      </c>
      <c r="B480" s="6"/>
      <c r="C480" s="9" t="str">
        <f>IFERROR(VLOOKUP(VENTAS4[[#This Row],[Code]],STOCK[],5,FALSE),"-")</f>
        <v>Top Acanalado</v>
      </c>
    </row>
    <row r="481" s="2" customFormat="1" ht="55" customHeight="1" spans="1:3">
      <c r="A481" s="5" t="s">
        <v>998</v>
      </c>
      <c r="B481" s="6"/>
      <c r="C481" s="9" t="str">
        <f>IFERROR(VLOOKUP(VENTAS4[[#This Row],[Code]],STOCK[],5,FALSE),"-")</f>
        <v>Top Acanalado</v>
      </c>
    </row>
    <row r="482" s="2" customFormat="1" ht="55" customHeight="1" spans="1:3">
      <c r="A482" s="5" t="s">
        <v>999</v>
      </c>
      <c r="B482" s="6"/>
      <c r="C482" s="9" t="str">
        <f>IFERROR(VLOOKUP(VENTAS4[[#This Row],[Code]],STOCK[],5,FALSE),"-")</f>
        <v>Top cisne acanalado</v>
      </c>
    </row>
    <row r="483" s="2" customFormat="1" ht="55" customHeight="1" spans="1:3">
      <c r="A483" s="5" t="s">
        <v>1001</v>
      </c>
      <c r="B483" s="6"/>
      <c r="C483" s="9" t="str">
        <f>IFERROR(VLOOKUP(VENTAS4[[#This Row],[Code]],STOCK[],5,FALSE),"-")</f>
        <v>Vestido frenchy de puntos</v>
      </c>
    </row>
    <row r="484" s="2" customFormat="1" ht="55" customHeight="1" spans="1:3">
      <c r="A484" s="5" t="s">
        <v>1003</v>
      </c>
      <c r="B484" s="6"/>
      <c r="C484" s="9" t="str">
        <f>IFERROR(VLOOKUP(VENTAS4[[#This Row],[Code]],STOCK[],5,FALSE),"-")</f>
        <v>Vestido frenchy de puntos</v>
      </c>
    </row>
    <row r="485" s="2" customFormat="1" ht="55" customHeight="1" spans="1:3">
      <c r="A485" s="5" t="s">
        <v>1005</v>
      </c>
      <c r="B485" s="6"/>
      <c r="C485" s="9" t="str">
        <f>IFERROR(VLOOKUP(VENTAS4[[#This Row],[Code]],STOCK[],5,FALSE),"-")</f>
        <v>Bañador una pieza con estampado de planta cremallera</v>
      </c>
    </row>
    <row r="486" s="2" customFormat="1" ht="55" customHeight="1" spans="1:3">
      <c r="A486" s="5" t="s">
        <v>1007</v>
      </c>
      <c r="B486" s="6"/>
      <c r="C486" s="9" t="str">
        <f>IFERROR(VLOOKUP(VENTAS4[[#This Row],[Code]],STOCK[],5,FALSE),"-")</f>
        <v>Maxi Vestido con Bolsillo</v>
      </c>
    </row>
    <row r="487" s="2" customFormat="1" ht="55" customHeight="1" spans="1:3">
      <c r="A487" s="5" t="s">
        <v>1010</v>
      </c>
      <c r="B487" s="6"/>
      <c r="C487" s="9" t="str">
        <f>IFERROR(VLOOKUP(VENTAS4[[#This Row],[Code]],STOCK[],5,FALSE),"-")</f>
        <v>Maxi Vestido con Bolsillo</v>
      </c>
    </row>
    <row r="488" s="2" customFormat="1" ht="55" customHeight="1" spans="1:3">
      <c r="A488" s="5" t="s">
        <v>1011</v>
      </c>
      <c r="B488" s="6"/>
      <c r="C488" s="9" t="str">
        <f>IFERROR(VLOOKUP(VENTAS4[[#This Row],[Code]],STOCK[],5,FALSE),"-")</f>
        <v>Maxi Vestido con Bolsillo</v>
      </c>
    </row>
    <row r="489" s="2" customFormat="1" ht="55" customHeight="1" spans="1:3">
      <c r="A489" s="5" t="s">
        <v>1013</v>
      </c>
      <c r="B489" s="6"/>
      <c r="C489" s="9" t="str">
        <f>IFERROR(VLOOKUP(VENTAS4[[#This Row],[Code]],STOCK[],5,FALSE),"-")</f>
        <v>Set de sujetador con tira ajustable 2 paquetes</v>
      </c>
    </row>
    <row r="490" s="2" customFormat="1" ht="55" customHeight="1" spans="1:3">
      <c r="A490" s="5" t="s">
        <v>1015</v>
      </c>
      <c r="B490" s="6"/>
      <c r="C490" s="9" t="str">
        <f>IFERROR(VLOOKUP(VENTAS4[[#This Row],[Code]],STOCK[],5,FALSE),"-")</f>
        <v>Top Dreamer Negro</v>
      </c>
    </row>
    <row r="491" s="2" customFormat="1" ht="55" customHeight="1" spans="1:3">
      <c r="A491" s="5" t="s">
        <v>1017</v>
      </c>
      <c r="B491" s="6"/>
      <c r="C491" s="9" t="str">
        <f>IFERROR(VLOOKUP(VENTAS4[[#This Row],[Code]],STOCK[],5,FALSE),"-")</f>
        <v>Top Dreamer Negro</v>
      </c>
    </row>
    <row r="492" s="2" customFormat="1" ht="55" customHeight="1" spans="1:3">
      <c r="A492" s="5" t="s">
        <v>1018</v>
      </c>
      <c r="B492" s="6"/>
      <c r="C492" s="9" t="str">
        <f>IFERROR(VLOOKUP(VENTAS4[[#This Row],[Code]],STOCK[],5,FALSE),"-")</f>
        <v>Top Dreamer Negro</v>
      </c>
    </row>
    <row r="493" s="2" customFormat="1" ht="55" customHeight="1" spans="1:3">
      <c r="A493" s="5" t="s">
        <v>1019</v>
      </c>
      <c r="B493" s="6"/>
      <c r="C493" s="9" t="str">
        <f>IFERROR(VLOOKUP(VENTAS4[[#This Row],[Code]],STOCK[],5,FALSE),"-")</f>
        <v>Falda margarita de corte A</v>
      </c>
    </row>
    <row r="494" s="2" customFormat="1" ht="55" customHeight="1" spans="1:3">
      <c r="A494" s="5" t="s">
        <v>1021</v>
      </c>
      <c r="B494" s="6"/>
      <c r="C494" s="9" t="str">
        <f>IFERROR(VLOOKUP(VENTAS4[[#This Row],[Code]],STOCK[],5,FALSE),"-")</f>
        <v>Falda Margarita</v>
      </c>
    </row>
    <row r="495" s="2" customFormat="1" ht="55" customHeight="1" spans="1:3">
      <c r="A495" s="5" t="s">
        <v>1023</v>
      </c>
      <c r="B495" s="6"/>
      <c r="C495" s="9" t="str">
        <f>IFERROR(VLOOKUP(VENTAS4[[#This Row],[Code]],STOCK[],5,FALSE),"-")</f>
        <v>Falda Margarita</v>
      </c>
    </row>
    <row r="496" s="2" customFormat="1" ht="55" customHeight="1" spans="1:3">
      <c r="A496" s="5" t="s">
        <v>1024</v>
      </c>
      <c r="B496" s="6"/>
      <c r="C496" s="9" t="str">
        <f>IFERROR(VLOOKUP(VENTAS4[[#This Row],[Code]],STOCK[],5,FALSE),"-")</f>
        <v>Top Dreamer Blanco</v>
      </c>
    </row>
    <row r="497" s="2" customFormat="1" ht="55" customHeight="1" spans="1:3">
      <c r="A497" s="5" t="s">
        <v>1026</v>
      </c>
      <c r="B497" s="6"/>
      <c r="C497" s="9" t="str">
        <f>IFERROR(VLOOKUP(VENTAS4[[#This Row],[Code]],STOCK[],5,FALSE),"-")</f>
        <v>Top Dreamer Blanco</v>
      </c>
    </row>
    <row r="498" s="2" customFormat="1" ht="55" customHeight="1" spans="1:3">
      <c r="A498" s="5" t="s">
        <v>1027</v>
      </c>
      <c r="B498" s="6"/>
      <c r="C498" s="9" t="str">
        <f>IFERROR(VLOOKUP(VENTAS4[[#This Row],[Code]],STOCK[],5,FALSE),"-")</f>
        <v>Top Dreamer Blanco</v>
      </c>
    </row>
    <row r="499" s="2" customFormat="1" ht="55" customHeight="1" spans="1:3">
      <c r="A499" s="5" t="s">
        <v>1028</v>
      </c>
      <c r="B499" s="6"/>
      <c r="C499" s="9" t="str">
        <f>IFERROR(VLOOKUP(VENTAS4[[#This Row],[Code]],STOCK[],5,FALSE),"-")</f>
        <v>Top cuello V Blanco</v>
      </c>
    </row>
    <row r="500" s="2" customFormat="1" ht="55" customHeight="1" spans="1:3">
      <c r="A500" s="5" t="s">
        <v>1030</v>
      </c>
      <c r="B500" s="6"/>
      <c r="C500" s="9" t="str">
        <f>IFERROR(VLOOKUP(VENTAS4[[#This Row],[Code]],STOCK[],5,FALSE),"-")</f>
        <v>Sujetador Básico</v>
      </c>
    </row>
    <row r="501" s="2" customFormat="1" ht="55" customHeight="1" spans="1:3">
      <c r="A501" s="5" t="s">
        <v>1032</v>
      </c>
      <c r="B501" s="6"/>
      <c r="C501" s="9" t="str">
        <f>IFERROR(VLOOKUP(VENTAS4[[#This Row],[Code]],STOCK[],5,FALSE),"-")</f>
        <v>Jenas Ajustados Oscuro</v>
      </c>
    </row>
    <row r="502" s="2" customFormat="1" ht="55" customHeight="1" spans="1:3">
      <c r="A502" s="5" t="s">
        <v>1034</v>
      </c>
      <c r="B502" s="6"/>
      <c r="C502" s="9" t="str">
        <f>IFERROR(VLOOKUP(VENTAS4[[#This Row],[Code]],STOCK[],5,FALSE),"-")</f>
        <v>Jenas Ajustados Oscuro</v>
      </c>
    </row>
    <row r="503" s="2" customFormat="1" ht="55" customHeight="1" spans="1:3">
      <c r="A503" s="5" t="s">
        <v>1035</v>
      </c>
      <c r="B503" s="6"/>
      <c r="C503" s="9" t="str">
        <f>IFERROR(VLOOKUP(VENTAS4[[#This Row],[Code]],STOCK[],5,FALSE),"-")</f>
        <v>Falda Fruncida </v>
      </c>
    </row>
    <row r="504" s="2" customFormat="1" ht="55" customHeight="1" spans="1:3">
      <c r="A504" s="5" t="s">
        <v>1037</v>
      </c>
      <c r="B504" s="6"/>
      <c r="C504" s="9" t="str">
        <f>IFERROR(VLOOKUP(VENTAS4[[#This Row],[Code]],STOCK[],5,FALSE),"-")</f>
        <v>Falda plisada</v>
      </c>
    </row>
    <row r="505" s="2" customFormat="1" ht="55" customHeight="1" spans="1:3">
      <c r="A505" s="5" t="s">
        <v>1039</v>
      </c>
      <c r="B505" s="6"/>
      <c r="C505" s="9" t="str">
        <f>IFERROR(VLOOKUP(VENTAS4[[#This Row],[Code]],STOCK[],5,FALSE),"-")</f>
        <v>Jeans Elastizados Pierna Ancha</v>
      </c>
    </row>
    <row r="506" s="2" customFormat="1" ht="55" customHeight="1" spans="1:3">
      <c r="A506" s="5" t="s">
        <v>1041</v>
      </c>
      <c r="B506" s="6"/>
      <c r="C506" s="9" t="str">
        <f>IFERROR(VLOOKUP(VENTAS4[[#This Row],[Code]],STOCK[],5,FALSE),"-")</f>
        <v>Jeans Elastizados Pierna Ancha</v>
      </c>
    </row>
    <row r="507" s="2" customFormat="1" ht="55" customHeight="1" spans="1:3">
      <c r="A507" s="5" t="s">
        <v>1042</v>
      </c>
      <c r="B507" s="6"/>
      <c r="C507" s="9" t="str">
        <f>IFERROR(VLOOKUP(VENTAS4[[#This Row],[Code]],STOCK[],5,FALSE),"-")</f>
        <v>Jeans Elastizados Pierna Ancha</v>
      </c>
    </row>
    <row r="508" s="2" customFormat="1" ht="55" customHeight="1" spans="1:3">
      <c r="A508" s="5" t="s">
        <v>1043</v>
      </c>
      <c r="B508" s="6"/>
      <c r="C508" s="2" t="str">
        <f>IFERROR(VLOOKUP(VENTAS4[[#This Row],[Code]],STOCK[],5,FALSE),"-")</f>
        <v>Jeans Ajustados Claro</v>
      </c>
    </row>
    <row r="509" s="2" customFormat="1" ht="55" customHeight="1" spans="1:3">
      <c r="A509" s="5" t="s">
        <v>1046</v>
      </c>
      <c r="B509" s="6"/>
      <c r="C509" s="9" t="str">
        <f>IFERROR(VLOOKUP(VENTAS4[[#This Row],[Code]],STOCK[],5,FALSE),"-")</f>
        <v>Jeans Ajustados Claro</v>
      </c>
    </row>
    <row r="510" s="2" customFormat="1" ht="55" customHeight="1" spans="1:3">
      <c r="A510" s="5" t="s">
        <v>1047</v>
      </c>
      <c r="B510" s="6"/>
      <c r="C510" s="9" t="str">
        <f>IFERROR(VLOOKUP(VENTAS4[[#This Row],[Code]],STOCK[],5,FALSE),"-")</f>
        <v>Pantaloneta Camel</v>
      </c>
    </row>
    <row r="511" s="2" customFormat="1" ht="55" customHeight="1" spans="1:3">
      <c r="A511" s="5" t="s">
        <v>1049</v>
      </c>
      <c r="B511" s="6"/>
      <c r="C511" s="9" t="str">
        <f>IFERROR(VLOOKUP(VENTAS4[[#This Row],[Code]],STOCK[],5,FALSE),"-")</f>
        <v>Pantaloneta Camel</v>
      </c>
    </row>
    <row r="512" s="2" customFormat="1" ht="55" customHeight="1" spans="1:3">
      <c r="A512" s="5" t="s">
        <v>1050</v>
      </c>
      <c r="B512" s="6"/>
      <c r="C512" s="9" t="str">
        <f>IFERROR(VLOOKUP(VENTAS4[[#This Row],[Code]],STOCK[],5,FALSE),"-")</f>
        <v>Pantaloneta Camel</v>
      </c>
    </row>
    <row r="513" s="2" customFormat="1" ht="55" customHeight="1" spans="1:3">
      <c r="A513" s="5" t="s">
        <v>1051</v>
      </c>
      <c r="B513" s="6"/>
      <c r="C513" s="9" t="str">
        <f>IFERROR(VLOOKUP(VENTAS4[[#This Row],[Code]],STOCK[],5,FALSE),"-")</f>
        <v>Vestido en punto Rosa</v>
      </c>
    </row>
    <row r="514" s="2" customFormat="1" ht="55" customHeight="1" spans="1:3">
      <c r="A514" s="5" t="s">
        <v>1053</v>
      </c>
      <c r="B514" s="6"/>
      <c r="C514" s="9" t="str">
        <f>IFERROR(VLOOKUP(VENTAS4[[#This Row],[Code]],STOCK[],5,FALSE),"-")</f>
        <v>Vestido en punto Rosa</v>
      </c>
    </row>
    <row r="515" s="2" customFormat="1" ht="55" customHeight="1" spans="1:3">
      <c r="A515" s="5" t="s">
        <v>1054</v>
      </c>
      <c r="B515" s="6"/>
      <c r="C515" s="9" t="str">
        <f>IFERROR(VLOOKUP(VENTAS4[[#This Row],[Code]],STOCK[],5,FALSE),"-")</f>
        <v>Vestido en punto Rosa</v>
      </c>
    </row>
    <row r="516" s="2" customFormat="1" ht="55" customHeight="1" spans="1:3">
      <c r="A516" s="5" t="s">
        <v>1056</v>
      </c>
      <c r="B516" s="6"/>
      <c r="C516" s="9" t="str">
        <f>IFERROR(VLOOKUP(VENTAS4[[#This Row],[Code]],STOCK[],5,FALSE),"-")</f>
        <v>Falda plisada con cadena</v>
      </c>
    </row>
    <row r="517" s="2" customFormat="1" ht="55" customHeight="1" spans="1:3">
      <c r="A517" s="5" t="s">
        <v>1058</v>
      </c>
      <c r="B517" s="6"/>
      <c r="C517" s="9" t="str">
        <f>IFERROR(VLOOKUP(VENTAS4[[#This Row],[Code]],STOCK[],5,FALSE),"-")</f>
        <v>Top de cuadros</v>
      </c>
    </row>
    <row r="518" s="2" customFormat="1" ht="55" customHeight="1" spans="1:3">
      <c r="A518" s="5"/>
      <c r="B518" s="6"/>
      <c r="C518" s="9" t="str">
        <f>IFERROR(VLOOKUP(VENTAS4[[#This Row],[Code]],STOCK[],5,FALSE),"-")</f>
        <v>-</v>
      </c>
    </row>
    <row r="519" s="2" customFormat="1" ht="55" customHeight="1" spans="1:3">
      <c r="A519" s="5" t="s">
        <v>1060</v>
      </c>
      <c r="B519" s="6"/>
      <c r="C519" s="9" t="str">
        <f>IFERROR(VLOOKUP(VENTAS4[[#This Row],[Code]],STOCK[],5,FALSE),"-")</f>
        <v>Top corto blanco</v>
      </c>
    </row>
    <row r="520" s="2" customFormat="1" ht="55" customHeight="1" spans="1:3">
      <c r="A520" s="5" t="s">
        <v>1062</v>
      </c>
      <c r="B520" s="6"/>
      <c r="C520" s="9" t="str">
        <f>IFERROR(VLOOKUP(VENTAS4[[#This Row],[Code]],STOCK[],5,FALSE),"-")</f>
        <v>Top cami carrera</v>
      </c>
    </row>
    <row r="521" s="2" customFormat="1" ht="55" customHeight="1" spans="1:3">
      <c r="A521" s="5" t="s">
        <v>1064</v>
      </c>
      <c r="B521" s="6"/>
      <c r="C521" s="9" t="str">
        <f>IFERROR(VLOOKUP(VENTAS4[[#This Row],[Code]],STOCK[],5,FALSE),"-")</f>
        <v>Pantalones ajustados con cadena</v>
      </c>
    </row>
    <row r="522" s="2" customFormat="1" ht="55" customHeight="1" spans="1:3">
      <c r="A522" s="5" t="s">
        <v>1066</v>
      </c>
      <c r="B522" s="6"/>
      <c r="C522" s="9" t="str">
        <f>IFERROR(VLOOKUP(VENTAS4[[#This Row],[Code]],STOCK[],5,FALSE),"-")</f>
        <v>Pantalones ajustados con cadena</v>
      </c>
    </row>
    <row r="523" s="2" customFormat="1" ht="55" customHeight="1" spans="1:3">
      <c r="A523" s="5" t="s">
        <v>1067</v>
      </c>
      <c r="B523" s="6"/>
      <c r="C523" s="9" t="str">
        <f>IFERROR(VLOOKUP(VENTAS4[[#This Row],[Code]],STOCK[],5,FALSE),"-")</f>
        <v>Blusa camisa colores</v>
      </c>
    </row>
    <row r="524" s="2" customFormat="1" ht="55" customHeight="1" spans="1:3">
      <c r="A524" s="5" t="s">
        <v>1069</v>
      </c>
      <c r="B524" s="6"/>
      <c r="C524" s="9" t="str">
        <f>IFERROR(VLOOKUP(VENTAS4[[#This Row],[Code]],STOCK[],5,FALSE),"-")</f>
        <v>Blusa camisa colores</v>
      </c>
    </row>
    <row r="525" s="2" customFormat="1" ht="55" customHeight="1" spans="1:3">
      <c r="A525" s="5" t="s">
        <v>1070</v>
      </c>
      <c r="B525" s="6"/>
      <c r="C525" s="9" t="str">
        <f>IFERROR(VLOOKUP(VENTAS4[[#This Row],[Code]],STOCK[],5,FALSE),"-")</f>
        <v>Trusa Leopardo</v>
      </c>
    </row>
    <row r="526" s="2" customFormat="1" ht="55" customHeight="1" spans="1:3">
      <c r="A526" s="5" t="s">
        <v>1072</v>
      </c>
      <c r="B526" s="6"/>
      <c r="C526" s="9" t="str">
        <f>IFERROR(VLOOKUP(VENTAS4[[#This Row],[Code]],STOCK[],5,FALSE),"-")</f>
        <v>Malla paredo set 2 piezas</v>
      </c>
    </row>
    <row r="527" s="2" customFormat="1" ht="55" customHeight="1" spans="1:3">
      <c r="A527" s="5" t="s">
        <v>1075</v>
      </c>
      <c r="B527" s="6"/>
      <c r="C527" s="9" t="str">
        <f>IFERROR(VLOOKUP(VENTAS4[[#This Row],[Code]],STOCK[],5,FALSE),"-")</f>
        <v>Traje de baño niña</v>
      </c>
    </row>
    <row r="528" s="2" customFormat="1" ht="55" customHeight="1" spans="1:3">
      <c r="A528" s="5" t="s">
        <v>1078</v>
      </c>
      <c r="B528" s="6"/>
      <c r="C528" s="9" t="str">
        <f>IFERROR(VLOOKUP(VENTAS4[[#This Row],[Code]],STOCK[],5,FALSE),"-")</f>
        <v>Vestido floreado a un hombro</v>
      </c>
    </row>
    <row r="529" s="2" customFormat="1" ht="55" customHeight="1" spans="1:3">
      <c r="A529" s="5" t="s">
        <v>1080</v>
      </c>
      <c r="B529" s="6"/>
      <c r="C529" s="9" t="str">
        <f>IFERROR(VLOOKUP(VENTAS4[[#This Row],[Code]],STOCK[],5,FALSE),"-")</f>
        <v>Vestido floreado a un hombro</v>
      </c>
    </row>
    <row r="530" s="2" customFormat="1" ht="55" customHeight="1" spans="1:3">
      <c r="A530" s="5" t="s">
        <v>1081</v>
      </c>
      <c r="B530" s="6"/>
      <c r="C530" s="9" t="str">
        <f>IFERROR(VLOOKUP(VENTAS4[[#This Row],[Code]],STOCK[],5,FALSE),"-")</f>
        <v>Vestido elegante ajustado corte sirena</v>
      </c>
    </row>
    <row r="531" s="2" customFormat="1" ht="55" customHeight="1" spans="1:3">
      <c r="A531" s="5" t="s">
        <v>1083</v>
      </c>
      <c r="B531" s="6"/>
      <c r="C531" s="9" t="str">
        <f>IFERROR(VLOOKUP(VENTAS4[[#This Row],[Code]],STOCK[],5,FALSE),"-")</f>
        <v>Camisero blanco con pinzas</v>
      </c>
    </row>
    <row r="532" s="2" customFormat="1" ht="55" customHeight="1" spans="1:3">
      <c r="A532" s="5" t="s">
        <v>1086</v>
      </c>
      <c r="B532" s="6"/>
      <c r="C532" s="9" t="str">
        <f>IFERROR(VLOOKUP(VENTAS4[[#This Row],[Code]],STOCK[],5,FALSE),"-")</f>
        <v>Cobertor de traje de baño</v>
      </c>
    </row>
    <row r="533" s="2" customFormat="1" ht="55" customHeight="1" spans="1:3">
      <c r="A533" s="5" t="s">
        <v>1088</v>
      </c>
      <c r="B533" s="6"/>
      <c r="C533" s="9" t="str">
        <f>IFERROR(VLOOKUP(VENTAS4[[#This Row],[Code]],STOCK[],5,FALSE),"-")</f>
        <v>Malla fina Pareo</v>
      </c>
    </row>
    <row r="534" s="2" customFormat="1" ht="55" customHeight="1" spans="1:3">
      <c r="A534" s="5" t="s">
        <v>1090</v>
      </c>
      <c r="B534" s="6"/>
      <c r="C534" s="9" t="str">
        <f>IFERROR(VLOOKUP(VENTAS4[[#This Row],[Code]],STOCK[],5,FALSE),"-")</f>
        <v>Bikini Short con cordón de ajuste</v>
      </c>
    </row>
    <row r="535" s="2" customFormat="1" ht="55" customHeight="1" spans="1:3">
      <c r="A535" s="5" t="s">
        <v>1092</v>
      </c>
      <c r="B535" s="6"/>
      <c r="C535" s="9" t="str">
        <f>IFERROR(VLOOKUP(VENTAS4[[#This Row],[Code]],STOCK[],5,FALSE),"-")</f>
        <v>Bikini Short con cordón de ajuste</v>
      </c>
    </row>
    <row r="536" s="2" customFormat="1" ht="55" customHeight="1" spans="1:3">
      <c r="A536" s="5" t="s">
        <v>1093</v>
      </c>
      <c r="B536" s="6"/>
      <c r="C536" s="9" t="str">
        <f>IFERROR(VLOOKUP(VENTAS4[[#This Row],[Code]],STOCK[],5,FALSE),"-")</f>
        <v>Jean con roto sencillo</v>
      </c>
    </row>
    <row r="537" s="2" customFormat="1" ht="55" customHeight="1" spans="1:3">
      <c r="A537" s="5" t="s">
        <v>1095</v>
      </c>
      <c r="B537" s="6"/>
      <c r="C537" s="9" t="str">
        <f>IFERROR(VLOOKUP(VENTAS4[[#This Row],[Code]],STOCK[],5,FALSE),"-")</f>
        <v>Bañador en contraste azul</v>
      </c>
    </row>
    <row r="538" s="2" customFormat="1" ht="55" customHeight="1" spans="1:3">
      <c r="A538" s="5" t="s">
        <v>1097</v>
      </c>
      <c r="B538" s="6"/>
      <c r="C538" s="9" t="str">
        <f>IFERROR(VLOOKUP(VENTAS4[[#This Row],[Code]],STOCK[],5,FALSE),"-")</f>
        <v>Bañador en contraste azul</v>
      </c>
    </row>
    <row r="539" s="2" customFormat="1" ht="55" customHeight="1" spans="1:3">
      <c r="A539" s="5" t="s">
        <v>1098</v>
      </c>
      <c r="B539" s="6"/>
      <c r="C539" s="9" t="str">
        <f>IFERROR(VLOOKUP(VENTAS4[[#This Row],[Code]],STOCK[],5,FALSE),"-")</f>
        <v>Sandalias crema</v>
      </c>
    </row>
    <row r="540" s="2" customFormat="1" ht="55" customHeight="1" spans="1:3">
      <c r="A540" s="5"/>
      <c r="B540" s="10"/>
      <c r="C540" s="9" t="str">
        <f>IFERROR(VLOOKUP(VENTAS4[[#This Row],[Code]],STOCK[],5,FALSE),"-")</f>
        <v>-</v>
      </c>
    </row>
    <row r="541" s="2" customFormat="1" ht="55" customHeight="1" spans="1:3">
      <c r="A541" s="5" t="s">
        <v>1100</v>
      </c>
      <c r="B541" s="6"/>
      <c r="C541" s="9" t="str">
        <f>IFERROR(VLOOKUP(VENTAS4[[#This Row],[Code]],STOCK[],5,FALSE),"-")</f>
        <v>Sandalias crema</v>
      </c>
    </row>
    <row r="542" s="2" customFormat="1" ht="55" customHeight="1" spans="1:3">
      <c r="A542" s="5" t="s">
        <v>1101</v>
      </c>
      <c r="B542" s="6"/>
      <c r="C542" s="9" t="str">
        <f>IFERROR(VLOOKUP(VENTAS4[[#This Row],[Code]],STOCK[],5,FALSE),"-")</f>
        <v>Sandalias crema</v>
      </c>
    </row>
    <row r="543" s="2" customFormat="1" ht="55" customHeight="1" spans="1:3">
      <c r="A543" s="5" t="s">
        <v>1102</v>
      </c>
      <c r="B543" s="6"/>
      <c r="C543" s="9" t="str">
        <f>IFERROR(VLOOKUP(VENTAS4[[#This Row],[Code]],STOCK[],5,FALSE),"-")</f>
        <v>Mono Oblicuo con bolsillo</v>
      </c>
    </row>
    <row r="544" s="2" customFormat="1" ht="55" customHeight="1" spans="1:3">
      <c r="A544" s="5" t="s">
        <v>1104</v>
      </c>
      <c r="B544" s="6"/>
      <c r="C544" s="9" t="str">
        <f>IFERROR(VLOOKUP(VENTAS4[[#This Row],[Code]],STOCK[],5,FALSE),"-")</f>
        <v>Mono Oblicuo con bolsillo</v>
      </c>
    </row>
    <row r="545" s="2" customFormat="1" ht="55" customHeight="1" spans="1:3">
      <c r="A545" s="5" t="s">
        <v>1105</v>
      </c>
      <c r="B545" s="6"/>
      <c r="C545" s="9" t="str">
        <f>IFERROR(VLOOKUP(VENTAS4[[#This Row],[Code]],STOCK[],5,FALSE),"-")</f>
        <v>Jumpsuit Palazzo Oliva</v>
      </c>
    </row>
    <row r="546" s="2" customFormat="1" ht="55" customHeight="1" spans="1:3">
      <c r="A546" s="5" t="s">
        <v>1108</v>
      </c>
      <c r="B546" s="6"/>
      <c r="C546" s="9" t="str">
        <f>IFERROR(VLOOKUP(VENTAS4[[#This Row],[Code]],STOCK[],5,FALSE),"-")</f>
        <v>Jumpsuit culotte</v>
      </c>
    </row>
    <row r="547" s="2" customFormat="1" ht="55" customHeight="1" spans="1:3">
      <c r="A547" s="5" t="s">
        <v>1110</v>
      </c>
      <c r="B547" s="6"/>
      <c r="C547" s="9" t="str">
        <f>IFERROR(VLOOKUP(VENTAS4[[#This Row],[Code]],STOCK[],5,FALSE),"-")</f>
        <v>Jumpsuit culotte</v>
      </c>
    </row>
    <row r="548" s="2" customFormat="1" ht="55" customHeight="1" spans="1:3">
      <c r="A548" s="5" t="s">
        <v>1111</v>
      </c>
      <c r="B548" s="6"/>
      <c r="C548" s="9" t="str">
        <f>IFERROR(VLOOKUP(VENTAS4[[#This Row],[Code]],STOCK[],5,FALSE),"-")</f>
        <v>Bolso de mimbre</v>
      </c>
    </row>
    <row r="549" s="2" customFormat="1" ht="55" customHeight="1" spans="1:3">
      <c r="A549" s="5" t="s">
        <v>1113</v>
      </c>
      <c r="B549" s="6"/>
      <c r="C549" s="9" t="str">
        <f>IFERROR(VLOOKUP(VENTAS4[[#This Row],[Code]],STOCK[],5,FALSE),"-")</f>
        <v>Set de lencería </v>
      </c>
    </row>
    <row r="550" s="2" customFormat="1" ht="55" customHeight="1" spans="1:3">
      <c r="A550" s="5" t="s">
        <v>1116</v>
      </c>
      <c r="B550" s="6"/>
      <c r="C550" s="9" t="str">
        <f>IFERROR(VLOOKUP(VENTAS4[[#This Row],[Code]],STOCK[],5,FALSE),"-")</f>
        <v>Set de lencería sexy y  cómodo</v>
      </c>
    </row>
    <row r="551" s="2" customFormat="1" ht="55" customHeight="1" spans="1:3">
      <c r="A551" s="5" t="s">
        <v>1118</v>
      </c>
      <c r="B551" s="6"/>
      <c r="C551" s="9" t="str">
        <f>IFERROR(VLOOKUP(VENTAS4[[#This Row],[Code]],STOCK[],5,FALSE),"-")</f>
        <v>Set de lencería sexy y  cómodo</v>
      </c>
    </row>
    <row r="552" s="2" customFormat="1" ht="55" customHeight="1" spans="1:3">
      <c r="A552" s="5" t="s">
        <v>1119</v>
      </c>
      <c r="B552" s="6"/>
      <c r="C552" s="9" t="str">
        <f>IFERROR(VLOOKUP(VENTAS4[[#This Row],[Code]],STOCK[],5,FALSE),"-")</f>
        <v>Set de lencería de encaje</v>
      </c>
    </row>
    <row r="553" s="2" customFormat="1" ht="55" customHeight="1" spans="1:3">
      <c r="A553" s="5" t="s">
        <v>1121</v>
      </c>
      <c r="B553" s="6"/>
      <c r="C553" s="9" t="str">
        <f>IFERROR(VLOOKUP(VENTAS4[[#This Row],[Code]],STOCK[],5,FALSE),"-")</f>
        <v>Set de lencería de encaje</v>
      </c>
    </row>
    <row r="554" s="2" customFormat="1" ht="55" customHeight="1" spans="1:3">
      <c r="A554" s="5" t="s">
        <v>1122</v>
      </c>
      <c r="B554" s="6"/>
      <c r="C554" s="9" t="str">
        <f>IFERROR(VLOOKUP(VENTAS4[[#This Row],[Code]],STOCK[],5,FALSE),"-")</f>
        <v>Sandalias de tacón con tiras </v>
      </c>
    </row>
    <row r="555" s="2" customFormat="1" ht="55" customHeight="1" spans="1:3">
      <c r="A555" s="5" t="s">
        <v>1124</v>
      </c>
      <c r="B555" s="6"/>
      <c r="C555" s="9" t="str">
        <f>IFERROR(VLOOKUP(VENTAS4[[#This Row],[Code]],STOCK[],5,FALSE),"-")</f>
        <v>Blusa elegante de cuello negro</v>
      </c>
    </row>
    <row r="556" s="2" customFormat="1" ht="55" customHeight="1" spans="1:3">
      <c r="A556" s="5" t="s">
        <v>1126</v>
      </c>
      <c r="B556" s="6"/>
      <c r="C556" s="9" t="str">
        <f>IFERROR(VLOOKUP(VENTAS4[[#This Row],[Code]],STOCK[],5,FALSE),"-")</f>
        <v>Blusa elegante de cuello blanco</v>
      </c>
    </row>
    <row r="557" s="2" customFormat="1" ht="55" customHeight="1" spans="1:3">
      <c r="A557" s="5" t="s">
        <v>1128</v>
      </c>
      <c r="B557" s="6"/>
      <c r="C557" s="9" t="str">
        <f>IFERROR(VLOOKUP(VENTAS4[[#This Row],[Code]],STOCK[],5,FALSE),"-")</f>
        <v>Maxi vestido floreado con abertura</v>
      </c>
    </row>
    <row r="558" s="2" customFormat="1" ht="55" customHeight="1" spans="1:3">
      <c r="A558" s="5" t="s">
        <v>1130</v>
      </c>
      <c r="B558" s="6"/>
      <c r="C558" s="9" t="str">
        <f>IFERROR(VLOOKUP(VENTAS4[[#This Row],[Code]],STOCK[],5,FALSE),"-")</f>
        <v>Maxi Vestido espalda corrida</v>
      </c>
    </row>
    <row r="559" s="2" customFormat="1" ht="55" customHeight="1" spans="1:3">
      <c r="A559" s="5" t="s">
        <v>1132</v>
      </c>
      <c r="B559" s="6"/>
      <c r="C559" s="9" t="str">
        <f>IFERROR(VLOOKUP(VENTAS4[[#This Row],[Code]],STOCK[],5,FALSE),"-")</f>
        <v>Bolso grande de playa</v>
      </c>
    </row>
    <row r="560" s="2" customFormat="1" ht="55" customHeight="1" spans="1:3">
      <c r="A560" s="5" t="s">
        <v>1134</v>
      </c>
      <c r="B560" s="6"/>
      <c r="C560" s="9" t="str">
        <f>IFERROR(VLOOKUP(VENTAS4[[#This Row],[Code]],STOCK[],5,FALSE),"-")</f>
        <v>Vestido ajustado Mora</v>
      </c>
    </row>
    <row r="561" s="2" customFormat="1" ht="55" customHeight="1" spans="1:3">
      <c r="A561" s="5" t="s">
        <v>1136</v>
      </c>
      <c r="B561" s="6"/>
      <c r="C561" s="9" t="str">
        <f>IFERROR(VLOOKUP(VENTAS4[[#This Row],[Code]],STOCK[],5,FALSE),"-")</f>
        <v>Vestido rojo con aberturas H&amp;M</v>
      </c>
    </row>
    <row r="562" s="2" customFormat="1" ht="55" customHeight="1" spans="1:3">
      <c r="A562" s="5" t="s">
        <v>1138</v>
      </c>
      <c r="B562" s="6"/>
      <c r="C562" s="9" t="str">
        <f>IFERROR(VLOOKUP(VENTAS4[[#This Row],[Code]],STOCK[],5,FALSE),"-")</f>
        <v>Babydoll</v>
      </c>
    </row>
    <row r="563" s="2" customFormat="1" ht="55" customHeight="1" spans="1:3">
      <c r="A563" s="5" t="s">
        <v>1140</v>
      </c>
      <c r="B563" s="6"/>
      <c r="C563" s="9" t="str">
        <f>IFERROR(VLOOKUP(VENTAS4[[#This Row],[Code]],STOCK[],5,FALSE),"-")</f>
        <v>Top traslúcido de encaje</v>
      </c>
    </row>
    <row r="564" s="2" customFormat="1" ht="55" customHeight="1" spans="1:3">
      <c r="A564" s="5" t="s">
        <v>1142</v>
      </c>
      <c r="B564" s="6"/>
      <c r="C564" s="9" t="str">
        <f>IFERROR(VLOOKUP(VENTAS4[[#This Row],[Code]],STOCK[],5,FALSE),"-")</f>
        <v>Short de playa </v>
      </c>
    </row>
    <row r="565" s="2" customFormat="1" ht="55" customHeight="1" spans="1:3">
      <c r="A565" s="5" t="s">
        <v>1144</v>
      </c>
      <c r="B565" s="6"/>
      <c r="C565" s="9" t="str">
        <f>IFERROR(VLOOKUP(VENTAS4[[#This Row],[Code]],STOCK[],5,FALSE),"-")</f>
        <v>Playera de animados</v>
      </c>
    </row>
    <row r="566" s="2" customFormat="1" ht="55" customHeight="1" spans="1:3">
      <c r="A566" s="5" t="s">
        <v>1146</v>
      </c>
      <c r="B566" s="6"/>
      <c r="C566" s="9" t="str">
        <f>IFERROR(VLOOKUP(VENTAS4[[#This Row],[Code]],STOCK[],5,FALSE),"-")</f>
        <v>Camisa MTV</v>
      </c>
    </row>
    <row r="567" s="2" customFormat="1" ht="55" customHeight="1" spans="1:3">
      <c r="A567" s="5" t="s">
        <v>1148</v>
      </c>
      <c r="B567" s="6"/>
      <c r="C567" s="9" t="str">
        <f>IFERROR(VLOOKUP(VENTAS4[[#This Row],[Code]],STOCK[],5,FALSE),"-")</f>
        <v>Sandalias de tacón grueso</v>
      </c>
    </row>
    <row r="568" s="2" customFormat="1" ht="55" customHeight="1" spans="1:3">
      <c r="A568" s="5" t="s">
        <v>1150</v>
      </c>
      <c r="B568" s="6"/>
      <c r="C568" s="9" t="str">
        <f>IFERROR(VLOOKUP(VENTAS4[[#This Row],[Code]],STOCK[],5,FALSE),"-")</f>
        <v>Sandalias de tiras de tacón cuadrado</v>
      </c>
    </row>
    <row r="569" s="2" customFormat="1" ht="55" customHeight="1" spans="1:3">
      <c r="A569" s="5" t="s">
        <v>1152</v>
      </c>
      <c r="B569" s="6"/>
      <c r="C569" s="9" t="str">
        <f>IFERROR(VLOOKUP(VENTAS4[[#This Row],[Code]],STOCK[],5,FALSE),"-")</f>
        <v>Top negro tipo cami</v>
      </c>
    </row>
    <row r="570" s="2" customFormat="1" ht="55" customHeight="1" spans="1:3">
      <c r="A570" s="5" t="s">
        <v>1155</v>
      </c>
      <c r="B570" s="6"/>
      <c r="C570" s="9" t="str">
        <f>IFERROR(VLOOKUP(VENTAS4[[#This Row],[Code]],STOCK[],5,FALSE),"-")</f>
        <v>Pullover negro cuello redondo</v>
      </c>
    </row>
    <row r="571" s="2" customFormat="1" ht="55" customHeight="1" spans="1:3">
      <c r="A571" s="5" t="s">
        <v>1158</v>
      </c>
      <c r="B571" s="6"/>
      <c r="C571" s="9" t="str">
        <f>IFERROR(VLOOKUP(VENTAS4[[#This Row],[Code]],STOCK[],5,FALSE),"-")</f>
        <v>Pullover negro cuello redondo</v>
      </c>
    </row>
    <row r="572" s="2" customFormat="1" ht="55" customHeight="1" spans="1:3">
      <c r="A572" s="5" t="s">
        <v>1159</v>
      </c>
      <c r="B572" s="6"/>
      <c r="C572" s="9" t="str">
        <f>IFERROR(VLOOKUP(VENTAS4[[#This Row],[Code]],STOCK[],5,FALSE),"-")</f>
        <v>Pezoneras de silicona</v>
      </c>
    </row>
    <row r="573" s="2" customFormat="1" ht="55" customHeight="1" spans="1:3">
      <c r="A573" s="5" t="s">
        <v>1161</v>
      </c>
      <c r="B573" s="6"/>
      <c r="C573" s="9" t="str">
        <f>IFERROR(VLOOKUP(VENTAS4[[#This Row],[Code]],STOCK[],5,FALSE),"-")</f>
        <v>Short de mezclilla oscura con doblez</v>
      </c>
    </row>
    <row r="574" s="2" customFormat="1" ht="55" customHeight="1" spans="1:3">
      <c r="A574" s="5" t="s">
        <v>1163</v>
      </c>
      <c r="B574" s="6"/>
      <c r="C574" s="9" t="str">
        <f>IFERROR(VLOOKUP(VENTAS4[[#This Row],[Code]],STOCK[],5,FALSE),"-")</f>
        <v>Short de mezclilla con doblez (no elastiza)</v>
      </c>
    </row>
    <row r="575" s="2" customFormat="1" ht="55" customHeight="1" spans="1:3">
      <c r="A575" s="5" t="s">
        <v>1165</v>
      </c>
      <c r="B575" s="6"/>
      <c r="C575" s="9" t="str">
        <f>IFERROR(VLOOKUP(VENTAS4[[#This Row],[Code]],STOCK[],5,FALSE),"-")</f>
        <v>Short de mezclilla clara (no elastiza)</v>
      </c>
    </row>
    <row r="576" s="2" customFormat="1" ht="55" customHeight="1" spans="1:3">
      <c r="A576" s="5" t="s">
        <v>1168</v>
      </c>
      <c r="B576" s="6"/>
      <c r="C576" s="9" t="str">
        <f>IFERROR(VLOOKUP(VENTAS4[[#This Row],[Code]],STOCK[],5,FALSE),"-")</f>
        <v>Pullover Dazy cuello redondo Blanco</v>
      </c>
    </row>
    <row r="577" s="2" customFormat="1" ht="55" customHeight="1" spans="1:3">
      <c r="A577" s="5" t="s">
        <v>1170</v>
      </c>
      <c r="B577" s="6"/>
      <c r="C577" s="9" t="str">
        <f>IFERROR(VLOOKUP(VENTAS4[[#This Row],[Code]],STOCK[],5,FALSE),"-")</f>
        <v>Pullover Dazy cuello redondo Blanco</v>
      </c>
    </row>
    <row r="578" s="2" customFormat="1" ht="55" customHeight="1" spans="1:3">
      <c r="A578" s="5" t="s">
        <v>1171</v>
      </c>
      <c r="B578" s="6"/>
      <c r="C578" s="9" t="str">
        <f>IFERROR(VLOOKUP(VENTAS4[[#This Row],[Code]],STOCK[],5,FALSE),"-")</f>
        <v>Vestido camisero con estampado y cinturón </v>
      </c>
    </row>
    <row r="579" s="2" customFormat="1" ht="55" customHeight="1" spans="1:3">
      <c r="A579" s="5" t="s">
        <v>1173</v>
      </c>
      <c r="B579" s="6"/>
      <c r="C579" s="9" t="str">
        <f>IFERROR(VLOOKUP(VENTAS4[[#This Row],[Code]],STOCK[],5,FALSE),"-")</f>
        <v>Vestido camisero con estampado y cinturón </v>
      </c>
    </row>
    <row r="580" s="2" customFormat="1" ht="55" customHeight="1" spans="1:3">
      <c r="A580" s="5" t="s">
        <v>1174</v>
      </c>
      <c r="B580" s="6"/>
      <c r="C580" s="9" t="str">
        <f>IFERROR(VLOOKUP(VENTAS4[[#This Row],[Code]],STOCK[],5,FALSE),"-")</f>
        <v>Vestido camisero con estampado y cinturón </v>
      </c>
    </row>
    <row r="581" s="2" customFormat="1" ht="55" customHeight="1" spans="1:3">
      <c r="A581" s="5" t="s">
        <v>1175</v>
      </c>
      <c r="B581" s="6"/>
      <c r="C581" s="9" t="str">
        <f>IFERROR(VLOOKUP(VENTAS4[[#This Row],[Code]],STOCK[],5,FALSE),"-")</f>
        <v>Vestido niña encargo KarlaGarage</v>
      </c>
    </row>
    <row r="582" s="2" customFormat="1" ht="55" customHeight="1" spans="1:3">
      <c r="A582" s="5" t="s">
        <v>1177</v>
      </c>
      <c r="B582" s="6"/>
      <c r="C582" s="9" t="str">
        <f>IFERROR(VLOOKUP(VENTAS4[[#This Row],[Code]],STOCK[],5,FALSE),"-")</f>
        <v>Vestido niña encargo KarlaGarage</v>
      </c>
    </row>
    <row r="583" s="2" customFormat="1" ht="55" customHeight="1" spans="1:3">
      <c r="A583" s="5" t="s">
        <v>1178</v>
      </c>
      <c r="B583" s="6"/>
      <c r="C583" s="9" t="str">
        <f>IFERROR(VLOOKUP(VENTAS4[[#This Row],[Code]],STOCK[],5,FALSE),"-")</f>
        <v>Vestido encaje amarillo KarlaGarage</v>
      </c>
    </row>
    <row r="584" s="2" customFormat="1" ht="55" customHeight="1" spans="1:3">
      <c r="A584" s="5" t="s">
        <v>1180</v>
      </c>
      <c r="B584" s="6"/>
      <c r="C584" s="9" t="str">
        <f>IFERROR(VLOOKUP(VENTAS4[[#This Row],[Code]],STOCK[],5,FALSE),"-")</f>
        <v>Short de mezclilla clara con doblez</v>
      </c>
    </row>
    <row r="585" s="2" customFormat="1" ht="55" customHeight="1" spans="1:3">
      <c r="A585" s="5" t="s">
        <v>1182</v>
      </c>
      <c r="B585" s="6"/>
      <c r="C585" s="9" t="str">
        <f>IFERROR(VLOOKUP(VENTAS4[[#This Row],[Code]],STOCK[],5,FALSE),"-")</f>
        <v>Short de mezclilla clara con doblez</v>
      </c>
    </row>
    <row r="586" s="2" customFormat="1" ht="55" customHeight="1" spans="1:3">
      <c r="A586" s="5" t="s">
        <v>1183</v>
      </c>
      <c r="B586" s="6"/>
      <c r="C586" s="9" t="str">
        <f>IFERROR(VLOOKUP(VENTAS4[[#This Row],[Code]],STOCK[],5,FALSE),"-")</f>
        <v>Vestido niña KarlaGarage</v>
      </c>
    </row>
    <row r="587" s="2" customFormat="1" ht="55" customHeight="1" spans="1:3">
      <c r="A587" s="5" t="s">
        <v>1185</v>
      </c>
      <c r="B587" s="6"/>
      <c r="C587" s="9" t="str">
        <f>IFERROR(VLOOKUP(VENTAS4[[#This Row],[Code]],STOCK[],5,FALSE),"-")</f>
        <v>Top healter en capas color beige</v>
      </c>
    </row>
    <row r="588" s="2" customFormat="1" ht="55" customHeight="1" spans="1:3">
      <c r="A588" s="5" t="s">
        <v>1187</v>
      </c>
      <c r="B588" s="6"/>
      <c r="C588" s="9" t="str">
        <f>IFERROR(VLOOKUP(VENTAS4[[#This Row],[Code]],STOCK[],5,FALSE),"-")</f>
        <v>Camisa negra con estampado floral </v>
      </c>
    </row>
    <row r="589" s="2" customFormat="1" ht="55" customHeight="1" spans="1:3">
      <c r="A589" s="5" t="s">
        <v>1190</v>
      </c>
      <c r="B589" s="6"/>
      <c r="C589" s="9" t="str">
        <f>IFERROR(VLOOKUP(VENTAS4[[#This Row],[Code]],STOCK[],5,FALSE),"-")</f>
        <v>Vestido ajustado con adorno de plumas</v>
      </c>
    </row>
    <row r="590" s="2" customFormat="1" ht="55" customHeight="1" spans="1:3">
      <c r="A590" s="5" t="s">
        <v>1192</v>
      </c>
      <c r="B590" s="6"/>
      <c r="C590" s="9" t="str">
        <f>IFERROR(VLOOKUP(VENTAS4[[#This Row],[Code]],STOCK[],5,FALSE),"-")</f>
        <v>Vestido niña encargo KarlaGarage</v>
      </c>
    </row>
    <row r="591" s="2" customFormat="1" ht="55" customHeight="1" spans="1:3">
      <c r="A591" s="5" t="s">
        <v>1193</v>
      </c>
      <c r="B591" s="6"/>
      <c r="C591" s="9" t="str">
        <f>IFERROR(VLOOKUP(VENTAS4[[#This Row],[Code]],STOCK[],5,FALSE),"-")</f>
        <v>Vestido niña encargo KarlaGarage</v>
      </c>
    </row>
    <row r="592" s="2" customFormat="1" ht="55" customHeight="1" spans="1:3">
      <c r="A592" s="5" t="s">
        <v>1194</v>
      </c>
      <c r="B592" s="6"/>
      <c r="C592" s="9" t="str">
        <f>IFERROR(VLOOKUP(VENTAS4[[#This Row],[Code]],STOCK[],5,FALSE),"-")</f>
        <v>Conjunto de top y falda cruzada</v>
      </c>
    </row>
    <row r="593" s="2" customFormat="1" ht="55" customHeight="1" spans="1:3">
      <c r="A593" s="5" t="s">
        <v>1196</v>
      </c>
      <c r="B593" s="6"/>
      <c r="C593" s="9" t="str">
        <f>IFERROR(VLOOKUP(VENTAS4[[#This Row],[Code]],STOCK[],5,FALSE),"-")</f>
        <v>Conjunto blanco top healter y falda cruzada</v>
      </c>
    </row>
    <row r="594" s="2" customFormat="1" ht="55" customHeight="1" spans="1:3">
      <c r="A594" s="5" t="s">
        <v>1198</v>
      </c>
      <c r="B594" s="6"/>
      <c r="C594" s="9" t="str">
        <f>IFERROR(VLOOKUP(VENTAS4[[#This Row],[Code]],STOCK[],5,FALSE),"-")</f>
        <v>Sujetador adhesivo de silicona</v>
      </c>
    </row>
    <row r="595" s="2" customFormat="1" ht="55" customHeight="1" spans="1:3">
      <c r="A595" s="5" t="s">
        <v>1200</v>
      </c>
      <c r="B595" s="6"/>
      <c r="C595" s="9" t="str">
        <f>IFERROR(VLOOKUP(VENTAS4[[#This Row],[Code]],STOCK[],5,FALSE),"-")</f>
        <v>Camisa Blanca</v>
      </c>
    </row>
    <row r="596" s="2" customFormat="1" ht="55" customHeight="1" spans="1:3">
      <c r="A596" s="5" t="s">
        <v>1202</v>
      </c>
      <c r="B596" s="6"/>
      <c r="C596" s="9" t="str">
        <f>IFERROR(VLOOKUP(VENTAS4[[#This Row],[Code]],STOCK[],5,FALSE),"-")</f>
        <v>Camisa Blanca</v>
      </c>
    </row>
    <row r="597" s="2" customFormat="1" ht="55" customHeight="1" spans="1:3">
      <c r="A597" s="5" t="s">
        <v>1203</v>
      </c>
      <c r="B597" s="6"/>
      <c r="C597" s="9" t="str">
        <f>IFERROR(VLOOKUP(VENTAS4[[#This Row],[Code]],STOCK[],5,FALSE),"-")</f>
        <v>Camisa Blanca</v>
      </c>
    </row>
    <row r="598" s="2" customFormat="1" ht="55" customHeight="1" spans="1:3">
      <c r="A598" s="5" t="s">
        <v>1204</v>
      </c>
      <c r="B598" s="6"/>
      <c r="C598" s="9" t="str">
        <f>IFERROR(VLOOKUP(VENTAS4[[#This Row],[Code]],STOCK[],5,FALSE),"-")</f>
        <v>Pantaloneta de zíper</v>
      </c>
    </row>
    <row r="599" s="2" customFormat="1" ht="55" customHeight="1" spans="1:3">
      <c r="A599" s="5" t="s">
        <v>1206</v>
      </c>
      <c r="B599" s="6"/>
      <c r="C599" s="9" t="str">
        <f>IFERROR(VLOOKUP(VENTAS4[[#This Row],[Code]],STOCK[],5,FALSE),"-")</f>
        <v>Pantaloneta roja</v>
      </c>
    </row>
    <row r="600" s="2" customFormat="1" ht="55" customHeight="1" spans="1:3">
      <c r="A600" s="5" t="s">
        <v>1208</v>
      </c>
      <c r="B600" s="6"/>
      <c r="C600" s="9" t="str">
        <f>IFERROR(VLOOKUP(VENTAS4[[#This Row],[Code]],STOCK[],5,FALSE),"-")</f>
        <v>Pantaloneta roja</v>
      </c>
    </row>
    <row r="601" s="2" customFormat="1" ht="55" customHeight="1" spans="1:3">
      <c r="A601" s="5" t="s">
        <v>1209</v>
      </c>
      <c r="B601" s="6"/>
      <c r="C601" s="9" t="str">
        <f>IFERROR(VLOOKUP(VENTAS4[[#This Row],[Code]],STOCK[],5,FALSE),"-")</f>
        <v>Falda negra con flores y abertura</v>
      </c>
    </row>
    <row r="602" s="2" customFormat="1" ht="55" customHeight="1" spans="1:3">
      <c r="A602" s="5" t="s">
        <v>1212</v>
      </c>
      <c r="B602" s="6"/>
      <c r="C602" s="9" t="str">
        <f>IFERROR(VLOOKUP(VENTAS4[[#This Row],[Code]],STOCK[],5,FALSE),"-")</f>
        <v>Falda negra con flores y abertura</v>
      </c>
    </row>
    <row r="603" s="2" customFormat="1" ht="55" customHeight="1" spans="1:3">
      <c r="A603" s="5" t="s">
        <v>1213</v>
      </c>
      <c r="B603" s="6"/>
      <c r="C603" s="9" t="str">
        <f>IFERROR(VLOOKUP(VENTAS4[[#This Row],[Code]],STOCK[],5,FALSE),"-")</f>
        <v>Vestido niña encargo KarlaGarage</v>
      </c>
    </row>
    <row r="604" s="2" customFormat="1" ht="55" customHeight="1" spans="1:3">
      <c r="A604" s="5" t="s">
        <v>1215</v>
      </c>
      <c r="B604" s="6"/>
      <c r="C604" s="9" t="str">
        <f>IFERROR(VLOOKUP(VENTAS4[[#This Row],[Code]],STOCK[],5,FALSE),"-")</f>
        <v>Vestido niña encargo KarlaGarage</v>
      </c>
    </row>
    <row r="605" s="2" customFormat="1" ht="55" customHeight="1" spans="1:3">
      <c r="A605" s="5" t="s">
        <v>1216</v>
      </c>
      <c r="B605" s="6"/>
      <c r="C605" s="9" t="str">
        <f>IFERROR(VLOOKUP(VENTAS4[[#This Row],[Code]],STOCK[],5,FALSE),"-")</f>
        <v>Pullover negro cuello redondo</v>
      </c>
    </row>
    <row r="606" s="2" customFormat="1" ht="55" customHeight="1" spans="1:3">
      <c r="A606" s="5" t="s">
        <v>1217</v>
      </c>
      <c r="B606" s="6"/>
      <c r="C606" s="9" t="str">
        <f>IFERROR(VLOOKUP(VENTAS4[[#This Row],[Code]],STOCK[],5,FALSE),"-")</f>
        <v>Cortina plateada encargo Day</v>
      </c>
    </row>
    <row r="607" s="2" customFormat="1" ht="55" customHeight="1" spans="1:3">
      <c r="A607" s="5" t="s">
        <v>1219</v>
      </c>
      <c r="B607" s="6"/>
      <c r="C607" s="9" t="str">
        <f>IFERROR(VLOOKUP(VENTAS4[[#This Row],[Code]],STOCK[],5,FALSE),"-")</f>
        <v>Cartel para cake Day</v>
      </c>
    </row>
    <row r="608" s="2" customFormat="1" ht="55" customHeight="1" spans="1:3">
      <c r="A608" s="5" t="s">
        <v>1221</v>
      </c>
      <c r="B608" s="6"/>
      <c r="C608" s="9" t="str">
        <f>IFERROR(VLOOKUP(VENTAS4[[#This Row],[Code]],STOCK[],5,FALSE),"-")</f>
        <v>Letrero de cumpleaños Day</v>
      </c>
    </row>
    <row r="609" s="2" customFormat="1" ht="55" customHeight="1" spans="1:3">
      <c r="A609" s="5" t="s">
        <v>1223</v>
      </c>
      <c r="B609" s="6"/>
      <c r="C609" s="9" t="str">
        <f>IFERROR(VLOOKUP(VENTAS4[[#This Row],[Code]],STOCK[],5,FALSE),"-")</f>
        <v>Calzado tacón negro</v>
      </c>
    </row>
    <row r="610" s="2" customFormat="1" ht="55" customHeight="1" spans="1:3">
      <c r="A610" s="5" t="s">
        <v>1227</v>
      </c>
      <c r="B610" s="6"/>
      <c r="C610" s="9" t="str">
        <f>IFERROR(VLOOKUP(VENTAS4[[#This Row],[Code]],STOCK[],5,FALSE),"-")</f>
        <v>Diadema con tira decorativa Day</v>
      </c>
    </row>
    <row r="611" s="2" customFormat="1" ht="55" customHeight="1" spans="1:3">
      <c r="A611" s="5" t="s">
        <v>1229</v>
      </c>
      <c r="B611" s="6"/>
      <c r="C611" s="9" t="str">
        <f>IFERROR(VLOOKUP(VENTAS4[[#This Row],[Code]],STOCK[],5,FALSE),"-")</f>
        <v>Globo número Day</v>
      </c>
    </row>
    <row r="612" s="2" customFormat="1" ht="55" customHeight="1" spans="1:3">
      <c r="A612" s="5" t="s">
        <v>1231</v>
      </c>
      <c r="B612" s="6"/>
      <c r="C612" s="9" t="str">
        <f>IFERROR(VLOOKUP(VENTAS4[[#This Row],[Code]],STOCK[],5,FALSE),"-")</f>
        <v>Short elegante de pierna ancha con doblez </v>
      </c>
    </row>
    <row r="613" s="2" customFormat="1" ht="55" customHeight="1" spans="1:3">
      <c r="A613" s="5" t="s">
        <v>1233</v>
      </c>
      <c r="B613" s="6"/>
      <c r="C613" s="9" t="str">
        <f>IFERROR(VLOOKUP(VENTAS4[[#This Row],[Code]],STOCK[],5,FALSE),"-")</f>
        <v>Short beich de pierna ancha </v>
      </c>
    </row>
    <row r="614" s="2" customFormat="1" ht="55" customHeight="1" spans="1:3">
      <c r="A614" s="5" t="s">
        <v>1235</v>
      </c>
      <c r="B614" s="6"/>
      <c r="C614" s="9" t="str">
        <f>IFERROR(VLOOKUP(VENTAS4[[#This Row],[Code]],STOCK[],5,FALSE),"-")</f>
        <v>Cinturón de hebilla dorada</v>
      </c>
    </row>
    <row r="615" s="2" customFormat="1" ht="55" customHeight="1" spans="1:3">
      <c r="A615" s="5" t="s">
        <v>1239</v>
      </c>
      <c r="B615" s="6"/>
      <c r="C615" s="9" t="str">
        <f>IFERROR(VLOOKUP(VENTAS4[[#This Row],[Code]],STOCK[],5,FALSE),"-")</f>
        <v>Cinturón negro con hebilla dorada</v>
      </c>
    </row>
    <row r="616" s="2" customFormat="1" ht="55" customHeight="1" spans="1:3">
      <c r="A616" s="5" t="s">
        <v>1241</v>
      </c>
      <c r="B616" s="6"/>
      <c r="C616" s="9" t="str">
        <f>IFERROR(VLOOKUP(VENTAS4[[#This Row],[Code]],STOCK[],5,FALSE),"-")</f>
        <v>Cinturón de hebilla dorada</v>
      </c>
    </row>
    <row r="617" s="2" customFormat="1" ht="55" customHeight="1" spans="1:3">
      <c r="A617" s="5" t="s">
        <v>1242</v>
      </c>
      <c r="B617" s="6"/>
      <c r="C617" s="9" t="str">
        <f>IFERROR(VLOOKUP(VENTAS4[[#This Row],[Code]],STOCK[],5,FALSE),"-")</f>
        <v>Pantalón Corte Recto</v>
      </c>
    </row>
    <row r="618" s="2" customFormat="1" ht="55" customHeight="1" spans="1:3">
      <c r="A618" s="5" t="s">
        <v>1245</v>
      </c>
      <c r="B618" s="6"/>
      <c r="C618" s="9" t="str">
        <f>IFERROR(VLOOKUP(VENTAS4[[#This Row],[Code]],STOCK[],5,FALSE),"-")</f>
        <v>Blusa amarilla Greter encargo</v>
      </c>
    </row>
    <row r="619" s="2" customFormat="1" ht="55" customHeight="1" spans="1:3">
      <c r="A619" s="5" t="s">
        <v>1247</v>
      </c>
      <c r="B619" s="6"/>
      <c r="C619" s="9" t="str">
        <f>IFERROR(VLOOKUP(VENTAS4[[#This Row],[Code]],STOCK[],5,FALSE),"-")</f>
        <v>Blusa Verde Greter  encargo</v>
      </c>
    </row>
    <row r="620" s="2" customFormat="1" ht="55" customHeight="1" spans="1:3">
      <c r="A620" s="5" t="s">
        <v>1249</v>
      </c>
      <c r="B620" s="6"/>
      <c r="C620" s="9" t="str">
        <f>IFERROR(VLOOKUP(VENTAS4[[#This Row],[Code]],STOCK[],5,FALSE),"-")</f>
        <v>Blusa roja Greter encargo</v>
      </c>
    </row>
    <row r="621" s="2" customFormat="1" ht="55" customHeight="1" spans="1:3">
      <c r="A621" s="5" t="s">
        <v>1251</v>
      </c>
      <c r="B621" s="6"/>
      <c r="C621" s="9" t="str">
        <f>IFERROR(VLOOKUP(VENTAS4[[#This Row],[Code]],STOCK[],5,FALSE),"-")</f>
        <v>Pantaloneta verde</v>
      </c>
    </row>
    <row r="622" s="2" customFormat="1" ht="55" customHeight="1" spans="1:3">
      <c r="A622" s="5" t="s">
        <v>1253</v>
      </c>
      <c r="B622" s="6"/>
      <c r="C622" s="9" t="str">
        <f>IFERROR(VLOOKUP(VENTAS4[[#This Row],[Code]],STOCK[],5,FALSE),"-")</f>
        <v>Pantaloneta verde</v>
      </c>
    </row>
    <row r="623" s="2" customFormat="1" ht="55" customHeight="1" spans="1:3">
      <c r="A623" s="5" t="s">
        <v>1254</v>
      </c>
      <c r="B623" s="6"/>
      <c r="C623" s="9" t="str">
        <f>IFERROR(VLOOKUP(VENTAS4[[#This Row],[Code]],STOCK[],5,FALSE),"-")</f>
        <v>Pantaloneta verde</v>
      </c>
    </row>
    <row r="624" s="2" customFormat="1" ht="55" customHeight="1" spans="1:3">
      <c r="A624" s="5" t="s">
        <v>1255</v>
      </c>
      <c r="B624" s="6"/>
      <c r="C624" s="9" t="str">
        <f>IFERROR(VLOOKUP(VENTAS4[[#This Row],[Code]],STOCK[],5,FALSE),"-")</f>
        <v>Maxi vestido playero rojo</v>
      </c>
    </row>
    <row r="625" s="2" customFormat="1" ht="55" customHeight="1" spans="1:3">
      <c r="A625" s="5" t="s">
        <v>1257</v>
      </c>
      <c r="B625" s="6"/>
      <c r="C625" s="9" t="str">
        <f>IFERROR(VLOOKUP(VENTAS4[[#This Row],[Code]],STOCK[],5,FALSE),"-")</f>
        <v>Maxi vestido de espalda cruzada</v>
      </c>
    </row>
    <row r="626" s="2" customFormat="1" ht="55" customHeight="1" spans="1:3">
      <c r="A626" s="5" t="s">
        <v>1260</v>
      </c>
      <c r="B626" s="6"/>
      <c r="C626" s="9" t="str">
        <f>IFERROR(VLOOKUP(VENTAS4[[#This Row],[Code]],STOCK[],5,FALSE),"-")</f>
        <v>Maxi vestido playero naranja quemada</v>
      </c>
    </row>
    <row r="627" s="2" customFormat="1" ht="55" customHeight="1" spans="1:3">
      <c r="A627" s="5" t="s">
        <v>1262</v>
      </c>
      <c r="B627" s="6"/>
      <c r="C627" s="9" t="str">
        <f>IFERROR(VLOOKUP(VENTAS4[[#This Row],[Code]],STOCK[],5,FALSE),"-")</f>
        <v>Maxi vestido playero naranja quemada</v>
      </c>
    </row>
    <row r="628" s="2" customFormat="1" ht="55" customHeight="1" spans="1:3">
      <c r="A628" s="5" t="s">
        <v>1263</v>
      </c>
      <c r="B628" s="6"/>
      <c r="C628" s="9" t="str">
        <f>IFERROR(VLOOKUP(VENTAS4[[#This Row],[Code]],STOCK[],5,FALSE),"-")</f>
        <v>Pantaloneta negra con abertura</v>
      </c>
    </row>
    <row r="629" s="2" customFormat="1" ht="55" customHeight="1" spans="1:3">
      <c r="A629" s="5" t="s">
        <v>1265</v>
      </c>
      <c r="B629" s="6"/>
      <c r="C629" s="9" t="str">
        <f>IFERROR(VLOOKUP(VENTAS4[[#This Row],[Code]],STOCK[],5,FALSE),"-")</f>
        <v>Top asimétrico blanco</v>
      </c>
    </row>
    <row r="630" s="2" customFormat="1" ht="55" customHeight="1" spans="1:3">
      <c r="A630" s="5" t="s">
        <v>1267</v>
      </c>
      <c r="B630" s="6"/>
      <c r="C630" s="9" t="str">
        <f>IFERROR(VLOOKUP(VENTAS4[[#This Row],[Code]],STOCK[],5,FALSE),"-")</f>
        <v>Top corto asimétrico </v>
      </c>
    </row>
    <row r="631" s="2" customFormat="1" ht="55" customHeight="1" spans="1:3">
      <c r="A631" s="5" t="s">
        <v>1269</v>
      </c>
      <c r="B631" s="6"/>
      <c r="C631" s="9" t="str">
        <f>IFERROR(VLOOKUP(VENTAS4[[#This Row],[Code]],STOCK[],5,FALSE),"-")</f>
        <v>Top blanco cuello V con encaje</v>
      </c>
    </row>
    <row r="632" s="2" customFormat="1" ht="55" customHeight="1" spans="1:3">
      <c r="A632" s="5" t="s">
        <v>1271</v>
      </c>
      <c r="B632" s="6"/>
      <c r="C632" s="9" t="str">
        <f>IFERROR(VLOOKUP(VENTAS4[[#This Row],[Code]],STOCK[],5,FALSE),"-")</f>
        <v>Top blanco cuello V con encaje</v>
      </c>
    </row>
    <row r="633" s="2" customFormat="1" ht="55" customHeight="1" spans="1:3">
      <c r="A633" s="5" t="s">
        <v>1272</v>
      </c>
      <c r="B633" s="6"/>
      <c r="C633" s="9" t="str">
        <f>IFERROR(VLOOKUP(VENTAS4[[#This Row],[Code]],STOCK[],5,FALSE),"-")</f>
        <v>Top de cuello V con encaje</v>
      </c>
    </row>
    <row r="634" s="2" customFormat="1" ht="55" customHeight="1" spans="1:3">
      <c r="A634" s="5" t="s">
        <v>1275</v>
      </c>
      <c r="B634" s="6"/>
      <c r="C634" s="9" t="str">
        <f>IFERROR(VLOOKUP(VENTAS4[[#This Row],[Code]],STOCK[],5,FALSE),"-")</f>
        <v>Top negro de cuello V con encaje</v>
      </c>
    </row>
    <row r="635" s="2" customFormat="1" ht="55" customHeight="1" spans="1:3">
      <c r="A635" s="5" t="s">
        <v>1277</v>
      </c>
      <c r="B635" s="6"/>
      <c r="C635" s="9" t="str">
        <f>IFERROR(VLOOKUP(VENTAS4[[#This Row],[Code]],STOCK[],5,FALSE),"-")</f>
        <v>Top negro  cuello V con encaje</v>
      </c>
    </row>
    <row r="636" s="2" customFormat="1" ht="55" customHeight="1" spans="1:3">
      <c r="A636" s="5" t="s">
        <v>1279</v>
      </c>
      <c r="B636" s="6"/>
      <c r="C636" s="9" t="str">
        <f>IFERROR(VLOOKUP(VENTAS4[[#This Row],[Code]],STOCK[],5,FALSE),"-")</f>
        <v>Short beiche de pierna ancha </v>
      </c>
    </row>
    <row r="637" s="2" customFormat="1" ht="55" customHeight="1" spans="1:3">
      <c r="A637" s="5" t="s">
        <v>1281</v>
      </c>
      <c r="B637" s="6"/>
      <c r="C637" s="9" t="str">
        <f>IFERROR(VLOOKUP(VENTAS4[[#This Row],[Code]],STOCK[],5,FALSE),"-")</f>
        <v>Pantalón beige de pierna ancha</v>
      </c>
    </row>
    <row r="638" s="2" customFormat="1" ht="55" customHeight="1" spans="1:3">
      <c r="A638" s="5" t="s">
        <v>1283</v>
      </c>
      <c r="B638" s="6"/>
      <c r="C638" s="9" t="str">
        <f>IFERROR(VLOOKUP(VENTAS4[[#This Row],[Code]],STOCK[],5,FALSE),"-")</f>
        <v>Pantalón de corte recto</v>
      </c>
    </row>
    <row r="639" s="2" customFormat="1" ht="55" customHeight="1" spans="1:3">
      <c r="A639" s="5" t="s">
        <v>1285</v>
      </c>
      <c r="B639" s="6"/>
      <c r="C639" s="9" t="str">
        <f>IFERROR(VLOOKUP(VENTAS4[[#This Row],[Code]],STOCK[],5,FALSE),"-")</f>
        <v>Pantalón de corte recto</v>
      </c>
    </row>
    <row r="640" s="2" customFormat="1" ht="55" customHeight="1" spans="1:3">
      <c r="A640" s="5" t="s">
        <v>1286</v>
      </c>
      <c r="B640" s="6"/>
      <c r="C640" s="9" t="str">
        <f>IFERROR(VLOOKUP(VENTAS4[[#This Row],[Code]],STOCK[],5,FALSE),"-")</f>
        <v>Pantalón rosado fuccia</v>
      </c>
    </row>
    <row r="641" s="2" customFormat="1" ht="55" customHeight="1" spans="1:3">
      <c r="A641" s="5" t="s">
        <v>1288</v>
      </c>
      <c r="B641" s="6"/>
      <c r="C641" s="9" t="str">
        <f>IFERROR(VLOOKUP(VENTAS4[[#This Row],[Code]],STOCK[],5,FALSE),"-")</f>
        <v>Top corto asimétrico </v>
      </c>
    </row>
    <row r="642" s="2" customFormat="1" ht="55" customHeight="1" spans="1:3">
      <c r="A642" s="5" t="s">
        <v>1289</v>
      </c>
      <c r="B642" s="6"/>
      <c r="C642" s="9" t="str">
        <f>IFERROR(VLOOKUP(VENTAS4[[#This Row],[Code]],STOCK[],5,FALSE),"-")</f>
        <v>Top negro corto asimétrico</v>
      </c>
    </row>
    <row r="643" s="2" customFormat="1" ht="55" customHeight="1" spans="1:3">
      <c r="A643" s="5" t="s">
        <v>1291</v>
      </c>
      <c r="B643" s="6"/>
      <c r="C643" s="9" t="str">
        <f>IFERROR(VLOOKUP(VENTAS4[[#This Row],[Code]],STOCK[],5,FALSE),"-")</f>
        <v>Jean skinny oscuro </v>
      </c>
    </row>
    <row r="644" s="2" customFormat="1" ht="55" customHeight="1" spans="1:3">
      <c r="A644" s="5"/>
      <c r="B644" s="6"/>
      <c r="C644" s="9" t="str">
        <f>IFERROR(VLOOKUP(VENTAS4[[#This Row],[Code]],STOCK[],5,FALSE),"-")</f>
        <v>-</v>
      </c>
    </row>
    <row r="645" s="2" customFormat="1" ht="55" customHeight="1" spans="1:3">
      <c r="A645" s="5" t="s">
        <v>1295</v>
      </c>
      <c r="B645" s="6"/>
      <c r="C645" s="9" t="str">
        <f>IFERROR(VLOOKUP(VENTAS4[[#This Row],[Code]],STOCK[],5,FALSE),"-")</f>
        <v>Pantaloneta con cinturón</v>
      </c>
    </row>
    <row r="646" s="2" customFormat="1" ht="55" customHeight="1" spans="1:3">
      <c r="A646" s="5" t="s">
        <v>1297</v>
      </c>
      <c r="B646" s="6"/>
      <c r="C646" s="9" t="str">
        <f>IFERROR(VLOOKUP(VENTAS4[[#This Row],[Code]],STOCK[],5,FALSE),"-")</f>
        <v>Sandalias rosadas Forever21</v>
      </c>
    </row>
    <row r="647" s="2" customFormat="1" ht="55" customHeight="1" spans="1:3">
      <c r="A647" s="5" t="s">
        <v>1299</v>
      </c>
      <c r="B647" s="6"/>
      <c r="C647" s="9" t="str">
        <f>IFERROR(VLOOKUP(VENTAS4[[#This Row],[Code]],STOCK[],5,FALSE),"-")</f>
        <v>Sandalias negras de hebilla </v>
      </c>
    </row>
    <row r="648" s="2" customFormat="1" ht="55" customHeight="1" spans="1:3">
      <c r="A648" s="5" t="s">
        <v>1301</v>
      </c>
      <c r="B648" s="6"/>
      <c r="C648" s="9" t="str">
        <f>IFERROR(VLOOKUP(VENTAS4[[#This Row],[Code]],STOCK[],5,FALSE),"-")</f>
        <v>Jean ajustado Claro</v>
      </c>
    </row>
    <row r="649" s="2" customFormat="1" ht="55" customHeight="1" spans="1:3">
      <c r="A649" s="5" t="s">
        <v>1304</v>
      </c>
      <c r="B649" s="6"/>
      <c r="C649" s="9" t="str">
        <f>IFERROR(VLOOKUP(VENTAS4[[#This Row],[Code]],STOCK[],5,FALSE),"-")</f>
        <v>Jean ajustado claro</v>
      </c>
    </row>
    <row r="650" s="2" customFormat="1" ht="55" customHeight="1" spans="1:3">
      <c r="A650" s="5" t="s">
        <v>1306</v>
      </c>
      <c r="B650" s="6"/>
      <c r="C650" s="9" t="str">
        <f>IFERROR(VLOOKUP(VENTAS4[[#This Row],[Code]],STOCK[],5,FALSE),"-")</f>
        <v>Sandalias rosadas Forever21</v>
      </c>
    </row>
    <row r="651" s="2" customFormat="1" ht="55" customHeight="1" spans="1:3">
      <c r="A651" s="5" t="s">
        <v>1307</v>
      </c>
      <c r="B651" s="6"/>
      <c r="C651" s="9" t="str">
        <f>IFERROR(VLOOKUP(VENTAS4[[#This Row],[Code]],STOCK[],5,FALSE),"-")</f>
        <v>Sandalias blancas</v>
      </c>
    </row>
    <row r="652" s="2" customFormat="1" ht="55" customHeight="1" spans="1:3">
      <c r="A652" s="5" t="s">
        <v>1309</v>
      </c>
      <c r="B652" s="6"/>
      <c r="C652" s="9" t="str">
        <f>IFERROR(VLOOKUP(VENTAS4[[#This Row],[Code]],STOCK[],5,FALSE),"-")</f>
        <v>Short de mezclilla suave con cinturón</v>
      </c>
    </row>
    <row r="653" s="2" customFormat="1" ht="55" customHeight="1" spans="1:3">
      <c r="A653" s="5"/>
      <c r="B653" s="6"/>
      <c r="C653" s="9" t="str">
        <f>IFERROR(VLOOKUP(VENTAS4[[#This Row],[Code]],STOCK[],5,FALSE),"-")</f>
        <v>-</v>
      </c>
    </row>
    <row r="654" s="2" customFormat="1" ht="55" customHeight="1" spans="1:3">
      <c r="A654" s="5" t="s">
        <v>1311</v>
      </c>
      <c r="B654" s="6"/>
      <c r="C654" s="9" t="str">
        <f>IFERROR(VLOOKUP(VENTAS4[[#This Row],[Code]],STOCK[],5,FALSE),"-")</f>
        <v>Blusa de manga larga cruzada</v>
      </c>
    </row>
    <row r="655" s="2" customFormat="1" ht="55" customHeight="1" spans="1:3">
      <c r="A655" s="5" t="s">
        <v>1313</v>
      </c>
      <c r="B655" s="6"/>
      <c r="C655" s="9" t="str">
        <f>IFERROR(VLOOKUP(VENTAS4[[#This Row],[Code]],STOCK[],5,FALSE),"-")</f>
        <v>Blazer Crema</v>
      </c>
    </row>
    <row r="656" s="2" customFormat="1" ht="55" customHeight="1" spans="1:3">
      <c r="A656" s="5" t="s">
        <v>1315</v>
      </c>
      <c r="B656" s="6"/>
      <c r="C656" s="9" t="str">
        <f>IFERROR(VLOOKUP(VENTAS4[[#This Row],[Code]],STOCK[],5,FALSE),"-")</f>
        <v>Blazer con textura (hacer foto)</v>
      </c>
    </row>
    <row r="657" s="2" customFormat="1" ht="55" customHeight="1" spans="1:3">
      <c r="A657" s="5" t="s">
        <v>1318</v>
      </c>
      <c r="B657" s="6"/>
      <c r="C657" s="9" t="str">
        <f>IFERROR(VLOOKUP(VENTAS4[[#This Row],[Code]],STOCK[],5,FALSE),"-")</f>
        <v>Blazer Carmelita oscuro (hacer foto)</v>
      </c>
    </row>
    <row r="658" s="2" customFormat="1" ht="55" customHeight="1" spans="1:3">
      <c r="A658" s="5" t="s">
        <v>1320</v>
      </c>
      <c r="B658" s="6"/>
      <c r="C658" s="9" t="str">
        <f>IFERROR(VLOOKUP(VENTAS4[[#This Row],[Code]],STOCK[],5,FALSE),"-")</f>
        <v>Camisa rayas verde Extra Grande</v>
      </c>
    </row>
    <row r="659" s="2" customFormat="1" ht="55" customHeight="1" spans="1:3">
      <c r="A659" s="5" t="s">
        <v>1322</v>
      </c>
      <c r="B659" s="6"/>
      <c r="C659" s="9" t="str">
        <f>IFERROR(VLOOKUP(VENTAS4[[#This Row],[Code]],STOCK[],5,FALSE),"-")</f>
        <v>Camisa Azul Extra Grande</v>
      </c>
    </row>
    <row r="660" s="2" customFormat="1" ht="55" customHeight="1" spans="1:3">
      <c r="A660" s="5" t="s">
        <v>1324</v>
      </c>
      <c r="B660" s="6"/>
      <c r="C660" s="9" t="str">
        <f>IFERROR(VLOOKUP(VENTAS4[[#This Row],[Code]],STOCK[],5,FALSE),"-")</f>
        <v>Camisa Blanca </v>
      </c>
    </row>
    <row r="661" s="2" customFormat="1" ht="55" customHeight="1" spans="1:3">
      <c r="A661" s="5" t="s">
        <v>1326</v>
      </c>
      <c r="B661" s="6"/>
      <c r="C661" s="9" t="str">
        <f>IFERROR(VLOOKUP(VENTAS4[[#This Row],[Code]],STOCK[],5,FALSE),"-")</f>
        <v>Blusa de manga acampanada </v>
      </c>
    </row>
    <row r="662" s="2" customFormat="1" ht="55" customHeight="1" spans="1:3">
      <c r="A662" s="5" t="s">
        <v>1329</v>
      </c>
      <c r="B662" s="6"/>
      <c r="C662" s="9" t="str">
        <f>IFERROR(VLOOKUP(VENTAS4[[#This Row],[Code]],STOCK[],5,FALSE),"-")</f>
        <v>Blusa de manga acampanada blanca</v>
      </c>
    </row>
    <row r="663" s="2" customFormat="1" ht="55" customHeight="1" spans="1:3">
      <c r="A663" s="5" t="s">
        <v>1331</v>
      </c>
      <c r="B663" s="6"/>
      <c r="C663" s="9" t="str">
        <f>IFERROR(VLOOKUP(VENTAS4[[#This Row],[Code]],STOCK[],5,FALSE),"-")</f>
        <v>Blusa de manga acampanada negra</v>
      </c>
    </row>
    <row r="664" s="2" customFormat="1" ht="55" customHeight="1" spans="1:3">
      <c r="A664" s="5" t="s">
        <v>1333</v>
      </c>
      <c r="B664" s="6"/>
      <c r="C664" s="9" t="str">
        <f>IFERROR(VLOOKUP(VENTAS4[[#This Row],[Code]],STOCK[],5,FALSE),"-")</f>
        <v>Blusa de manga acampanada</v>
      </c>
    </row>
    <row r="665" s="2" customFormat="1" ht="55" customHeight="1" spans="1:3">
      <c r="A665" s="5" t="s">
        <v>1335</v>
      </c>
      <c r="B665" s="6"/>
      <c r="C665" s="9" t="str">
        <f>IFERROR(VLOOKUP(VENTAS4[[#This Row],[Code]],STOCK[],5,FALSE),"-")</f>
        <v>Blusa Camisa de puño largo</v>
      </c>
    </row>
    <row r="666" s="2" customFormat="1" ht="55" customHeight="1" spans="1:3">
      <c r="A666" s="5" t="s">
        <v>1337</v>
      </c>
      <c r="B666" s="6"/>
      <c r="C666" s="9" t="str">
        <f>IFERROR(VLOOKUP(VENTAS4[[#This Row],[Code]],STOCK[],5,FALSE),"-")</f>
        <v>Blusa camisa de puño largo</v>
      </c>
    </row>
    <row r="667" s="2" customFormat="1" ht="55" customHeight="1" spans="1:3">
      <c r="A667" s="5" t="s">
        <v>1339</v>
      </c>
      <c r="B667" s="6"/>
      <c r="C667" s="9" t="str">
        <f>IFERROR(VLOOKUP(VENTAS4[[#This Row],[Code]],STOCK[],5,FALSE),"-")</f>
        <v>Camisa entallada dazy</v>
      </c>
    </row>
    <row r="668" s="2" customFormat="1" ht="55" customHeight="1" spans="1:3">
      <c r="A668" s="5" t="s">
        <v>1341</v>
      </c>
      <c r="B668" s="6"/>
      <c r="C668" s="9" t="str">
        <f>IFERROR(VLOOKUP(VENTAS4[[#This Row],[Code]],STOCK[],5,FALSE),"-")</f>
        <v>Camisa entallada dazy</v>
      </c>
    </row>
    <row r="669" s="2" customFormat="1" ht="55" customHeight="1" spans="1:3">
      <c r="A669" s="5" t="s">
        <v>1342</v>
      </c>
      <c r="B669" s="6" t="s">
        <v>1343</v>
      </c>
      <c r="C669" s="9" t="str">
        <f>IFERROR(VLOOKUP(VENTAS4[[#This Row],[Code]],STOCK[],5,FALSE),"-")</f>
        <v>Body traslúcido floreado (hacer foto)</v>
      </c>
    </row>
    <row r="670" s="2" customFormat="1" ht="55" customHeight="1" spans="1:3">
      <c r="A670" s="5" t="s">
        <v>1346</v>
      </c>
      <c r="B670" s="6"/>
      <c r="C670" s="9" t="str">
        <f>IFERROR(VLOOKUP(VENTAS4[[#This Row],[Code]],STOCK[],5,FALSE),"-")</f>
        <v>Cardigan Amarillo</v>
      </c>
    </row>
    <row r="671" s="2" customFormat="1" ht="55" customHeight="1" spans="1:3">
      <c r="A671" s="5" t="s">
        <v>1348</v>
      </c>
      <c r="B671" s="6"/>
      <c r="C671" s="9" t="str">
        <f>IFERROR(VLOOKUP(VENTAS4[[#This Row],[Code]],STOCK[],5,FALSE),"-")</f>
        <v>Cardigan Amarillo</v>
      </c>
    </row>
    <row r="672" s="2" customFormat="1" ht="55" customHeight="1" spans="1:3">
      <c r="A672" s="5" t="s">
        <v>1349</v>
      </c>
      <c r="B672" s="6"/>
      <c r="C672" s="9" t="str">
        <f>IFERROR(VLOOKUP(VENTAS4[[#This Row],[Code]],STOCK[],5,FALSE),"-")</f>
        <v>Pullover oversize estampado </v>
      </c>
    </row>
    <row r="673" s="2" customFormat="1" ht="55" customHeight="1" spans="1:3">
      <c r="A673" s="5" t="s">
        <v>1351</v>
      </c>
      <c r="B673" s="6"/>
      <c r="C673" s="9" t="str">
        <f>IFERROR(VLOOKUP(VENTAS4[[#This Row],[Code]],STOCK[],5,FALSE),"-")</f>
        <v>Sweater rosa con mangas abiertas</v>
      </c>
    </row>
    <row r="674" s="2" customFormat="1" ht="55" customHeight="1" spans="1:3">
      <c r="A674" s="5" t="s">
        <v>1353</v>
      </c>
      <c r="B674" s="6"/>
      <c r="C674" s="9" t="str">
        <f>IFERROR(VLOOKUP(VENTAS4[[#This Row],[Code]],STOCK[],5,FALSE),"-")</f>
        <v>Chaleco Tejido</v>
      </c>
    </row>
    <row r="675" s="2" customFormat="1" ht="55" customHeight="1" spans="1:3">
      <c r="A675" s="5" t="s">
        <v>1355</v>
      </c>
      <c r="B675" s="6"/>
      <c r="C675" s="9" t="str">
        <f>IFERROR(VLOOKUP(VENTAS4[[#This Row],[Code]],STOCK[],5,FALSE),"-")</f>
        <v>Chaleco de traje gris talla pequeña H&amp;M</v>
      </c>
    </row>
    <row r="676" s="2" customFormat="1" ht="55" customHeight="1" spans="1:3">
      <c r="A676" s="5" t="s">
        <v>1357</v>
      </c>
      <c r="B676" s="6"/>
      <c r="C676" s="9" t="str">
        <f>IFERROR(VLOOKUP(VENTAS4[[#This Row],[Code]],STOCK[],5,FALSE),"-")</f>
        <v>Sweater de Lana naranja quemada</v>
      </c>
    </row>
    <row r="677" s="2" customFormat="1" ht="55" customHeight="1" spans="1:3">
      <c r="A677" s="5" t="s">
        <v>1359</v>
      </c>
      <c r="B677" s="6"/>
      <c r="C677" s="9" t="str">
        <f>IFERROR(VLOOKUP(VENTAS4[[#This Row],[Code]],STOCK[],5,FALSE),"-")</f>
        <v>Sweater de lana H&amp;M</v>
      </c>
    </row>
    <row r="678" s="2" customFormat="1" ht="55" customHeight="1" spans="1:3">
      <c r="A678" s="5" t="s">
        <v>1362</v>
      </c>
      <c r="B678" s="6"/>
      <c r="C678" s="9" t="str">
        <f>IFERROR(VLOOKUP(VENTAS4[[#This Row],[Code]],STOCK[],5,FALSE),"-")</f>
        <v>Sweater de lana H&amp;M</v>
      </c>
    </row>
    <row r="679" s="2" customFormat="1" ht="55" customHeight="1" spans="1:3">
      <c r="A679" s="5" t="s">
        <v>1363</v>
      </c>
      <c r="B679" s="6"/>
      <c r="C679" s="9" t="str">
        <f>IFERROR(VLOOKUP(VENTAS4[[#This Row],[Code]],STOCK[],5,FALSE),"-")</f>
        <v>Vestido de flecos</v>
      </c>
    </row>
    <row r="680" s="2" customFormat="1" ht="55" customHeight="1" spans="1:3">
      <c r="A680" s="5" t="s">
        <v>1365</v>
      </c>
      <c r="B680" s="6"/>
      <c r="C680" s="9" t="str">
        <f>IFERROR(VLOOKUP(VENTAS4[[#This Row],[Code]],STOCK[],5,FALSE),"-")</f>
        <v>Vestido de flecos</v>
      </c>
    </row>
    <row r="681" s="2" customFormat="1" ht="55" customHeight="1" spans="1:3">
      <c r="A681" s="5" t="s">
        <v>1366</v>
      </c>
      <c r="B681" s="6"/>
      <c r="C681" s="9" t="str">
        <f>IFERROR(VLOOKUP(VENTAS4[[#This Row],[Code]],STOCK[],5,FALSE),"-")</f>
        <v>Falda plisada de cuadros</v>
      </c>
    </row>
    <row r="682" s="2" customFormat="1" ht="55" customHeight="1" spans="1:3">
      <c r="A682" s="5" t="s">
        <v>1368</v>
      </c>
      <c r="B682" s="6"/>
      <c r="C682" s="9" t="str">
        <f>IFERROR(VLOOKUP(VENTAS4[[#This Row],[Code]],STOCK[],5,FALSE),"-")</f>
        <v>Falda plisada de cuadros</v>
      </c>
    </row>
    <row r="683" s="2" customFormat="1" ht="55" customHeight="1" spans="1:3">
      <c r="A683" s="5" t="s">
        <v>1369</v>
      </c>
      <c r="B683" s="6"/>
      <c r="C683" s="9" t="str">
        <f>IFERROR(VLOOKUP(VENTAS4[[#This Row],[Code]],STOCK[],5,FALSE),"-")</f>
        <v>Pajarita en forma de flor</v>
      </c>
    </row>
    <row r="684" s="2" customFormat="1" ht="55" customHeight="1" spans="1:3">
      <c r="A684" s="5" t="s">
        <v>1371</v>
      </c>
      <c r="B684" s="6"/>
      <c r="C684" s="9" t="str">
        <f>IFERROR(VLOOKUP(VENTAS4[[#This Row],[Code]],STOCK[],5,FALSE),"-")</f>
        <v>Corbatín de mujer</v>
      </c>
    </row>
    <row r="685" s="2" customFormat="1" ht="55" customHeight="1" spans="1:3">
      <c r="A685" s="5" t="s">
        <v>1373</v>
      </c>
      <c r="B685" s="6"/>
      <c r="C685" s="9" t="str">
        <f>IFERROR(VLOOKUP(VENTAS4[[#This Row],[Code]],STOCK[],5,FALSE),"-")</f>
        <v>Camisa blanca entallada H&amp;M</v>
      </c>
    </row>
    <row r="686" s="2" customFormat="1" ht="55" customHeight="1" spans="1:3">
      <c r="A686" s="5" t="s">
        <v>1375</v>
      </c>
      <c r="B686" s="6"/>
      <c r="C686" s="9" t="str">
        <f>IFERROR(VLOOKUP(VENTAS4[[#This Row],[Code]],STOCK[],5,FALSE),"-")</f>
        <v>Ajustador beige </v>
      </c>
    </row>
    <row r="687" s="2" customFormat="1" ht="55" customHeight="1" spans="1:3">
      <c r="A687" s="5" t="s">
        <v>1378</v>
      </c>
      <c r="B687" s="6"/>
      <c r="C687" s="9" t="str">
        <f>IFERROR(VLOOKUP(VENTAS4[[#This Row],[Code]],STOCK[],5,FALSE),"-")</f>
        <v>Conjunto Skort &amp; top Floreado</v>
      </c>
    </row>
    <row r="688" s="2" customFormat="1" ht="55" customHeight="1" spans="1:3">
      <c r="A688" s="5" t="s">
        <v>1380</v>
      </c>
      <c r="B688" s="6"/>
      <c r="C688" s="9" t="str">
        <f>IFERROR(VLOOKUP(VENTAS4[[#This Row],[Code]],STOCK[],5,FALSE),"-")</f>
        <v>Medias pantys</v>
      </c>
    </row>
    <row r="689" s="2" customFormat="1" ht="55" customHeight="1" spans="1:3">
      <c r="A689" s="5" t="s">
        <v>1383</v>
      </c>
      <c r="B689" s="6"/>
      <c r="C689" s="9" t="str">
        <f>IFERROR(VLOOKUP(VENTAS4[[#This Row],[Code]],STOCK[],5,FALSE),"-")</f>
        <v>Medias de mallas</v>
      </c>
    </row>
    <row r="690" s="2" customFormat="1" ht="55" customHeight="1" spans="1:3">
      <c r="A690" s="5" t="s">
        <v>1385</v>
      </c>
      <c r="B690" s="6"/>
      <c r="C690" s="9" t="str">
        <f>IFERROR(VLOOKUP(VENTAS4[[#This Row],[Code]],STOCK[],5,FALSE),"-")</f>
        <v>Leggings negros acanalados</v>
      </c>
    </row>
    <row r="691" s="2" customFormat="1" ht="55" customHeight="1" spans="1:3">
      <c r="A691" s="5" t="s">
        <v>1388</v>
      </c>
      <c r="B691" s="6"/>
      <c r="C691" s="9" t="str">
        <f>IFERROR(VLOOKUP(VENTAS4[[#This Row],[Code]],STOCK[],5,FALSE),"-")</f>
        <v>Playera negra de cuello cisne</v>
      </c>
    </row>
    <row r="692" s="2" customFormat="1" ht="55" customHeight="1" spans="1:3">
      <c r="A692" s="5" t="s">
        <v>1390</v>
      </c>
      <c r="B692" s="6"/>
      <c r="C692" s="9" t="str">
        <f>IFERROR(VLOOKUP(VENTAS4[[#This Row],[Code]],STOCK[],5,FALSE),"-")</f>
        <v> Vestido Rojo con eberturas</v>
      </c>
    </row>
    <row r="693" s="2" customFormat="1" ht="55" customHeight="1" spans="1:3">
      <c r="A693" s="5" t="s">
        <v>1392</v>
      </c>
      <c r="B693" s="6"/>
      <c r="C693" s="9" t="str">
        <f>IFERROR(VLOOKUP(VENTAS4[[#This Row],[Code]],STOCK[],5,FALSE),"-")</f>
        <v>Playera negra de cuello cisne</v>
      </c>
    </row>
    <row r="694" s="2" customFormat="1" ht="55" customHeight="1" spans="1:3">
      <c r="A694" s="5" t="s">
        <v>1393</v>
      </c>
      <c r="B694" s="6"/>
      <c r="C694" s="9" t="str">
        <f>IFERROR(VLOOKUP(VENTAS4[[#This Row],[Code]],STOCK[],5,FALSE),"-")</f>
        <v>Playera de cuello cisne</v>
      </c>
    </row>
    <row r="695" s="2" customFormat="1" ht="55" customHeight="1" spans="1:3">
      <c r="A695" s="5" t="s">
        <v>1395</v>
      </c>
      <c r="B695" s="6"/>
      <c r="C695" s="9" t="str">
        <f>IFERROR(VLOOKUP(VENTAS4[[#This Row],[Code]],STOCK[],5,FALSE),"-")</f>
        <v>Camiseta acanalada de bajo asimétrico blanco</v>
      </c>
    </row>
    <row r="696" s="2" customFormat="1" ht="55" customHeight="1" spans="1:3">
      <c r="A696" s="5" t="s">
        <v>1397</v>
      </c>
      <c r="B696" s="6"/>
      <c r="C696" s="9" t="str">
        <f>IFERROR(VLOOKUP(VENTAS4[[#This Row],[Code]],STOCK[],5,FALSE),"-")</f>
        <v>Camiseta acanalada de bajo asimétrico blanco</v>
      </c>
    </row>
    <row r="697" s="2" customFormat="1" ht="55" customHeight="1" spans="1:3">
      <c r="A697" s="5" t="s">
        <v>1398</v>
      </c>
      <c r="B697" s="6"/>
      <c r="C697" s="9" t="str">
        <f>IFERROR(VLOOKUP(VENTAS4[[#This Row],[Code]],STOCK[],5,FALSE),"-")</f>
        <v>Camiseta acanalada de bajo asimétrico naranja</v>
      </c>
    </row>
    <row r="698" s="2" customFormat="1" ht="55" customHeight="1" spans="1:3">
      <c r="A698" s="5" t="s">
        <v>1400</v>
      </c>
      <c r="B698" s="6"/>
      <c r="C698" s="9" t="str">
        <f>IFERROR(VLOOKUP(VENTAS4[[#This Row],[Code]],STOCK[],5,FALSE),"-")</f>
        <v>Camiseta acanalada oblicua naranja</v>
      </c>
    </row>
    <row r="699" s="2" customFormat="1" ht="55" customHeight="1" spans="1:3">
      <c r="A699" s="5" t="s">
        <v>1402</v>
      </c>
      <c r="B699" s="6"/>
      <c r="C699" s="9" t="str">
        <f>IFERROR(VLOOKUP(VENTAS4[[#This Row],[Code]],STOCK[],5,FALSE),"-")</f>
        <v>Top bustier corsetero</v>
      </c>
    </row>
    <row r="700" s="2" customFormat="1" ht="55" customHeight="1" spans="1:3">
      <c r="A700" s="5" t="s">
        <v>1405</v>
      </c>
      <c r="B700" s="6"/>
      <c r="C700" s="9" t="str">
        <f>IFERROR(VLOOKUP(VENTAS4[[#This Row],[Code]],STOCK[],5,FALSE),"-")</f>
        <v>Top bustier corsetero</v>
      </c>
    </row>
    <row r="701" s="2" customFormat="1" ht="55" customHeight="1" spans="1:3">
      <c r="A701" s="5" t="s">
        <v>1407</v>
      </c>
      <c r="B701" s="6"/>
      <c r="C701" s="9" t="str">
        <f>IFERROR(VLOOKUP(VENTAS4[[#This Row],[Code]],STOCK[],5,FALSE),"-")</f>
        <v>Pantaloneta con abertura y bolsillos</v>
      </c>
    </row>
    <row r="702" s="2" customFormat="1" ht="55" customHeight="1" spans="1:3">
      <c r="A702" s="5" t="s">
        <v>1409</v>
      </c>
      <c r="B702" s="6"/>
      <c r="C702" s="9" t="str">
        <f>IFERROR(VLOOKUP(VENTAS4[[#This Row],[Code]],STOCK[],5,FALSE),"-")</f>
        <v>Pantaloneta con abertura</v>
      </c>
    </row>
    <row r="703" s="2" customFormat="1" ht="55" customHeight="1" spans="1:3">
      <c r="A703" s="5" t="s">
        <v>1411</v>
      </c>
      <c r="B703" s="6"/>
      <c r="C703" s="9" t="str">
        <f>IFERROR(VLOOKUP(VENTAS4[[#This Row],[Code]],STOCK[],5,FALSE),"-")</f>
        <v>Jean MOM con rotos</v>
      </c>
    </row>
    <row r="704" s="2" customFormat="1" ht="55" customHeight="1" spans="1:3">
      <c r="A704" s="5" t="s">
        <v>1414</v>
      </c>
      <c r="B704" s="6"/>
      <c r="C704" s="9" t="str">
        <f>IFERROR(VLOOKUP(VENTAS4[[#This Row],[Code]],STOCK[],5,FALSE),"-")</f>
        <v>Jean MOM con rotos</v>
      </c>
    </row>
    <row r="705" s="2" customFormat="1" ht="55" customHeight="1" spans="1:3">
      <c r="A705" s="5" t="s">
        <v>1416</v>
      </c>
      <c r="B705" s="6"/>
      <c r="C705" s="9" t="str">
        <f>IFERROR(VLOOKUP(VENTAS4[[#This Row],[Code]],STOCK[],5,FALSE),"-")</f>
        <v>Vestido acanalado cruzado color crema</v>
      </c>
    </row>
    <row r="706" s="2" customFormat="1" ht="55" customHeight="1" spans="1:3">
      <c r="A706" s="5" t="s">
        <v>1418</v>
      </c>
      <c r="B706" s="6"/>
      <c r="C706" s="9" t="str">
        <f>IFERROR(VLOOKUP(VENTAS4[[#This Row],[Code]],STOCK[],5,FALSE),"-")</f>
        <v>Vestido acanalado cruzado color crema</v>
      </c>
    </row>
    <row r="707" s="2" customFormat="1" ht="55" customHeight="1" spans="1:3">
      <c r="A707" s="5" t="s">
        <v>1419</v>
      </c>
      <c r="B707" s="6"/>
      <c r="C707" s="9" t="str">
        <f>IFERROR(VLOOKUP(VENTAS4[[#This Row],[Code]],STOCK[],5,FALSE),"-")</f>
        <v>Short de tela suave con cinturón</v>
      </c>
    </row>
    <row r="708" s="2" customFormat="1" ht="55" customHeight="1" spans="1:3">
      <c r="A708" s="5" t="s">
        <v>1421</v>
      </c>
      <c r="B708" s="6"/>
      <c r="C708" s="9" t="str">
        <f>IFERROR(VLOOKUP(VENTAS4[[#This Row],[Code]],STOCK[],5,FALSE),"-")</f>
        <v>Pantalón de traje</v>
      </c>
    </row>
    <row r="709" s="2" customFormat="1" ht="55" customHeight="1" spans="1:3">
      <c r="A709" s="5" t="s">
        <v>1424</v>
      </c>
      <c r="B709" s="6"/>
      <c r="C709" s="9" t="str">
        <f>IFERROR(VLOOKUP(VENTAS4[[#This Row],[Code]],STOCK[],5,FALSE),"-")</f>
        <v>Vestido espalda escotada</v>
      </c>
    </row>
    <row r="710" s="2" customFormat="1" ht="55" customHeight="1" spans="1:3">
      <c r="A710" s="5" t="s">
        <v>1426</v>
      </c>
      <c r="B710" s="6"/>
      <c r="C710" s="9" t="str">
        <f>IFERROR(VLOOKUP(VENTAS4[[#This Row],[Code]],STOCK[],5,FALSE),"-")</f>
        <v>Vestido espalda escotada</v>
      </c>
    </row>
    <row r="711" s="2" customFormat="1" ht="55" customHeight="1" spans="1:3">
      <c r="A711" s="5" t="s">
        <v>1427</v>
      </c>
      <c r="B711" s="6"/>
      <c r="C711" s="9" t="str">
        <f>IFERROR(VLOOKUP(VENTAS4[[#This Row],[Code]],STOCK[],5,FALSE),"-")</f>
        <v>Sandalias blancas cruzadas</v>
      </c>
    </row>
    <row r="712" s="2" customFormat="1" ht="55" customHeight="1" spans="1:3">
      <c r="A712" s="5" t="s">
        <v>1430</v>
      </c>
      <c r="B712" s="6"/>
      <c r="C712" s="9" t="str">
        <f>IFERROR(VLOOKUP(VENTAS4[[#This Row],[Code]],STOCK[],5,FALSE),"-")</f>
        <v>Sandalias blancas cruzadas</v>
      </c>
    </row>
    <row r="713" s="2" customFormat="1" ht="55" customHeight="1" spans="1:3">
      <c r="A713" s="5" t="s">
        <v>1431</v>
      </c>
      <c r="B713" s="6"/>
      <c r="C713" s="9" t="str">
        <f>IFERROR(VLOOKUP(VENTAS4[[#This Row],[Code]],STOCK[],5,FALSE),"-")</f>
        <v>Sandalias blancas cruzadas</v>
      </c>
    </row>
    <row r="714" s="2" customFormat="1" ht="55" customHeight="1" spans="1:3">
      <c r="A714" s="5" t="s">
        <v>1432</v>
      </c>
      <c r="B714" s="6"/>
      <c r="C714" s="9" t="str">
        <f>IFERROR(VLOOKUP(VENTAS4[[#This Row],[Code]],STOCK[],5,FALSE),"-")</f>
        <v>Pantalón de viscosa y zíper</v>
      </c>
    </row>
    <row r="715" s="2" customFormat="1" ht="55" customHeight="1" spans="1:3">
      <c r="A715" s="5" t="s">
        <v>1434</v>
      </c>
      <c r="B715" s="6"/>
      <c r="C715" s="9" t="str">
        <f>IFERROR(VLOOKUP(VENTAS4[[#This Row],[Code]],STOCK[],5,FALSE),"-")</f>
        <v>Sandalias de velcro</v>
      </c>
    </row>
    <row r="716" s="2" customFormat="1" ht="55" customHeight="1" spans="1:3">
      <c r="A716" s="5" t="s">
        <v>1436</v>
      </c>
      <c r="B716" s="6"/>
      <c r="C716" s="9" t="str">
        <f>IFERROR(VLOOKUP(VENTAS4[[#This Row],[Code]],STOCK[],5,FALSE),"-")</f>
        <v>Sandalias de velcro</v>
      </c>
    </row>
    <row r="717" s="2" customFormat="1" ht="55" customHeight="1" spans="1:3">
      <c r="A717" s="5" t="s">
        <v>1437</v>
      </c>
      <c r="B717" s="6"/>
      <c r="C717" s="9" t="str">
        <f>IFERROR(VLOOKUP(VENTAS4[[#This Row],[Code]],STOCK[],5,FALSE),"-")</f>
        <v>Sandalias de velcro</v>
      </c>
    </row>
    <row r="718" s="2" customFormat="1" ht="55" customHeight="1" spans="1:3">
      <c r="A718" s="5" t="s">
        <v>1438</v>
      </c>
      <c r="B718" s="6"/>
      <c r="C718" s="9" t="str">
        <f>IFERROR(VLOOKUP(VENTAS4[[#This Row],[Code]],STOCK[],5,FALSE),"-")</f>
        <v>Sandalias negras acolchadas Marca F21</v>
      </c>
    </row>
    <row r="719" s="2" customFormat="1" ht="55" customHeight="1" spans="1:3">
      <c r="A719" s="5" t="s">
        <v>1441</v>
      </c>
      <c r="B719" s="6"/>
      <c r="C719" s="9" t="str">
        <f>IFERROR(VLOOKUP(VENTAS4[[#This Row],[Code]],STOCK[],5,FALSE),"-")</f>
        <v>Sandalias negras acolchadas</v>
      </c>
    </row>
    <row r="720" s="2" customFormat="1" ht="55" customHeight="1" spans="1:3">
      <c r="A720" s="5" t="s">
        <v>1443</v>
      </c>
      <c r="B720" s="6"/>
      <c r="C720" s="9" t="str">
        <f>IFERROR(VLOOKUP(VENTAS4[[#This Row],[Code]],STOCK[],5,FALSE),"-")</f>
        <v>Sandalias negras acolchadas</v>
      </c>
    </row>
    <row r="721" s="2" customFormat="1" ht="55" customHeight="1" spans="1:3">
      <c r="A721" s="5" t="s">
        <v>1444</v>
      </c>
      <c r="B721" s="6"/>
      <c r="C721" s="9" t="str">
        <f>IFERROR(VLOOKUP(VENTAS4[[#This Row],[Code]],STOCK[],5,FALSE),"-")</f>
        <v>Mocasín con herrajes</v>
      </c>
    </row>
    <row r="722" s="2" customFormat="1" ht="55" customHeight="1" spans="1:3">
      <c r="A722" s="5" t="s">
        <v>1446</v>
      </c>
      <c r="B722" s="6"/>
      <c r="C722" s="9" t="str">
        <f>IFERROR(VLOOKUP(VENTAS4[[#This Row],[Code]],STOCK[],5,FALSE),"-")</f>
        <v>Mocasín con herrajes</v>
      </c>
    </row>
    <row r="723" s="2" customFormat="1" ht="55" customHeight="1" spans="1:3">
      <c r="A723" s="5" t="s">
        <v>1447</v>
      </c>
      <c r="B723" s="6"/>
      <c r="C723" s="9" t="str">
        <f>IFERROR(VLOOKUP(VENTAS4[[#This Row],[Code]],STOCK[],5,FALSE),"-")</f>
        <v>Mocasín con herrajes</v>
      </c>
    </row>
    <row r="724" s="2" customFormat="1" ht="55" customHeight="1" spans="1:3">
      <c r="A724" s="5" t="s">
        <v>1448</v>
      </c>
      <c r="B724" s="6"/>
      <c r="C724" s="9" t="str">
        <f>IFERROR(VLOOKUP(VENTAS4[[#This Row],[Code]],STOCK[],5,FALSE),"-")</f>
        <v>Sandalias minimalistas de plataforma</v>
      </c>
    </row>
    <row r="725" s="2" customFormat="1" ht="55" customHeight="1" spans="1:3">
      <c r="A725" s="5" t="s">
        <v>1450</v>
      </c>
      <c r="B725" s="6"/>
      <c r="C725" s="9" t="str">
        <f>IFERROR(VLOOKUP(VENTAS4[[#This Row],[Code]],STOCK[],5,FALSE),"-")</f>
        <v>Sandalias minimalistas de plataforma</v>
      </c>
    </row>
    <row r="726" s="2" customFormat="1" ht="55" customHeight="1" spans="1:3">
      <c r="A726" s="5" t="s">
        <v>1452</v>
      </c>
      <c r="B726" s="6"/>
      <c r="C726" s="9" t="str">
        <f>IFERROR(VLOOKUP(VENTAS4[[#This Row],[Code]],STOCK[],5,FALSE),"-")</f>
        <v>Sandalias minimalistas de plataforma</v>
      </c>
    </row>
    <row r="727" s="2" customFormat="1" ht="55" customHeight="1" spans="1:3">
      <c r="A727" s="5" t="s">
        <v>1453</v>
      </c>
      <c r="B727" s="6"/>
      <c r="C727" s="9" t="str">
        <f>IFERROR(VLOOKUP(VENTAS4[[#This Row],[Code]],STOCK[],5,FALSE),"-")</f>
        <v>Vestido Orquídea de botones y tirantes de pétalos</v>
      </c>
    </row>
    <row r="728" s="2" customFormat="1" ht="55" customHeight="1" spans="1:3">
      <c r="A728" s="5" t="s">
        <v>1455</v>
      </c>
      <c r="B728" s="6"/>
      <c r="C728" s="9" t="str">
        <f>IFERROR(VLOOKUP(VENTAS4[[#This Row],[Code]],STOCK[],5,FALSE),"-")</f>
        <v>Vestido Orquídea de botones y tirantes de pétalos</v>
      </c>
    </row>
    <row r="729" s="2" customFormat="1" ht="55" customHeight="1" spans="1:3">
      <c r="A729" s="5" t="s">
        <v>1456</v>
      </c>
      <c r="B729" s="6"/>
      <c r="C729" s="9" t="str">
        <f>IFERROR(VLOOKUP(VENTAS4[[#This Row],[Code]],STOCK[],5,FALSE),"-")</f>
        <v>Vestido Orquídea de botones y tirantes de pétalos</v>
      </c>
    </row>
    <row r="730" s="2" customFormat="1" ht="55" customHeight="1" spans="1:3">
      <c r="A730" s="5" t="s">
        <v>1457</v>
      </c>
      <c r="B730" s="6"/>
      <c r="C730" s="9" t="str">
        <f>IFERROR(VLOOKUP(VENTAS4[[#This Row],[Code]],STOCK[],5,FALSE),"-")</f>
        <v>Pantalón alto de bajo elegante</v>
      </c>
    </row>
    <row r="731" s="2" customFormat="1" ht="55" customHeight="1" spans="1:3">
      <c r="A731" s="5" t="s">
        <v>1459</v>
      </c>
      <c r="B731" s="6"/>
      <c r="C731" s="9" t="str">
        <f>IFERROR(VLOOKUP(VENTAS4[[#This Row],[Code]],STOCK[],5,FALSE),"-")</f>
        <v>Pantalón alto de bajo elegante</v>
      </c>
    </row>
    <row r="732" s="2" customFormat="1" ht="55" customHeight="1" spans="1:3">
      <c r="A732" s="5" t="s">
        <v>1460</v>
      </c>
      <c r="B732" s="6"/>
      <c r="C732" s="9" t="str">
        <f>IFERROR(VLOOKUP(VENTAS4[[#This Row],[Code]],STOCK[],5,FALSE),"-")</f>
        <v>Pantalón alto de bajo elegante</v>
      </c>
    </row>
    <row r="733" s="2" customFormat="1" ht="55" customHeight="1" spans="1:3">
      <c r="A733" s="5" t="s">
        <v>1461</v>
      </c>
      <c r="B733" s="6"/>
      <c r="C733" s="9" t="str">
        <f>IFERROR(VLOOKUP(VENTAS4[[#This Row],[Code]],STOCK[],5,FALSE),"-")</f>
        <v>Pantalón alto de bajo elegante</v>
      </c>
    </row>
    <row r="734" s="2" customFormat="1" ht="55" customHeight="1" spans="1:3">
      <c r="A734" s="5" t="s">
        <v>1462</v>
      </c>
      <c r="B734" s="6"/>
      <c r="C734" s="9" t="str">
        <f>IFERROR(VLOOKUP(VENTAS4[[#This Row],[Code]],STOCK[],5,FALSE),"-")</f>
        <v>Pantalón cargo verde </v>
      </c>
    </row>
    <row r="735" s="2" customFormat="1" ht="55" customHeight="1" spans="1:3">
      <c r="A735" s="5" t="s">
        <v>1464</v>
      </c>
      <c r="B735" s="6"/>
      <c r="C735" s="9" t="str">
        <f>IFERROR(VLOOKUP(VENTAS4[[#This Row],[Code]],STOCK[],5,FALSE),"-")</f>
        <v>Bermuda negra denim</v>
      </c>
    </row>
    <row r="736" s="2" customFormat="1" ht="55" customHeight="1" spans="1:3">
      <c r="A736" s="5" t="s">
        <v>1467</v>
      </c>
      <c r="B736" s="6"/>
      <c r="C736" s="9" t="str">
        <f>IFERROR(VLOOKUP(VENTAS4[[#This Row],[Code]],STOCK[],5,FALSE),"-")</f>
        <v>Sandalias de tacón triangular</v>
      </c>
    </row>
    <row r="737" s="2" customFormat="1" ht="55" customHeight="1" spans="1:3">
      <c r="A737" s="5" t="s">
        <v>1471</v>
      </c>
      <c r="B737" s="6"/>
      <c r="C737" s="9" t="str">
        <f>IFERROR(VLOOKUP(VENTAS4[[#This Row],[Code]],STOCK[],5,FALSE),"-")</f>
        <v>Camiseta Dazy Negro</v>
      </c>
    </row>
    <row r="738" s="2" customFormat="1" ht="55" customHeight="1" spans="1:3">
      <c r="A738" s="5" t="s">
        <v>1473</v>
      </c>
      <c r="B738" s="6"/>
      <c r="C738" s="9" t="str">
        <f>IFERROR(VLOOKUP(VENTAS4[[#This Row],[Code]],STOCK[],5,FALSE),"-")</f>
        <v>Vestido Dazy con abertura</v>
      </c>
    </row>
    <row r="739" s="2" customFormat="1" ht="55" customHeight="1" spans="1:3">
      <c r="A739" s="5" t="s">
        <v>1475</v>
      </c>
      <c r="B739" s="6"/>
      <c r="C739" s="9" t="str">
        <f>IFERROR(VLOOKUP(VENTAS4[[#This Row],[Code]],STOCK[],5,FALSE),"-")</f>
        <v>Camiseta Dazy Blanco</v>
      </c>
    </row>
    <row r="740" s="2" customFormat="1" ht="55" customHeight="1" spans="1:3">
      <c r="A740" s="5" t="s">
        <v>1477</v>
      </c>
      <c r="B740" s="6"/>
      <c r="C740" s="9" t="str">
        <f>IFERROR(VLOOKUP(VENTAS4[[#This Row],[Code]],STOCK[],5,FALSE),"-")</f>
        <v>Pantalón negro acampanado</v>
      </c>
    </row>
    <row r="741" s="2" customFormat="1" ht="55" customHeight="1" spans="1:3">
      <c r="A741" s="5" t="s">
        <v>1479</v>
      </c>
      <c r="B741" s="6"/>
      <c r="C741" s="9" t="str">
        <f>IFERROR(VLOOKUP(VENTAS4[[#This Row],[Code]],STOCK[],5,FALSE),"-")</f>
        <v>Botas negras de zíper</v>
      </c>
    </row>
    <row r="742" s="2" customFormat="1" ht="55" customHeight="1" spans="1:3">
      <c r="A742" s="5" t="s">
        <v>1483</v>
      </c>
      <c r="B742" s="6"/>
      <c r="C742" s="9" t="str">
        <f>IFERROR(VLOOKUP(VENTAS4[[#This Row],[Code]],STOCK[],5,FALSE),"-")</f>
        <v>Sandalias de tacón fino</v>
      </c>
    </row>
    <row r="743" s="2" customFormat="1" ht="55" customHeight="1" spans="1:3">
      <c r="A743" s="5" t="s">
        <v>1485</v>
      </c>
      <c r="B743" s="6"/>
      <c r="C743" s="9" t="str">
        <f>IFERROR(VLOOKUP(VENTAS4[[#This Row],[Code]],STOCK[],5,FALSE),"-")</f>
        <v>Vestido Camisero flores</v>
      </c>
    </row>
    <row r="744" s="2" customFormat="1" ht="55" customHeight="1" spans="1:3">
      <c r="A744" s="5" t="s">
        <v>1487</v>
      </c>
      <c r="B744" s="6"/>
      <c r="C744" s="9" t="str">
        <f>IFERROR(VLOOKUP(VENTAS4[[#This Row],[Code]],STOCK[],5,FALSE),"-")</f>
        <v>Falda satinada negra línea A </v>
      </c>
    </row>
    <row r="745" s="2" customFormat="1" ht="55" customHeight="1" spans="1:3">
      <c r="A745" s="5" t="s">
        <v>1489</v>
      </c>
      <c r="B745" s="6"/>
      <c r="C745" s="9" t="str">
        <f>IFERROR(VLOOKUP(VENTAS4[[#This Row],[Code]],STOCK[],5,FALSE),"-")</f>
        <v>Pullover cuello redondo</v>
      </c>
    </row>
    <row r="746" s="2" customFormat="1" ht="55" customHeight="1" spans="1:3">
      <c r="A746" s="5" t="s">
        <v>1491</v>
      </c>
      <c r="B746" s="6"/>
      <c r="C746" s="9" t="str">
        <f>IFERROR(VLOOKUP(VENTAS4[[#This Row],[Code]],STOCK[],5,FALSE),"-")</f>
        <v>Blusa corta Blanca bordada Girasol</v>
      </c>
    </row>
    <row r="747" s="2" customFormat="1" ht="55" customHeight="1" spans="1:3">
      <c r="A747" s="5" t="s">
        <v>1493</v>
      </c>
      <c r="B747" s="6"/>
      <c r="C747" s="9" t="str">
        <f>IFERROR(VLOOKUP(VENTAS4[[#This Row],[Code]],STOCK[],5,FALSE),"-")</f>
        <v>Sandalias Albaricoque</v>
      </c>
    </row>
    <row r="748" s="2" customFormat="1" ht="55" customHeight="1" spans="1:3">
      <c r="A748" s="5" t="s">
        <v>1495</v>
      </c>
      <c r="B748" s="6"/>
      <c r="C748" s="9" t="str">
        <f>IFERROR(VLOOKUP(VENTAS4[[#This Row],[Code]],STOCK[],5,FALSE),"-")</f>
        <v>Zapato de Tacón Cuadrado</v>
      </c>
    </row>
    <row r="749" s="2" customFormat="1" ht="55" customHeight="1" spans="1:3">
      <c r="A749" s="5"/>
      <c r="B749" s="6"/>
      <c r="C749" s="9" t="str">
        <f>IFERROR(VLOOKUP(VENTAS4[[#This Row],[Code]],STOCK[],5,FALSE),"-")</f>
        <v>-</v>
      </c>
    </row>
    <row r="750" s="2" customFormat="1" ht="55" customHeight="1" spans="1:3">
      <c r="A750" s="5" t="s">
        <v>1497</v>
      </c>
      <c r="B750" s="6"/>
      <c r="C750" s="9" t="str">
        <f>IFERROR(VLOOKUP(VENTAS4[[#This Row],[Code]],STOCK[],5,FALSE),"-")</f>
        <v>Pullover Dazy cuello redondo Negro</v>
      </c>
    </row>
    <row r="751" s="2" customFormat="1" ht="55" customHeight="1" spans="1:3">
      <c r="A751" s="5" t="s">
        <v>1499</v>
      </c>
      <c r="B751" s="6"/>
      <c r="C751" s="9" t="str">
        <f>IFERROR(VLOOKUP(VENTAS4[[#This Row],[Code]],STOCK[],5,FALSE),"-")</f>
        <v>Camiseta Dazy Blanco</v>
      </c>
    </row>
    <row r="752" s="2" customFormat="1" ht="55" customHeight="1" spans="1:3">
      <c r="A752" s="5" t="s">
        <v>1500</v>
      </c>
      <c r="B752" s="6"/>
      <c r="C752" s="9" t="str">
        <f>IFERROR(VLOOKUP(VENTAS4[[#This Row],[Code]],STOCK[],5,FALSE),"-")</f>
        <v>Chaleco blanco botones</v>
      </c>
    </row>
    <row r="753" s="2" customFormat="1" ht="55" customHeight="1" spans="1:3">
      <c r="A753" s="5" t="s">
        <v>1502</v>
      </c>
      <c r="B753" s="6"/>
      <c r="C753" s="9" t="str">
        <f>IFERROR(VLOOKUP(VENTAS4[[#This Row],[Code]],STOCK[],5,FALSE),"-")</f>
        <v>Botas negras de zíper</v>
      </c>
    </row>
    <row r="754" s="2" customFormat="1" ht="55" customHeight="1" spans="1:3">
      <c r="A754" s="5" t="s">
        <v>1503</v>
      </c>
      <c r="B754" s="6"/>
      <c r="C754" s="9" t="str">
        <f>IFERROR(VLOOKUP(VENTAS4[[#This Row],[Code]],STOCK[],5,FALSE),"-")</f>
        <v>Pullover Dazy cuello redondo Blanco</v>
      </c>
    </row>
    <row r="755" s="2" customFormat="1" ht="55" customHeight="1" spans="1:3">
      <c r="A755" s="5" t="s">
        <v>1504</v>
      </c>
      <c r="B755" s="6"/>
      <c r="C755" s="9" t="str">
        <f>IFERROR(VLOOKUP(VENTAS4[[#This Row],[Code]],STOCK[],5,FALSE),"-")</f>
        <v>Vestido Frenchy Ajustado</v>
      </c>
    </row>
    <row r="756" s="2" customFormat="1" ht="55" customHeight="1" spans="1:3">
      <c r="A756" s="5" t="s">
        <v>1506</v>
      </c>
      <c r="B756" s="6"/>
      <c r="C756" s="9" t="str">
        <f>IFERROR(VLOOKUP(VENTAS4[[#This Row],[Code]],STOCK[],5,FALSE),"-")</f>
        <v>Camiseta Dazy Blanco</v>
      </c>
    </row>
    <row r="757" s="2" customFormat="1" ht="55" customHeight="1" spans="1:3">
      <c r="A757" s="5" t="s">
        <v>1507</v>
      </c>
      <c r="B757" s="6"/>
      <c r="C757" s="9" t="str">
        <f>IFERROR(VLOOKUP(VENTAS4[[#This Row],[Code]],STOCK[],5,FALSE),"-")</f>
        <v>Pantalón acampanado Blanco</v>
      </c>
    </row>
    <row r="758" s="2" customFormat="1" ht="55" customHeight="1" spans="1:3">
      <c r="A758" s="5" t="s">
        <v>1509</v>
      </c>
      <c r="B758" s="6"/>
      <c r="C758" s="9" t="str">
        <f>IFERROR(VLOOKUP(VENTAS4[[#This Row],[Code]],STOCK[],5,FALSE),"-")</f>
        <v>Pantalón acampanado Blanco</v>
      </c>
    </row>
    <row r="759" s="2" customFormat="1" ht="55" customHeight="1" spans="1:3">
      <c r="A759" s="5" t="s">
        <v>1510</v>
      </c>
      <c r="B759" s="6"/>
      <c r="C759" s="9" t="str">
        <f>IFERROR(VLOOKUP(VENTAS4[[#This Row],[Code]],STOCK[],5,FALSE),"-")</f>
        <v>Pantalón Negro Acampanado</v>
      </c>
    </row>
    <row r="760" s="2" customFormat="1" ht="55" customHeight="1" spans="1:3">
      <c r="A760" s="5" t="s">
        <v>1512</v>
      </c>
      <c r="B760" s="6"/>
      <c r="C760" s="9" t="str">
        <f>IFERROR(VLOOKUP(VENTAS4[[#This Row],[Code]],STOCK[],5,FALSE),"-")</f>
        <v>Top bustier corset de encaje</v>
      </c>
    </row>
    <row r="761" s="2" customFormat="1" ht="55" customHeight="1" spans="1:3">
      <c r="A761" s="5" t="s">
        <v>1515</v>
      </c>
      <c r="B761" s="6"/>
      <c r="C761" s="9" t="str">
        <f>IFERROR(VLOOKUP(VENTAS4[[#This Row],[Code]],STOCK[],5,FALSE),"-")</f>
        <v>Camiseta Dazy Negro</v>
      </c>
    </row>
    <row r="762" s="2" customFormat="1" ht="55" customHeight="1" spans="1:3">
      <c r="A762" s="5" t="s">
        <v>1516</v>
      </c>
      <c r="B762" s="6"/>
      <c r="C762" s="9" t="str">
        <f>IFERROR(VLOOKUP(VENTAS4[[#This Row],[Code]],STOCK[],5,FALSE),"-")</f>
        <v>Chaleco de traje</v>
      </c>
    </row>
    <row r="763" s="2" customFormat="1" ht="55" customHeight="1" spans="1:3">
      <c r="A763" s="5" t="s">
        <v>1518</v>
      </c>
      <c r="B763" s="6"/>
      <c r="C763" s="9" t="str">
        <f>IFERROR(VLOOKUP(VENTAS4[[#This Row],[Code]],STOCK[],5,FALSE),"-")</f>
        <v>Chaleco de traje</v>
      </c>
    </row>
    <row r="764" s="2" customFormat="1" ht="55" customHeight="1" spans="1:3">
      <c r="A764" s="5" t="s">
        <v>1519</v>
      </c>
      <c r="B764" s="6"/>
      <c r="C764" s="9" t="str">
        <f>IFERROR(VLOOKUP(VENTAS4[[#This Row],[Code]],STOCK[],5,FALSE),"-")</f>
        <v>Saya de Mezclilla a la Cintura</v>
      </c>
    </row>
    <row r="765" s="2" customFormat="1" ht="55" customHeight="1" spans="1:3">
      <c r="A765" s="5" t="s">
        <v>1521</v>
      </c>
      <c r="B765" s="6"/>
      <c r="C765" s="9" t="str">
        <f>IFERROR(VLOOKUP(VENTAS4[[#This Row],[Code]],STOCK[],5,FALSE),"-")</f>
        <v>Sandalias Albaricoque</v>
      </c>
    </row>
    <row r="766" s="2" customFormat="1" ht="55" customHeight="1" spans="1:3">
      <c r="A766" s="5" t="s">
        <v>1522</v>
      </c>
      <c r="B766" s="6"/>
      <c r="C766" s="9" t="str">
        <f>IFERROR(VLOOKUP(VENTAS4[[#This Row],[Code]],STOCK[],5,FALSE),"-")</f>
        <v>Zapato de punta fina y Tacón Cuadrado</v>
      </c>
    </row>
    <row r="767" s="2" customFormat="1" ht="55" customHeight="1" spans="1:3">
      <c r="A767" s="5" t="s">
        <v>1524</v>
      </c>
      <c r="B767" s="6"/>
      <c r="C767" s="9" t="str">
        <f>IFERROR(VLOOKUP(VENTAS4[[#This Row],[Code]],STOCK[],5,FALSE),"-")</f>
        <v>Vestido Dazy con abertura</v>
      </c>
    </row>
    <row r="768" s="2" customFormat="1" ht="55" customHeight="1" spans="1:3">
      <c r="A768" s="5" t="s">
        <v>1525</v>
      </c>
      <c r="B768" s="6"/>
      <c r="C768" s="9" t="str">
        <f>IFERROR(VLOOKUP(VENTAS4[[#This Row],[Code]],STOCK[],5,FALSE),"-")</f>
        <v>Top Bustier encaje</v>
      </c>
    </row>
    <row r="769" s="2" customFormat="1" ht="55" customHeight="1" spans="1:3">
      <c r="A769" s="5" t="s">
        <v>1527</v>
      </c>
      <c r="B769" s="6"/>
      <c r="C769" s="9" t="str">
        <f>IFERROR(VLOOKUP(VENTAS4[[#This Row],[Code]],STOCK[],5,FALSE),"-")</f>
        <v>Sandalias de tacón fino</v>
      </c>
    </row>
    <row r="770" s="2" customFormat="1" ht="55" customHeight="1" spans="1:3">
      <c r="A770" s="5" t="s">
        <v>1528</v>
      </c>
      <c r="B770" s="6"/>
      <c r="C770" s="9" t="str">
        <f>IFERROR(VLOOKUP(VENTAS4[[#This Row],[Code]],STOCK[],5,FALSE),"-")</f>
        <v>Vestido Camisero flores</v>
      </c>
    </row>
    <row r="771" s="2" customFormat="1" ht="55" customHeight="1" spans="1:3">
      <c r="A771" s="5" t="s">
        <v>1529</v>
      </c>
      <c r="B771" s="6"/>
      <c r="C771" s="9" t="str">
        <f>IFERROR(VLOOKUP(VENTAS4[[#This Row],[Code]],STOCK[],5,FALSE),"-")</f>
        <v>Bolso de Mimbre</v>
      </c>
    </row>
    <row r="772" s="2" customFormat="1" ht="55" customHeight="1" spans="1:3">
      <c r="A772" s="5" t="s">
        <v>1533</v>
      </c>
      <c r="B772" s="6"/>
      <c r="C772" s="9" t="str">
        <f>IFERROR(VLOOKUP(VENTAS4[[#This Row],[Code]],STOCK[],5,FALSE),"-")</f>
        <v>Top de encaje</v>
      </c>
    </row>
    <row r="773" s="2" customFormat="1" ht="55" customHeight="1" spans="1:3">
      <c r="A773" s="5" t="s">
        <v>1535</v>
      </c>
      <c r="B773" s="6"/>
      <c r="C773" s="9" t="str">
        <f>IFERROR(VLOOKUP(VENTAS4[[#This Row],[Code]],STOCK[],5,FALSE),"-")</f>
        <v>Botas negras de zíper</v>
      </c>
    </row>
    <row r="774" s="2" customFormat="1" ht="55" customHeight="1" spans="1:3">
      <c r="A774" s="5" t="s">
        <v>1536</v>
      </c>
      <c r="B774" s="6"/>
      <c r="C774" s="9" t="str">
        <f>IFERROR(VLOOKUP(VENTAS4[[#This Row],[Code]],STOCK[],5,FALSE),"-")</f>
        <v>Falda de mezclilla negra a la cintura</v>
      </c>
    </row>
    <row r="775" s="2" customFormat="1" ht="55" customHeight="1" spans="1:3">
      <c r="A775" s="5" t="s">
        <v>1538</v>
      </c>
      <c r="B775" s="6"/>
      <c r="C775" s="9" t="str">
        <f>IFERROR(VLOOKUP(VENTAS4[[#This Row],[Code]],STOCK[],5,FALSE),"-")</f>
        <v>Gafas de sol Dama</v>
      </c>
    </row>
    <row r="776" s="2" customFormat="1" ht="55" customHeight="1" spans="1:3">
      <c r="A776" s="5" t="s">
        <v>1540</v>
      </c>
      <c r="B776" s="6"/>
      <c r="C776" s="9" t="str">
        <f>IFERROR(VLOOKUP(VENTAS4[[#This Row],[Code]],STOCK[],5,FALSE),"-")</f>
        <v>Gafas de Sol </v>
      </c>
    </row>
    <row r="777" s="2" customFormat="1" ht="55" customHeight="1" spans="1:3">
      <c r="A777" s="5" t="s">
        <v>1542</v>
      </c>
      <c r="B777" s="6"/>
      <c r="C777" s="9" t="str">
        <f>IFERROR(VLOOKUP(VENTAS4[[#This Row],[Code]],STOCK[],5,FALSE),"-")</f>
        <v>Lentes de Sol</v>
      </c>
    </row>
    <row r="778" s="2" customFormat="1" ht="55" customHeight="1" spans="1:3">
      <c r="A778" s="5" t="s">
        <v>1544</v>
      </c>
      <c r="B778" s="6"/>
      <c r="C778" s="9" t="str">
        <f>IFERROR(VLOOKUP(VENTAS4[[#This Row],[Code]],STOCK[],5,FALSE),"-")</f>
        <v>Gafas de sol Dama</v>
      </c>
    </row>
    <row r="779" s="2" customFormat="1" ht="55" customHeight="1" spans="1:3">
      <c r="A779" s="5" t="s">
        <v>1546</v>
      </c>
      <c r="B779" s="6"/>
      <c r="C779" s="9" t="str">
        <f>IFERROR(VLOOKUP(VENTAS4[[#This Row],[Code]],STOCK[],5,FALSE),"-")</f>
        <v>Limpia botellas</v>
      </c>
    </row>
    <row r="780" s="2" customFormat="1" ht="55" customHeight="1" spans="1:3">
      <c r="A780" s="5" t="s">
        <v>1549</v>
      </c>
      <c r="B780" s="6"/>
      <c r="C780" s="9" t="str">
        <f>IFERROR(VLOOKUP(VENTAS4[[#This Row],[Code]],STOCK[],5,FALSE),"-")</f>
        <v>Batidor</v>
      </c>
    </row>
    <row r="781" s="2" customFormat="1" ht="55" customHeight="1" spans="1:3">
      <c r="A781" s="5" t="s">
        <v>1551</v>
      </c>
      <c r="B781" s="6"/>
      <c r="C781" s="9" t="str">
        <f>IFERROR(VLOOKUP(VENTAS4[[#This Row],[Code]],STOCK[],5,FALSE),"-")</f>
        <v>Mocasín de punta fina Marca H&amp;M</v>
      </c>
    </row>
    <row r="782" s="2" customFormat="1" ht="55" customHeight="1" spans="1:3">
      <c r="A782" s="5" t="s">
        <v>1554</v>
      </c>
      <c r="B782" s="6"/>
      <c r="C782" s="9" t="str">
        <f>IFERROR(VLOOKUP(VENTAS4[[#This Row],[Code]],STOCK[],5,FALSE),"-")</f>
        <v>Botas Chalsesa</v>
      </c>
    </row>
    <row r="783" s="2" customFormat="1" ht="55" customHeight="1" spans="1:3">
      <c r="A783" s="5" t="s">
        <v>1556</v>
      </c>
      <c r="B783" s="6"/>
      <c r="C783" s="9" t="str">
        <f>IFERROR(VLOOKUP(VENTAS4[[#This Row],[Code]],STOCK[],5,FALSE),"-")</f>
        <v>Blusa corta abombada</v>
      </c>
    </row>
    <row r="784" s="2" customFormat="1" ht="55" customHeight="1" spans="1:3">
      <c r="A784" s="5" t="s">
        <v>1558</v>
      </c>
      <c r="B784" s="6"/>
      <c r="C784" s="9" t="str">
        <f>IFERROR(VLOOKUP(VENTAS4[[#This Row],[Code]],STOCK[],5,FALSE),"-")</f>
        <v>Pantalón recto de traje de pata ancha H&amp;M</v>
      </c>
    </row>
    <row r="785" s="2" customFormat="1" ht="55" customHeight="1" spans="1:3">
      <c r="A785" s="5" t="s">
        <v>1560</v>
      </c>
      <c r="B785" s="6"/>
      <c r="C785" s="9" t="str">
        <f>IFERROR(VLOOKUP(VENTAS4[[#This Row],[Code]],STOCK[],5,FALSE),"-")</f>
        <v>Vestido negro ajustado estilo corset</v>
      </c>
    </row>
    <row r="786" s="2" customFormat="1" ht="55" customHeight="1" spans="1:3">
      <c r="A786" s="5" t="s">
        <v>1562</v>
      </c>
      <c r="B786" s="6"/>
      <c r="C786" s="9" t="str">
        <f>IFERROR(VLOOKUP(VENTAS4[[#This Row],[Code]],STOCK[],5,FALSE),"-")</f>
        <v>Jean skinny de cintura alta y bajo descosido</v>
      </c>
    </row>
    <row r="787" s="2" customFormat="1" ht="55" customHeight="1" spans="1:3">
      <c r="A787" s="5" t="s">
        <v>1564</v>
      </c>
      <c r="B787" s="6"/>
      <c r="C787" s="9" t="str">
        <f>IFERROR(VLOOKUP(VENTAS4[[#This Row],[Code]],STOCK[],5,FALSE),"-")</f>
        <v>Leggins bikers</v>
      </c>
    </row>
    <row r="788" s="2" customFormat="1" ht="55" customHeight="1" spans="1:3">
      <c r="A788" s="5" t="s">
        <v>1566</v>
      </c>
      <c r="B788" s="6"/>
      <c r="C788" s="9" t="str">
        <f>IFERROR(VLOOKUP(VENTAS4[[#This Row],[Code]],STOCK[],5,FALSE),"-")</f>
        <v>Blazer azul Rey</v>
      </c>
    </row>
    <row r="789" s="2" customFormat="1" ht="55" customHeight="1" spans="1:3">
      <c r="A789" s="5" t="s">
        <v>1568</v>
      </c>
      <c r="B789" s="6"/>
      <c r="C789" s="9" t="str">
        <f>IFERROR(VLOOKUP(VENTAS4[[#This Row],[Code]],STOCK[],5,FALSE),"-")</f>
        <v>Sandalias de tiras</v>
      </c>
    </row>
    <row r="790" s="2" customFormat="1" ht="55" customHeight="1" spans="1:3">
      <c r="A790" s="5" t="s">
        <v>1571</v>
      </c>
      <c r="B790" s="6"/>
      <c r="C790" s="9" t="str">
        <f>IFERROR(VLOOKUP(VENTAS4[[#This Row],[Code]],STOCK[],5,FALSE),"-")</f>
        <v>Sandalias de tiras</v>
      </c>
    </row>
    <row r="791" s="2" customFormat="1" ht="55" customHeight="1" spans="1:3">
      <c r="A791" s="5" t="s">
        <v>1573</v>
      </c>
      <c r="B791" s="6"/>
      <c r="C791" s="9" t="str">
        <f>IFERROR(VLOOKUP(VENTAS4[[#This Row],[Code]],STOCK[],5,FALSE),"-")</f>
        <v>Sandalias de nudos</v>
      </c>
    </row>
    <row r="792" s="2" customFormat="1" ht="55" customHeight="1" spans="1:3">
      <c r="A792" s="5" t="s">
        <v>1577</v>
      </c>
      <c r="B792" s="6"/>
      <c r="C792" s="9" t="str">
        <f>IFERROR(VLOOKUP(VENTAS4[[#This Row],[Code]],STOCK[],5,FALSE),"-")</f>
        <v>Sandalias de nudos</v>
      </c>
    </row>
    <row r="793" s="2" customFormat="1" ht="55" customHeight="1" spans="1:3">
      <c r="A793" s="5" t="s">
        <v>1578</v>
      </c>
      <c r="B793" s="6"/>
      <c r="C793" s="9" t="str">
        <f>IFERROR(VLOOKUP(VENTAS4[[#This Row],[Code]],STOCK[],5,FALSE),"-")</f>
        <v>Sandalias Pop </v>
      </c>
    </row>
    <row r="794" s="2" customFormat="1" ht="55" customHeight="1" spans="1:3">
      <c r="A794" s="5" t="s">
        <v>1580</v>
      </c>
      <c r="B794" s="6"/>
      <c r="C794" s="9" t="str">
        <f>IFERROR(VLOOKUP(VENTAS4[[#This Row],[Code]],STOCK[],5,FALSE),"-")</f>
        <v>Sandalias Pop</v>
      </c>
    </row>
    <row r="795" s="2" customFormat="1" ht="55" customHeight="1" spans="1:3">
      <c r="A795" s="5" t="s">
        <v>1582</v>
      </c>
      <c r="B795" s="6"/>
      <c r="C795" s="9" t="str">
        <f>IFERROR(VLOOKUP(VENTAS4[[#This Row],[Code]],STOCK[],5,FALSE),"-")</f>
        <v>Sandalias de hebilla</v>
      </c>
    </row>
    <row r="796" s="2" customFormat="1" ht="55" customHeight="1" spans="1:3">
      <c r="A796" s="5" t="s">
        <v>1584</v>
      </c>
      <c r="B796" s="6"/>
      <c r="C796" s="9" t="str">
        <f>IFERROR(VLOOKUP(VENTAS4[[#This Row],[Code]],STOCK[],5,FALSE),"-")</f>
        <v>Sandalias de hebilla</v>
      </c>
    </row>
    <row r="797" s="2" customFormat="1" ht="55" customHeight="1" spans="1:3">
      <c r="A797" s="5" t="s">
        <v>1585</v>
      </c>
      <c r="B797" s="6"/>
      <c r="C797" s="9" t="str">
        <f>IFERROR(VLOOKUP(VENTAS4[[#This Row],[Code]],STOCK[],5,FALSE),"-")</f>
        <v>Sandalias flip de plataforma Rosadas Marca F21</v>
      </c>
    </row>
    <row r="798" s="2" customFormat="1" ht="55" customHeight="1" spans="1:3">
      <c r="A798" s="5" t="s">
        <v>1588</v>
      </c>
      <c r="B798" s="6"/>
      <c r="C798" s="9" t="str">
        <f>IFERROR(VLOOKUP(VENTAS4[[#This Row],[Code]],STOCK[],5,FALSE),"-")</f>
        <v>Sandalias flip de plataforma Naranja Marca F21</v>
      </c>
    </row>
    <row r="799" s="2" customFormat="1" ht="55" customHeight="1" spans="1:3">
      <c r="A799" s="5" t="s">
        <v>1591</v>
      </c>
      <c r="B799" s="6"/>
      <c r="C799" s="9" t="str">
        <f>IFERROR(VLOOKUP(VENTAS4[[#This Row],[Code]],STOCK[],5,FALSE),"-")</f>
        <v>Sandalias flip de plataforma Naranja Marca F21</v>
      </c>
    </row>
    <row r="800" s="2" customFormat="1" ht="55" customHeight="1" spans="1:3">
      <c r="A800" s="5" t="s">
        <v>1593</v>
      </c>
      <c r="B800" s="6"/>
      <c r="C800" s="9" t="str">
        <f>IFERROR(VLOOKUP(VENTAS4[[#This Row],[Code]],STOCK[],5,FALSE),"-")</f>
        <v>Sandalias flip de plataforma Negro</v>
      </c>
    </row>
    <row r="801" s="2" customFormat="1" ht="55" customHeight="1" spans="1:3">
      <c r="A801" s="5" t="s">
        <v>1595</v>
      </c>
      <c r="B801" s="6"/>
      <c r="C801" s="9" t="str">
        <f>IFERROR(VLOOKUP(VENTAS4[[#This Row],[Code]],STOCK[],5,FALSE),"-")</f>
        <v>Sandalias flip de plataforma</v>
      </c>
    </row>
    <row r="802" s="2" customFormat="1" ht="55" customHeight="1" spans="1:3">
      <c r="A802" s="5" t="s">
        <v>1597</v>
      </c>
      <c r="B802" s="6"/>
      <c r="C802" s="9" t="str">
        <f>IFERROR(VLOOKUP(VENTAS4[[#This Row],[Code]],STOCK[],5,FALSE),"-")</f>
        <v>Cardigan classy</v>
      </c>
    </row>
    <row r="803" s="2" customFormat="1" ht="55" customHeight="1" spans="1:3">
      <c r="A803" s="5" t="s">
        <v>1601</v>
      </c>
      <c r="B803" s="6"/>
      <c r="C803" s="9" t="str">
        <f>IFERROR(VLOOKUP(VENTAS4[[#This Row],[Code]],STOCK[],5,FALSE),"-")</f>
        <v>Sandalias minimalistas de tacón</v>
      </c>
    </row>
    <row r="804" s="2" customFormat="1" ht="55" customHeight="1" spans="1:3">
      <c r="A804" s="5" t="s">
        <v>1603</v>
      </c>
      <c r="B804" s="6"/>
      <c r="C804" s="9" t="str">
        <f>IFERROR(VLOOKUP(VENTAS4[[#This Row],[Code]],STOCK[],5,FALSE),"-")</f>
        <v>Sandalias minimalistas de tacón</v>
      </c>
    </row>
    <row r="805" s="2" customFormat="1" ht="55" customHeight="1" spans="1:3">
      <c r="A805" s="5" t="s">
        <v>1604</v>
      </c>
      <c r="B805" s="6"/>
      <c r="C805" s="9" t="str">
        <f>IFERROR(VLOOKUP(VENTAS4[[#This Row],[Code]],STOCK[],5,FALSE),"-")</f>
        <v>Vestido camisa modely</v>
      </c>
    </row>
    <row r="806" s="2" customFormat="1" ht="55" customHeight="1" spans="1:3">
      <c r="A806" s="5" t="s">
        <v>1606</v>
      </c>
      <c r="B806" s="6"/>
      <c r="C806" s="9" t="str">
        <f>IFERROR(VLOOKUP(VENTAS4[[#This Row],[Code]],STOCK[],5,FALSE),"-")</f>
        <v>Vestido camisa modely</v>
      </c>
    </row>
    <row r="807" s="2" customFormat="1" ht="55" customHeight="1" spans="1:3">
      <c r="A807" s="5" t="s">
        <v>1607</v>
      </c>
      <c r="B807" s="6"/>
      <c r="C807" s="9" t="str">
        <f>IFERROR(VLOOKUP(VENTAS4[[#This Row],[Code]],STOCK[],5,FALSE),"-")</f>
        <v>Vestido camisero con estampado floral </v>
      </c>
    </row>
    <row r="808" s="2" customFormat="1" ht="55" customHeight="1" spans="1:3">
      <c r="A808" s="5" t="s">
        <v>1610</v>
      </c>
      <c r="B808" s="6"/>
      <c r="C808" s="9" t="str">
        <f>IFERROR(VLOOKUP(VENTAS4[[#This Row],[Code]],STOCK[],5,FALSE),"-")</f>
        <v>Camisa Modely</v>
      </c>
    </row>
    <row r="809" s="2" customFormat="1" ht="55" customHeight="1" spans="1:3">
      <c r="A809" s="5" t="s">
        <v>1612</v>
      </c>
      <c r="B809" s="6"/>
      <c r="C809" s="9" t="str">
        <f>IFERROR(VLOOKUP(VENTAS4[[#This Row],[Code]],STOCK[],5,FALSE),"-")</f>
        <v>Camisa Modely</v>
      </c>
    </row>
    <row r="810" s="2" customFormat="1" ht="55" customHeight="1" spans="1:3">
      <c r="A810" s="5" t="s">
        <v>1613</v>
      </c>
      <c r="B810" s="6"/>
      <c r="C810" s="9" t="str">
        <f>IFERROR(VLOOKUP(VENTAS4[[#This Row],[Code]],STOCK[],5,FALSE),"-")</f>
        <v>Camisa Modely</v>
      </c>
    </row>
    <row r="811" s="2" customFormat="1" ht="55" customHeight="1" spans="1:3">
      <c r="A811" s="5" t="s">
        <v>1614</v>
      </c>
      <c r="B811" s="6"/>
      <c r="C811" s="9" t="str">
        <f>IFERROR(VLOOKUP(VENTAS4[[#This Row],[Code]],STOCK[],5,FALSE),"-")</f>
        <v>Vestido largo estampado</v>
      </c>
    </row>
    <row r="812" s="2" customFormat="1" ht="55" customHeight="1" spans="1:3">
      <c r="A812" s="5" t="s">
        <v>1616</v>
      </c>
      <c r="B812" s="6"/>
      <c r="C812" s="9" t="str">
        <f>IFERROR(VLOOKUP(VENTAS4[[#This Row],[Code]],STOCK[],5,FALSE),"-")</f>
        <v>Vestido largo estampado</v>
      </c>
    </row>
    <row r="813" s="2" customFormat="1" ht="55" customHeight="1" spans="1:3">
      <c r="A813" s="5" t="s">
        <v>1617</v>
      </c>
      <c r="B813" s="6"/>
      <c r="C813" s="9" t="str">
        <f>IFERROR(VLOOKUP(VENTAS4[[#This Row],[Code]],STOCK[],5,FALSE),"-")</f>
        <v>Vestido Becka</v>
      </c>
    </row>
    <row r="814" s="2" customFormat="1" ht="55" customHeight="1" spans="1:3">
      <c r="A814" s="5" t="s">
        <v>1619</v>
      </c>
      <c r="B814" s="6"/>
      <c r="C814" s="9" t="str">
        <f>IFERROR(VLOOKUP(VENTAS4[[#This Row],[Code]],STOCK[],5,FALSE),"-")</f>
        <v>Vestido Becka</v>
      </c>
    </row>
    <row r="815" s="2" customFormat="1" ht="55" customHeight="1" spans="1:3">
      <c r="A815" s="5" t="s">
        <v>1620</v>
      </c>
      <c r="B815" s="6"/>
      <c r="C815" s="9" t="str">
        <f>IFERROR(VLOOKUP(VENTAS4[[#This Row],[Code]],STOCK[],5,FALSE),"-")</f>
        <v>Vestido Becka</v>
      </c>
    </row>
    <row r="816" s="2" customFormat="1" ht="55" customHeight="1" spans="1:3">
      <c r="A816" s="5" t="s">
        <v>1621</v>
      </c>
      <c r="B816" s="6"/>
      <c r="C816" s="9" t="str">
        <f>IFERROR(VLOOKUP(VENTAS4[[#This Row],[Code]],STOCK[],5,FALSE),"-")</f>
        <v>Sandalias minimalistas de tacón</v>
      </c>
    </row>
    <row r="817" s="2" customFormat="1" ht="55" customHeight="1" spans="1:3">
      <c r="A817" s="5" t="s">
        <v>1622</v>
      </c>
      <c r="B817" s="6"/>
      <c r="C817" s="9" t="str">
        <f>IFERROR(VLOOKUP(VENTAS4[[#This Row],[Code]],STOCK[],5,FALSE),"-")</f>
        <v>Vestido Tarsha</v>
      </c>
    </row>
    <row r="818" s="2" customFormat="1" ht="55" customHeight="1" spans="1:3">
      <c r="A818" s="5" t="s">
        <v>1624</v>
      </c>
      <c r="B818" s="6"/>
      <c r="C818" s="9" t="str">
        <f>IFERROR(VLOOKUP(VENTAS4[[#This Row],[Code]],STOCK[],5,FALSE),"-")</f>
        <v>Vestido Tarsha</v>
      </c>
    </row>
    <row r="819" s="2" customFormat="1" ht="55" customHeight="1" spans="1:3">
      <c r="A819" s="5" t="s">
        <v>1625</v>
      </c>
      <c r="B819" s="6"/>
      <c r="C819" s="9" t="str">
        <f>IFERROR(VLOOKUP(VENTAS4[[#This Row],[Code]],STOCK[],5,FALSE),"-")</f>
        <v>Vestido Tarsha</v>
      </c>
    </row>
    <row r="820" s="2" customFormat="1" ht="55" customHeight="1" spans="1:3">
      <c r="A820" s="5" t="s">
        <v>1626</v>
      </c>
      <c r="B820" s="6"/>
      <c r="C820" s="9" t="str">
        <f>IFERROR(VLOOKUP(VENTAS4[[#This Row],[Code]],STOCK[],5,FALSE),"-")</f>
        <v>Vestido Burdeos </v>
      </c>
    </row>
    <row r="821" s="2" customFormat="1" ht="55" customHeight="1" spans="1:3">
      <c r="A821" s="5" t="s">
        <v>1629</v>
      </c>
      <c r="B821" s="6"/>
      <c r="C821" s="9" t="str">
        <f>IFERROR(VLOOKUP(VENTAS4[[#This Row],[Code]],STOCK[],5,FALSE),"-")</f>
        <v>Vestidos Burdeos</v>
      </c>
    </row>
    <row r="822" s="2" customFormat="1" ht="55" customHeight="1" spans="1:3">
      <c r="A822" s="5" t="s">
        <v>1631</v>
      </c>
      <c r="B822" s="6"/>
      <c r="C822" s="9" t="str">
        <f>IFERROR(VLOOKUP(VENTAS4[[#This Row],[Code]],STOCK[],5,FALSE),"-")</f>
        <v>Vestido Privé </v>
      </c>
    </row>
    <row r="823" s="2" customFormat="1" ht="55" customHeight="1" spans="1:3">
      <c r="A823" s="5" t="s">
        <v>1633</v>
      </c>
      <c r="B823" s="6"/>
      <c r="C823" s="9" t="str">
        <f>IFERROR(VLOOKUP(VENTAS4[[#This Row],[Code]],STOCK[],5,FALSE),"-")</f>
        <v>Vestido Privé  </v>
      </c>
    </row>
    <row r="824" s="2" customFormat="1" ht="55" customHeight="1" spans="1:3">
      <c r="A824" s="5" t="s">
        <v>1635</v>
      </c>
      <c r="B824" s="6"/>
      <c r="C824" s="9" t="str">
        <f>IFERROR(VLOOKUP(VENTAS4[[#This Row],[Code]],STOCK[],5,FALSE),"-")</f>
        <v>Vestido Privé </v>
      </c>
    </row>
    <row r="825" s="2" customFormat="1" ht="55" customHeight="1" spans="1:3">
      <c r="A825" s="5" t="s">
        <v>1636</v>
      </c>
      <c r="B825" s="6"/>
      <c r="C825" s="9" t="str">
        <f>IFERROR(VLOOKUP(VENTAS4[[#This Row],[Code]],STOCK[],5,FALSE),"-")</f>
        <v>Vestido Privé</v>
      </c>
    </row>
    <row r="826" s="2" customFormat="1" ht="55" customHeight="1" spans="1:3">
      <c r="A826" s="5" t="s">
        <v>1638</v>
      </c>
      <c r="B826" s="6"/>
      <c r="C826" s="9" t="str">
        <f>IFERROR(VLOOKUP(VENTAS4[[#This Row],[Code]],STOCK[],5,FALSE),"-")</f>
        <v>Top Asimétrico Acanalado</v>
      </c>
    </row>
    <row r="827" s="2" customFormat="1" ht="55" customHeight="1" spans="1:3">
      <c r="A827" s="5" t="s">
        <v>1640</v>
      </c>
      <c r="B827" s="6"/>
      <c r="C827" s="9" t="str">
        <f>IFERROR(VLOOKUP(VENTAS4[[#This Row],[Code]],STOCK[],5,FALSE),"-")</f>
        <v>Top Asimétrico Acanalado</v>
      </c>
    </row>
    <row r="828" s="2" customFormat="1" ht="55" customHeight="1" spans="1:3">
      <c r="A828" s="5" t="s">
        <v>1641</v>
      </c>
      <c r="B828" s="6"/>
      <c r="C828" s="9" t="str">
        <f>IFERROR(VLOOKUP(VENTAS4[[#This Row],[Code]],STOCK[],5,FALSE),"-")</f>
        <v>Kimono floral</v>
      </c>
    </row>
    <row r="829" s="2" customFormat="1" ht="55" customHeight="1" spans="1:3">
      <c r="A829" s="5" t="s">
        <v>1643</v>
      </c>
      <c r="B829" s="6"/>
      <c r="C829" s="9" t="str">
        <f>IFERROR(VLOOKUP(VENTAS4[[#This Row],[Code]],STOCK[],5,FALSE),"-")</f>
        <v>Kimono fLoral</v>
      </c>
    </row>
    <row r="830" s="2" customFormat="1" ht="55" customHeight="1" spans="1:3">
      <c r="A830" s="5" t="s">
        <v>1645</v>
      </c>
      <c r="B830" s="6"/>
      <c r="C830" s="9" t="str">
        <f>IFERROR(VLOOKUP(VENTAS4[[#This Row],[Code]],STOCK[],5,FALSE),"-")</f>
        <v>Mono palazzo</v>
      </c>
    </row>
    <row r="831" s="2" customFormat="1" ht="55" customHeight="1" spans="1:3">
      <c r="A831" s="5" t="s">
        <v>1647</v>
      </c>
      <c r="B831" s="6"/>
      <c r="C831" s="9" t="str">
        <f>IFERROR(VLOOKUP(VENTAS4[[#This Row],[Code]],STOCK[],5,FALSE),"-")</f>
        <v>Mono palazzo</v>
      </c>
    </row>
    <row r="832" s="2" customFormat="1" ht="55" customHeight="1" spans="1:3">
      <c r="A832" s="5" t="s">
        <v>1648</v>
      </c>
      <c r="B832" s="6"/>
      <c r="C832" s="9" t="str">
        <f>IFERROR(VLOOKUP(VENTAS4[[#This Row],[Code]],STOCK[],5,FALSE),"-")</f>
        <v>Vestido Frenchy Azul</v>
      </c>
    </row>
    <row r="833" s="2" customFormat="1" ht="55" customHeight="1" spans="1:3">
      <c r="A833" s="5" t="s">
        <v>1650</v>
      </c>
      <c r="B833" s="6"/>
      <c r="C833" s="9" t="str">
        <f>IFERROR(VLOOKUP(VENTAS4[[#This Row],[Code]],STOCK[],5,FALSE),"-")</f>
        <v>Vestido Frenchy Rojo</v>
      </c>
    </row>
    <row r="834" s="2" customFormat="1" ht="55" customHeight="1" spans="1:3">
      <c r="A834" s="5" t="s">
        <v>1652</v>
      </c>
      <c r="B834" s="6"/>
      <c r="C834" s="9" t="str">
        <f>IFERROR(VLOOKUP(VENTAS4[[#This Row],[Code]],STOCK[],5,FALSE),"-")</f>
        <v>Vestido Margarita</v>
      </c>
    </row>
    <row r="835" s="2" customFormat="1" ht="55" customHeight="1" spans="1:3">
      <c r="A835" s="5" t="s">
        <v>1654</v>
      </c>
      <c r="B835" s="6"/>
      <c r="C835" s="9" t="str">
        <f>IFERROR(VLOOKUP(VENTAS4[[#This Row],[Code]],STOCK[],5,FALSE),"-")</f>
        <v>Vestido margarita</v>
      </c>
    </row>
    <row r="836" s="2" customFormat="1" ht="55" customHeight="1" spans="1:3">
      <c r="A836" s="5" t="s">
        <v>1656</v>
      </c>
      <c r="B836" s="6"/>
      <c r="C836" s="9" t="str">
        <f>IFERROR(VLOOKUP(VENTAS4[[#This Row],[Code]],STOCK[],5,FALSE),"-")</f>
        <v>Suéter cuello de Cisne</v>
      </c>
    </row>
    <row r="837" s="2" customFormat="1" ht="55" customHeight="1" spans="1:3">
      <c r="A837" s="5" t="s">
        <v>1658</v>
      </c>
      <c r="B837" s="6"/>
      <c r="C837" s="9" t="str">
        <f>IFERROR(VLOOKUP(VENTAS4[[#This Row],[Code]],STOCK[],5,FALSE),"-")</f>
        <v>Suéter cuello de Cisne</v>
      </c>
    </row>
    <row r="838" s="2" customFormat="1" ht="55" customHeight="1" spans="1:3">
      <c r="A838" s="5" t="s">
        <v>1659</v>
      </c>
      <c r="B838" s="6"/>
      <c r="C838" s="9" t="str">
        <f>IFERROR(VLOOKUP(VENTAS4[[#This Row],[Code]],STOCK[],5,FALSE),"-")</f>
        <v>Suéter cuello de Cisne</v>
      </c>
    </row>
    <row r="839" s="2" customFormat="1" ht="55" customHeight="1" spans="1:3">
      <c r="A839" s="5" t="s">
        <v>1660</v>
      </c>
      <c r="B839" s="6"/>
      <c r="C839" s="9" t="str">
        <f>IFERROR(VLOOKUP(VENTAS4[[#This Row],[Code]],STOCK[],5,FALSE),"-")</f>
        <v>Top healter negro</v>
      </c>
    </row>
    <row r="840" s="2" customFormat="1" ht="55" customHeight="1" spans="1:3">
      <c r="A840" s="5" t="s">
        <v>1662</v>
      </c>
      <c r="B840" s="6"/>
      <c r="C840" s="9" t="str">
        <f>IFERROR(VLOOKUP(VENTAS4[[#This Row],[Code]],STOCK[],5,FALSE),"-")</f>
        <v>Top Healter negro</v>
      </c>
    </row>
    <row r="841" s="2" customFormat="1" ht="55" customHeight="1" spans="1:3">
      <c r="A841" s="5" t="s">
        <v>1664</v>
      </c>
      <c r="B841" s="6"/>
      <c r="C841" s="9" t="str">
        <f>IFERROR(VLOOKUP(VENTAS4[[#This Row],[Code]],STOCK[],5,FALSE),"-")</f>
        <v>Mono Con Botón Delantero</v>
      </c>
    </row>
    <row r="842" s="2" customFormat="1" ht="55" customHeight="1" spans="1:3">
      <c r="A842" s="5" t="s">
        <v>1666</v>
      </c>
      <c r="B842" s="6"/>
      <c r="C842" s="9" t="str">
        <f>IFERROR(VLOOKUP(VENTAS4[[#This Row],[Code]],STOCK[],5,FALSE),"-")</f>
        <v>Vestido cruzado </v>
      </c>
    </row>
    <row r="843" s="2" customFormat="1" ht="55" customHeight="1" spans="1:3">
      <c r="A843" s="5" t="s">
        <v>1668</v>
      </c>
      <c r="B843" s="6"/>
      <c r="C843" s="9" t="str">
        <f>IFERROR(VLOOKUP(VENTAS4[[#This Row],[Code]],STOCK[],5,FALSE),"-")</f>
        <v>Conjunto Albaricoque</v>
      </c>
    </row>
    <row r="844" s="2" customFormat="1" ht="55" customHeight="1" spans="1:3">
      <c r="A844" s="5" t="s">
        <v>1670</v>
      </c>
      <c r="B844" s="6"/>
      <c r="C844" s="9" t="str">
        <f>IFERROR(VLOOKUP(VENTAS4[[#This Row],[Code]],STOCK[],5,FALSE),"-")</f>
        <v>Conjunto Albaricoque</v>
      </c>
    </row>
    <row r="845" s="2" customFormat="1" ht="55" customHeight="1" spans="1:3">
      <c r="A845" s="5" t="s">
        <v>1671</v>
      </c>
      <c r="B845" s="6"/>
      <c r="C845" s="9" t="str">
        <f>IFERROR(VLOOKUP(VENTAS4[[#This Row],[Code]],STOCK[],5,FALSE),"-")</f>
        <v>Conjunto Beis satinado</v>
      </c>
    </row>
    <row r="846" s="2" customFormat="1" ht="55" customHeight="1" spans="1:3">
      <c r="A846" s="5" t="s">
        <v>1673</v>
      </c>
      <c r="B846" s="6"/>
      <c r="C846" s="9" t="str">
        <f>IFERROR(VLOOKUP(VENTAS4[[#This Row],[Code]],STOCK[],5,FALSE),"-")</f>
        <v>Conjunto Beis</v>
      </c>
    </row>
    <row r="847" s="2" customFormat="1" ht="55" customHeight="1" spans="1:3">
      <c r="A847" s="5" t="s">
        <v>1675</v>
      </c>
      <c r="B847" s="6"/>
      <c r="C847" s="9" t="str">
        <f>IFERROR(VLOOKUP(VENTAS4[[#This Row],[Code]],STOCK[],5,FALSE),"-")</f>
        <v>Botas negras de zíper</v>
      </c>
    </row>
    <row r="848" s="2" customFormat="1" ht="55" customHeight="1" spans="1:3">
      <c r="A848" s="5" t="s">
        <v>1677</v>
      </c>
      <c r="B848" s="6"/>
      <c r="C848" s="9" t="str">
        <f>IFERROR(VLOOKUP(VENTAS4[[#This Row],[Code]],STOCK[],5,FALSE),"-")</f>
        <v>Botas negras de zíper</v>
      </c>
    </row>
    <row r="849" s="2" customFormat="1" ht="55" customHeight="1" spans="1:3">
      <c r="A849" s="5" t="s">
        <v>1679</v>
      </c>
      <c r="B849" s="6"/>
      <c r="C849" s="9" t="str">
        <f>IFERROR(VLOOKUP(VENTAS4[[#This Row],[Code]],STOCK[],5,FALSE),"-")</f>
        <v>Vestido Frenchy</v>
      </c>
    </row>
    <row r="850" s="2" customFormat="1" ht="55" customHeight="1" spans="1:3">
      <c r="A850" s="5" t="s">
        <v>1682</v>
      </c>
      <c r="B850" s="6"/>
      <c r="C850" s="9" t="str">
        <f>IFERROR(VLOOKUP(VENTAS4[[#This Row],[Code]],STOCK[],5,FALSE),"-")</f>
        <v>Vestido de mangas en contraste</v>
      </c>
    </row>
    <row r="851" s="2" customFormat="1" ht="55" customHeight="1" spans="1:3">
      <c r="A851" s="5" t="s">
        <v>1684</v>
      </c>
      <c r="B851" s="6"/>
      <c r="C851" s="9" t="str">
        <f>IFERROR(VLOOKUP(VENTAS4[[#This Row],[Code]],STOCK[],5,FALSE),"-")</f>
        <v>Mono con cinturón</v>
      </c>
    </row>
    <row r="852" s="2" customFormat="1" ht="55" customHeight="1" spans="1:3">
      <c r="A852" s="5" t="s">
        <v>1686</v>
      </c>
      <c r="B852" s="6"/>
      <c r="C852" s="9" t="str">
        <f>IFERROR(VLOOKUP(VENTAS4[[#This Row],[Code]],STOCK[],5,FALSE),"-")</f>
        <v>Mono elegante con mangas de vuelo</v>
      </c>
    </row>
    <row r="853" s="2" customFormat="1" ht="55" customHeight="1" spans="1:3">
      <c r="A853" s="5" t="s">
        <v>1690</v>
      </c>
      <c r="B853" s="6"/>
      <c r="C853" s="9" t="str">
        <f>IFERROR(VLOOKUP(VENTAS4[[#This Row],[Code]],STOCK[],5,FALSE),"-")</f>
        <v>Blusa Lettuche</v>
      </c>
    </row>
    <row r="854" s="2" customFormat="1" ht="55" customHeight="1" spans="1:3">
      <c r="A854" s="5" t="s">
        <v>1692</v>
      </c>
      <c r="B854" s="6"/>
      <c r="C854" s="9" t="str">
        <f>IFERROR(VLOOKUP(VENTAS4[[#This Row],[Code]],STOCK[],5,FALSE),"-")</f>
        <v>Chaleco corto de traje cuadros</v>
      </c>
    </row>
    <row r="855" s="2" customFormat="1" ht="55" customHeight="1" spans="1:3">
      <c r="A855" s="5" t="s">
        <v>1694</v>
      </c>
      <c r="B855" s="6"/>
      <c r="C855" s="9" t="str">
        <f>IFERROR(VLOOKUP(VENTAS4[[#This Row],[Code]],STOCK[],5,FALSE),"-")</f>
        <v>Jean Mom con bajo descosido</v>
      </c>
    </row>
    <row r="856" s="2" customFormat="1" ht="55" customHeight="1" spans="1:3">
      <c r="A856" s="5" t="s">
        <v>1696</v>
      </c>
      <c r="B856" s="6"/>
      <c r="C856" s="9" t="str">
        <f>IFERROR(VLOOKUP(VENTAS4[[#This Row],[Code]],STOCK[],5,FALSE),"-")</f>
        <v>Jean Mom con bajo descosido</v>
      </c>
    </row>
    <row r="857" s="2" customFormat="1" ht="55" customHeight="1" spans="1:3">
      <c r="A857" s="5" t="s">
        <v>1697</v>
      </c>
      <c r="B857" s="6"/>
      <c r="C857" s="9" t="str">
        <f>IFERROR(VLOOKUP(VENTAS4[[#This Row],[Code]],STOCK[],5,FALSE),"-")</f>
        <v>Shorts con rotos y detalle de encajes</v>
      </c>
    </row>
    <row r="858" s="2" customFormat="1" ht="55" customHeight="1" spans="1:3">
      <c r="A858" s="5" t="s">
        <v>1699</v>
      </c>
      <c r="B858" s="6"/>
      <c r="C858" s="9" t="str">
        <f>IFERROR(VLOOKUP(VENTAS4[[#This Row],[Code]],STOCK[],5,FALSE),"-")</f>
        <v>Vestido Frente Drapeado Negro y Blanco</v>
      </c>
    </row>
    <row r="859" s="2" customFormat="1" ht="55" customHeight="1" spans="1:3">
      <c r="A859" s="5" t="s">
        <v>1701</v>
      </c>
      <c r="B859" s="6"/>
      <c r="C859" s="9" t="str">
        <f>IFERROR(VLOOKUP(VENTAS4[[#This Row],[Code]],STOCK[],5,FALSE),"-")</f>
        <v>Vestido Frente Drapeado Negro y Blanco</v>
      </c>
    </row>
    <row r="860" s="2" customFormat="1" ht="55" customHeight="1" spans="1:3">
      <c r="A860" s="5" t="s">
        <v>1702</v>
      </c>
      <c r="B860" s="6"/>
      <c r="C860" s="9" t="str">
        <f>IFERROR(VLOOKUP(VENTAS4[[#This Row],[Code]],STOCK[],5,FALSE),"-")</f>
        <v>Vestido Frente Drapeado Negro y Blanco</v>
      </c>
    </row>
    <row r="861" s="2" customFormat="1" ht="55" customHeight="1" spans="1:3">
      <c r="A861" s="5" t="s">
        <v>1703</v>
      </c>
      <c r="B861" s="6"/>
      <c r="C861" s="9" t="str">
        <f>IFERROR(VLOOKUP(VENTAS4[[#This Row],[Code]],STOCK[],5,FALSE),"-")</f>
        <v>Vestido ajustado con abertura de manga larga</v>
      </c>
    </row>
    <row r="862" s="2" customFormat="1" ht="55" customHeight="1" spans="1:3">
      <c r="A862" s="5" t="s">
        <v>1705</v>
      </c>
      <c r="B862" s="6"/>
      <c r="C862" s="9" t="str">
        <f>IFERROR(VLOOKUP(VENTAS4[[#This Row],[Code]],STOCK[],5,FALSE),"-")</f>
        <v>Vestido ajustado con abertura de manga larga</v>
      </c>
    </row>
    <row r="863" s="2" customFormat="1" ht="55" customHeight="1" spans="1:3">
      <c r="A863" s="5" t="s">
        <v>1706</v>
      </c>
      <c r="B863" s="6"/>
      <c r="C863" s="9" t="str">
        <f>IFERROR(VLOOKUP(VENTAS4[[#This Row],[Code]],STOCK[],5,FALSE),"-")</f>
        <v>Vestido acanalado de manga larga</v>
      </c>
    </row>
    <row r="864" s="2" customFormat="1" ht="55" customHeight="1" spans="1:3">
      <c r="A864" s="5" t="s">
        <v>1709</v>
      </c>
      <c r="B864" s="6"/>
      <c r="C864" s="9" t="str">
        <f>IFERROR(VLOOKUP(VENTAS4[[#This Row],[Code]],STOCK[],5,FALSE),"-")</f>
        <v>Vestido Asimétrico con cuerdas</v>
      </c>
    </row>
    <row r="865" s="2" customFormat="1" ht="55" customHeight="1" spans="1:3">
      <c r="A865" s="5" t="s">
        <v>1712</v>
      </c>
      <c r="B865" s="6"/>
      <c r="C865" s="9" t="str">
        <f>IFERROR(VLOOKUP(VENTAS4[[#This Row],[Code]],STOCK[],5,FALSE),"-")</f>
        <v>Vestido Asimétrico con cuerdas</v>
      </c>
    </row>
    <row r="866" s="2" customFormat="1" ht="55" customHeight="1" spans="1:3">
      <c r="A866" s="5" t="s">
        <v>1713</v>
      </c>
      <c r="B866" s="6"/>
      <c r="C866" s="9" t="str">
        <f>IFERROR(VLOOKUP(VENTAS4[[#This Row],[Code]],STOCK[],5,FALSE),"-")</f>
        <v>Vestido Denim</v>
      </c>
    </row>
    <row r="867" s="2" customFormat="1" ht="55" customHeight="1" spans="1:3">
      <c r="A867" s="5" t="s">
        <v>1716</v>
      </c>
      <c r="B867" s="6"/>
      <c r="C867" s="9" t="str">
        <f>IFERROR(VLOOKUP(VENTAS4[[#This Row],[Code]],STOCK[],5,FALSE),"-")</f>
        <v>Vestido ajustado de puntos </v>
      </c>
    </row>
    <row r="868" s="2" customFormat="1" ht="55" customHeight="1" spans="1:3">
      <c r="A868" s="5" t="s">
        <v>1718</v>
      </c>
      <c r="B868" s="6"/>
      <c r="C868" s="9" t="str">
        <f>IFERROR(VLOOKUP(VENTAS4[[#This Row],[Code]],STOCK[],5,FALSE),"-")</f>
        <v>Vestido de botones y manga abullonada</v>
      </c>
    </row>
    <row r="869" s="2" customFormat="1" ht="55" customHeight="1" spans="1:3">
      <c r="A869" s="5" t="s">
        <v>1720</v>
      </c>
      <c r="B869" s="6"/>
      <c r="C869" s="9" t="str">
        <f>IFERROR(VLOOKUP(VENTAS4[[#This Row],[Code]],STOCK[],5,FALSE),"-")</f>
        <v>Vestido ajustado en rosas</v>
      </c>
    </row>
    <row r="870" s="2" customFormat="1" ht="55" customHeight="1" spans="1:3">
      <c r="A870" s="5" t="s">
        <v>1722</v>
      </c>
      <c r="B870" s="6"/>
      <c r="C870" s="9" t="str">
        <f>IFERROR(VLOOKUP(VENTAS4[[#This Row],[Code]],STOCK[],5,FALSE),"-")</f>
        <v>Vestido negro corte A</v>
      </c>
    </row>
    <row r="871" s="2" customFormat="1" ht="55" customHeight="1" spans="1:3">
      <c r="A871" s="5" t="s">
        <v>1724</v>
      </c>
      <c r="B871" s="6"/>
      <c r="C871" s="9" t="str">
        <f>IFERROR(VLOOKUP(VENTAS4[[#This Row],[Code]],STOCK[],5,FALSE),"-")</f>
        <v>Vestido Terciopelo</v>
      </c>
    </row>
    <row r="872" s="2" customFormat="1" ht="55" customHeight="1" spans="1:3">
      <c r="A872" s="5" t="s">
        <v>1726</v>
      </c>
      <c r="B872" s="6"/>
      <c r="C872" s="9" t="str">
        <f>IFERROR(VLOOKUP(VENTAS4[[#This Row],[Code]],STOCK[],5,FALSE),"-")</f>
        <v>Zapato de punta fina y Tacón Cuadrado</v>
      </c>
    </row>
    <row r="873" s="2" customFormat="1" ht="55" customHeight="1" spans="1:3">
      <c r="A873" s="5" t="s">
        <v>1727</v>
      </c>
      <c r="B873" s="6"/>
      <c r="C873" s="9" t="str">
        <f>IFERROR(VLOOKUP(VENTAS4[[#This Row],[Code]],STOCK[],5,FALSE),"-")</f>
        <v>Chaleco de traje Crema</v>
      </c>
    </row>
    <row r="874" s="2" customFormat="1" ht="55" customHeight="1" spans="1:3">
      <c r="A874" s="5" t="s">
        <v>1731</v>
      </c>
      <c r="B874" s="6"/>
      <c r="C874" s="9" t="str">
        <f>IFERROR(VLOOKUP(VENTAS4[[#This Row],[Code]],STOCK[],5,FALSE),"-")</f>
        <v>Chaleco de traje Crema</v>
      </c>
    </row>
    <row r="875" s="2" customFormat="1" ht="55" customHeight="1" spans="1:3">
      <c r="A875" s="5" t="s">
        <v>1733</v>
      </c>
      <c r="B875" s="6"/>
      <c r="C875" s="9" t="str">
        <f>IFERROR(VLOOKUP(VENTAS4[[#This Row],[Code]],STOCK[],5,FALSE),"-")</f>
        <v>Chaleco de traje Negro</v>
      </c>
    </row>
    <row r="876" s="2" customFormat="1" ht="55" customHeight="1" spans="1:3">
      <c r="A876" s="5" t="s">
        <v>1735</v>
      </c>
      <c r="B876" s="6"/>
      <c r="C876" s="9" t="str">
        <f>IFERROR(VLOOKUP(VENTAS4[[#This Row],[Code]],STOCK[],5,FALSE),"-")</f>
        <v>Chaleco de traje Negro</v>
      </c>
    </row>
    <row r="877" s="2" customFormat="1" ht="55" customHeight="1" spans="1:3">
      <c r="A877" s="5" t="s">
        <v>1736</v>
      </c>
      <c r="B877" s="6"/>
      <c r="C877" s="9" t="str">
        <f>IFERROR(VLOOKUP(VENTAS4[[#This Row],[Code]],STOCK[],5,FALSE),"-")</f>
        <v>Chaleco de traje Blanco</v>
      </c>
    </row>
    <row r="878" s="2" customFormat="1" ht="55" customHeight="1" spans="1:3">
      <c r="A878" s="5" t="s">
        <v>1738</v>
      </c>
      <c r="B878" s="6"/>
      <c r="C878" s="9" t="str">
        <f>IFERROR(VLOOKUP(VENTAS4[[#This Row],[Code]],STOCK[],5,FALSE),"-")</f>
        <v>Chaleco de traje Blanco</v>
      </c>
    </row>
    <row r="879" s="2" customFormat="1" ht="55" customHeight="1" spans="1:3">
      <c r="A879" s="5" t="s">
        <v>1740</v>
      </c>
      <c r="B879" s="6"/>
      <c r="C879" s="9" t="str">
        <f>IFERROR(VLOOKUP(VENTAS4[[#This Row],[Code]],STOCK[],5,FALSE),"-")</f>
        <v>Kimono Dazy Elegante</v>
      </c>
    </row>
    <row r="880" s="2" customFormat="1" ht="55" customHeight="1" spans="1:3">
      <c r="A880" s="5" t="s">
        <v>1743</v>
      </c>
      <c r="B880" s="6"/>
      <c r="C880" s="9" t="str">
        <f>IFERROR(VLOOKUP(VENTAS4[[#This Row],[Code]],STOCK[],5,FALSE),"-")</f>
        <v>Kimono Dazy Elegante</v>
      </c>
    </row>
    <row r="881" s="2" customFormat="1" ht="55" customHeight="1" spans="1:3">
      <c r="A881" s="5" t="s">
        <v>1744</v>
      </c>
      <c r="B881" s="6"/>
      <c r="C881" s="9" t="str">
        <f>IFERROR(VLOOKUP(VENTAS4[[#This Row],[Code]],STOCK[],5,FALSE),"-")</f>
        <v>Traje de baño blanco sexy </v>
      </c>
    </row>
    <row r="882" s="2" customFormat="1" ht="55" customHeight="1" spans="1:3">
      <c r="A882" s="5" t="s">
        <v>1746</v>
      </c>
      <c r="B882" s="6"/>
      <c r="C882" s="9" t="str">
        <f>IFERROR(VLOOKUP(VENTAS4[[#This Row],[Code]],STOCK[],5,FALSE),"-")</f>
        <v>Traje de baño Oliva</v>
      </c>
    </row>
    <row r="883" s="2" customFormat="1" ht="55" customHeight="1" spans="1:3">
      <c r="A883" s="5" t="s">
        <v>1748</v>
      </c>
      <c r="B883" s="6"/>
      <c r="C883" s="9" t="str">
        <f>IFERROR(VLOOKUP(VENTAS4[[#This Row],[Code]],STOCK[],5,FALSE),"-")</f>
        <v>Traje de baño de mangas estampadas</v>
      </c>
    </row>
    <row r="884" s="2" customFormat="1" ht="55" customHeight="1" spans="1:3">
      <c r="A884" s="5" t="s">
        <v>1752</v>
      </c>
      <c r="B884" s="6"/>
      <c r="C884" s="9" t="str">
        <f>IFERROR(VLOOKUP(VENTAS4[[#This Row],[Code]],STOCK[],5,FALSE),"-")</f>
        <v>Kimono Dazy Elegante</v>
      </c>
    </row>
    <row r="885" s="2" customFormat="1" ht="55" customHeight="1" spans="1:3">
      <c r="A885" s="5" t="s">
        <v>1754</v>
      </c>
      <c r="B885" s="6"/>
      <c r="C885" s="9" t="str">
        <f>IFERROR(VLOOKUP(VENTAS4[[#This Row],[Code]],STOCK[],5,FALSE),"-")</f>
        <v>Zapatillas blanco casual</v>
      </c>
    </row>
    <row r="886" s="2" customFormat="1" ht="55" customHeight="1" spans="1:3">
      <c r="A886" s="5" t="s">
        <v>1757</v>
      </c>
      <c r="B886" s="6"/>
      <c r="C886" s="9" t="str">
        <f>IFERROR(VLOOKUP(VENTAS4[[#This Row],[Code]],STOCK[],5,FALSE),"-")</f>
        <v>Zapatillas blanco casual</v>
      </c>
    </row>
    <row r="887" s="2" customFormat="1" ht="55" customHeight="1" spans="1:3">
      <c r="A887" s="5" t="s">
        <v>1759</v>
      </c>
      <c r="B887" s="6"/>
      <c r="C887" s="9" t="str">
        <f>IFERROR(VLOOKUP(VENTAS4[[#This Row],[Code]],STOCK[],5,FALSE),"-")</f>
        <v>Zapatillas blanco casual</v>
      </c>
    </row>
    <row r="888" s="2" customFormat="1" ht="55" customHeight="1" spans="1:3">
      <c r="A888" s="5" t="s">
        <v>1760</v>
      </c>
      <c r="B888" s="6"/>
      <c r="C888" s="9" t="str">
        <f>IFERROR(VLOOKUP(VENTAS4[[#This Row],[Code]],STOCK[],5,FALSE),"-")</f>
        <v>Zapatillas blanco casual</v>
      </c>
    </row>
    <row r="889" s="2" customFormat="1" ht="55" customHeight="1" spans="1:3">
      <c r="A889" s="5" t="s">
        <v>1761</v>
      </c>
      <c r="B889" s="6"/>
      <c r="C889" s="9" t="str">
        <f>IFERROR(VLOOKUP(VENTAS4[[#This Row],[Code]],STOCK[],5,FALSE),"-")</f>
        <v>Calcetines al tobillo beige</v>
      </c>
    </row>
    <row r="890" s="2" customFormat="1" ht="55" customHeight="1" spans="1:3">
      <c r="A890" s="5" t="s">
        <v>1764</v>
      </c>
      <c r="B890" s="6"/>
      <c r="C890" s="9" t="str">
        <f>IFERROR(VLOOKUP(VENTAS4[[#This Row],[Code]],STOCK[],5,FALSE),"-")</f>
        <v>Calcetines al tobillo negro</v>
      </c>
    </row>
    <row r="891" s="2" customFormat="1" ht="55" customHeight="1" spans="1:3">
      <c r="A891" s="5" t="s">
        <v>1766</v>
      </c>
      <c r="B891" s="6"/>
      <c r="C891" s="9" t="str">
        <f>IFERROR(VLOOKUP(VENTAS4[[#This Row],[Code]],STOCK[],5,FALSE),"-")</f>
        <v>Calcetines bajos</v>
      </c>
    </row>
    <row r="892" s="2" customFormat="1" ht="55" customHeight="1" spans="1:3">
      <c r="A892" s="5" t="s">
        <v>1769</v>
      </c>
      <c r="B892" s="6"/>
      <c r="C892" s="9" t="str">
        <f>IFERROR(VLOOKUP(VENTAS4[[#This Row],[Code]],STOCK[],5,FALSE),"-")</f>
        <v>Kimono Dazy Elegante</v>
      </c>
    </row>
    <row r="893" s="2" customFormat="1" ht="55" customHeight="1" spans="1:3">
      <c r="A893" s="5" t="s">
        <v>1771</v>
      </c>
      <c r="B893" s="6"/>
      <c r="C893" s="9" t="str">
        <f>IFERROR(VLOOKUP(VENTAS4[[#This Row],[Code]],STOCK[],5,FALSE),"-")</f>
        <v>Bikini negro sexy pequeño</v>
      </c>
    </row>
    <row r="894" s="2" customFormat="1" ht="55" customHeight="1" spans="1:3">
      <c r="A894" s="5" t="s">
        <v>1773</v>
      </c>
      <c r="B894" s="6"/>
      <c r="C894" s="9" t="str">
        <f>IFERROR(VLOOKUP(VENTAS4[[#This Row],[Code]],STOCK[],5,FALSE),"-")</f>
        <v>Bikini negro sexy pequeño</v>
      </c>
    </row>
    <row r="895" s="2" customFormat="1" ht="55" customHeight="1" spans="1:3">
      <c r="A895" s="5" t="s">
        <v>1774</v>
      </c>
      <c r="B895" s="6"/>
      <c r="C895" s="9" t="str">
        <f>IFERROR(VLOOKUP(VENTAS4[[#This Row],[Code]],STOCK[],5,FALSE),"-")</f>
        <v>Bikini negro sexy pequeño</v>
      </c>
    </row>
    <row r="896" s="2" customFormat="1" ht="55" customHeight="1" spans="1:3">
      <c r="A896" s="5" t="s">
        <v>1775</v>
      </c>
      <c r="B896" s="6"/>
      <c r="C896" s="9" t="str">
        <f>IFERROR(VLOOKUP(VENTAS4[[#This Row],[Code]],STOCK[],5,FALSE),"-")</f>
        <v>Conjunto de bikini</v>
      </c>
    </row>
    <row r="897" s="2" customFormat="1" ht="55" customHeight="1" spans="1:3">
      <c r="A897" s="5" t="s">
        <v>1777</v>
      </c>
      <c r="B897" s="6"/>
      <c r="C897" s="9" t="str">
        <f>IFERROR(VLOOKUP(VENTAS4[[#This Row],[Code]],STOCK[],5,FALSE),"-")</f>
        <v>Conjunto de bikini moca</v>
      </c>
    </row>
    <row r="898" s="2" customFormat="1" ht="55" customHeight="1" spans="1:3">
      <c r="A898" s="5" t="s">
        <v>1779</v>
      </c>
      <c r="B898" s="6"/>
      <c r="C898" s="9" t="str">
        <f>IFERROR(VLOOKUP(VENTAS4[[#This Row],[Code]],STOCK[],5,FALSE),"-")</f>
        <v>Conjunto de bikini moca</v>
      </c>
    </row>
    <row r="899" s="2" customFormat="1" ht="55" customHeight="1" spans="1:3">
      <c r="A899" s="5" t="s">
        <v>1780</v>
      </c>
      <c r="B899" s="6"/>
      <c r="C899" s="9" t="str">
        <f>IFERROR(VLOOKUP(VENTAS4[[#This Row],[Code]],STOCK[],5,FALSE),"-")</f>
        <v>Cinturón de hebilla redonda</v>
      </c>
    </row>
    <row r="900" s="2" customFormat="1" ht="55" customHeight="1" spans="1:3">
      <c r="A900" s="5" t="s">
        <v>1783</v>
      </c>
      <c r="B900" s="6"/>
      <c r="C900" s="9" t="str">
        <f>IFERROR(VLOOKUP(VENTAS4[[#This Row],[Code]],STOCK[],5,FALSE),"-")</f>
        <v>Traje de baño blanco sexy </v>
      </c>
    </row>
    <row r="901" s="2" customFormat="1" ht="55" customHeight="1" spans="1:3">
      <c r="A901" s="5" t="s">
        <v>1784</v>
      </c>
      <c r="B901" s="6"/>
      <c r="C901" s="9" t="str">
        <f>IFERROR(VLOOKUP(VENTAS4[[#This Row],[Code]],STOCK[],5,FALSE),"-")</f>
        <v>Traje de baño blanco sexy</v>
      </c>
    </row>
    <row r="902" s="2" customFormat="1" ht="55" customHeight="1" spans="1:3">
      <c r="A902" s="5" t="s">
        <v>1786</v>
      </c>
      <c r="B902" s="6"/>
      <c r="C902" s="9" t="str">
        <f>IFERROR(VLOOKUP(VENTAS4[[#This Row],[Code]],STOCK[],5,FALSE),"-")</f>
        <v>Cinturón básico grueso Negro</v>
      </c>
    </row>
    <row r="903" s="2" customFormat="1" ht="55" customHeight="1" spans="1:3">
      <c r="A903" s="5" t="s">
        <v>1790</v>
      </c>
      <c r="B903" s="6"/>
      <c r="C903" s="9" t="str">
        <f>IFERROR(VLOOKUP(VENTAS4[[#This Row],[Code]],STOCK[],5,FALSE),"-")</f>
        <v>Cinturón básico grueso Camel</v>
      </c>
    </row>
    <row r="904" s="2" customFormat="1" ht="55" customHeight="1" spans="1:3">
      <c r="A904" s="11" t="s">
        <v>1792</v>
      </c>
      <c r="B904" s="12"/>
      <c r="C904" s="9" t="str">
        <f>IFERROR(VLOOKUP(VENTAS4[[#This Row],[Code]],STOCK[],5,FALSE),"-")</f>
        <v>Horquillas en forma de lazo</v>
      </c>
    </row>
    <row r="905" s="2" customFormat="1" ht="55" customHeight="1" spans="1:3">
      <c r="A905" s="5" t="s">
        <v>1796</v>
      </c>
      <c r="B905" s="6"/>
      <c r="C905" s="9" t="str">
        <f>IFERROR(VLOOKUP(VENTAS4[[#This Row],[Code]],STOCK[],5,FALSE),"-")</f>
        <v>Horquillas en forma de lazo</v>
      </c>
    </row>
    <row r="906" s="2" customFormat="1" ht="55" customHeight="1" spans="1:3">
      <c r="A906" s="5" t="s">
        <v>1798</v>
      </c>
      <c r="B906" s="6"/>
      <c r="C906" s="9" t="str">
        <f>IFERROR(VLOOKUP(VENTAS4[[#This Row],[Code]],STOCK[],5,FALSE),"-")</f>
        <v>Horquillas en forma de lazo</v>
      </c>
    </row>
    <row r="907" s="2" customFormat="1" ht="55" customHeight="1" spans="1:3">
      <c r="A907" s="5" t="s">
        <v>1800</v>
      </c>
      <c r="B907" s="6"/>
      <c r="C907" s="9" t="str">
        <f>IFERROR(VLOOKUP(VENTAS4[[#This Row],[Code]],STOCK[],5,FALSE),"-")</f>
        <v>Camisa blanca estampado de ave</v>
      </c>
    </row>
    <row r="908" s="2" customFormat="1" ht="55" customHeight="1" spans="1:3">
      <c r="A908" s="5" t="s">
        <v>1601</v>
      </c>
      <c r="B908" s="6"/>
      <c r="C908" s="9" t="str">
        <f>IFERROR(VLOOKUP(VENTAS4[[#This Row],[Code]],STOCK[],5,FALSE),"-")</f>
        <v>Sandalias minimalistas de tacón</v>
      </c>
    </row>
    <row r="909" s="2" customFormat="1" ht="55" customHeight="1" spans="1:3">
      <c r="A909" s="11" t="s">
        <v>1805</v>
      </c>
      <c r="B909" s="13"/>
      <c r="C909" s="9" t="str">
        <f>IFERROR(VLOOKUP(VENTAS4[[#This Row],[Code]],STOCK[],5,FALSE),"-")</f>
        <v>Pasador de cabello en forma de lazo</v>
      </c>
    </row>
    <row r="910" s="2" customFormat="1" ht="55" customHeight="1" spans="1:3">
      <c r="A910" s="5" t="s">
        <v>1808</v>
      </c>
      <c r="B910" s="6"/>
      <c r="C910" s="9" t="str">
        <f>IFERROR(VLOOKUP(VENTAS4[[#This Row],[Code]],STOCK[],5,FALSE),"-")</f>
        <v>Lazo para coletas</v>
      </c>
    </row>
    <row r="911" s="2" customFormat="1" ht="55" customHeight="1" spans="1:3">
      <c r="A911" s="5" t="s">
        <v>1811</v>
      </c>
      <c r="B911" s="6"/>
      <c r="C911" s="9" t="str">
        <f>IFERROR(VLOOKUP(VENTAS4[[#This Row],[Code]],STOCK[],5,FALSE),"-")</f>
        <v>Vestido chaleco blazer </v>
      </c>
    </row>
    <row r="912" s="2" customFormat="1" ht="55" customHeight="1" spans="1:3">
      <c r="A912" s="5" t="s">
        <v>1813</v>
      </c>
      <c r="B912" s="6"/>
      <c r="C912" s="9" t="str">
        <f>IFERROR(VLOOKUP(VENTAS4[[#This Row],[Code]],STOCK[],5,FALSE),"-")</f>
        <v>Cinto ancho de hebilla dorada</v>
      </c>
    </row>
    <row r="913" s="2" customFormat="1" ht="55" customHeight="1" spans="1:3">
      <c r="A913" s="5" t="s">
        <v>1816</v>
      </c>
      <c r="B913" s="6"/>
      <c r="C913" s="9" t="str">
        <f>IFERROR(VLOOKUP(VENTAS4[[#This Row],[Code]],STOCK[],5,FALSE),"-")</f>
        <v>Vestido Midi Elegante</v>
      </c>
    </row>
    <row r="914" s="2" customFormat="1" ht="55" customHeight="1" spans="1:3">
      <c r="A914" s="5" t="s">
        <v>1821</v>
      </c>
      <c r="B914" s="6"/>
      <c r="C914" s="9" t="str">
        <f>IFERROR(VLOOKUP(VENTAS4[[#This Row],[Code]],STOCK[],5,FALSE),"-")</f>
        <v>Vestido Midi Elegante</v>
      </c>
    </row>
    <row r="915" s="2" customFormat="1" ht="55" customHeight="1" spans="1:3">
      <c r="A915" s="5" t="s">
        <v>1823</v>
      </c>
      <c r="B915" s="6"/>
      <c r="C915" s="9" t="str">
        <f>IFERROR(VLOOKUP(VENTAS4[[#This Row],[Code]],STOCK[],5,FALSE),"-")</f>
        <v>Vestido Midi Elegante</v>
      </c>
    </row>
    <row r="916" s="2" customFormat="1" ht="55" customHeight="1" spans="1:3">
      <c r="A916" s="5" t="s">
        <v>1825</v>
      </c>
      <c r="B916" s="6"/>
      <c r="C916" s="9" t="str">
        <f>IFERROR(VLOOKUP(VENTAS4[[#This Row],[Code]],STOCK[],5,FALSE),"-")</f>
        <v>Bolso Crossbody en detalle de cocodrilo</v>
      </c>
    </row>
    <row r="917" s="2" customFormat="1" ht="55" customHeight="1" spans="1:3">
      <c r="A917" s="5" t="s">
        <v>1827</v>
      </c>
      <c r="B917" s="6"/>
      <c r="C917" s="9" t="str">
        <f>IFERROR(VLOOKUP(VENTAS4[[#This Row],[Code]],STOCK[],5,FALSE),"-")</f>
        <v>Pantalón Palazzo </v>
      </c>
    </row>
    <row r="918" s="2" customFormat="1" ht="55" customHeight="1" spans="1:3">
      <c r="A918" s="5" t="s">
        <v>1830</v>
      </c>
      <c r="B918" s="6"/>
      <c r="C918" s="9" t="str">
        <f>IFERROR(VLOOKUP(VENTAS4[[#This Row],[Code]],STOCK[],5,FALSE),"-")</f>
        <v>Pantalón en piel </v>
      </c>
    </row>
    <row r="919" s="2" customFormat="1" ht="55" customHeight="1" spans="1:3">
      <c r="A919" s="5" t="s">
        <v>1832</v>
      </c>
      <c r="B919" s="6"/>
      <c r="C919" s="9" t="str">
        <f>IFERROR(VLOOKUP(VENTAS4[[#This Row],[Code]],STOCK[],5,FALSE),"-")</f>
        <v>Pantalón en piel </v>
      </c>
    </row>
    <row r="920" s="2" customFormat="1" ht="55" customHeight="1" spans="1:3">
      <c r="A920" s="5" t="s">
        <v>1833</v>
      </c>
      <c r="B920" s="6"/>
      <c r="C920" s="9" t="str">
        <f>IFERROR(VLOOKUP(VENTAS4[[#This Row],[Code]],STOCK[],5,FALSE),"-")</f>
        <v>Curvy Skinny Jeans</v>
      </c>
    </row>
    <row r="921" s="2" customFormat="1" ht="55" customHeight="1" spans="1:3">
      <c r="A921" s="5" t="s">
        <v>1836</v>
      </c>
      <c r="B921" s="6"/>
      <c r="C921" s="9" t="str">
        <f>IFERROR(VLOOKUP(VENTAS4[[#This Row],[Code]],STOCK[],5,FALSE),"-")</f>
        <v>Maxi Vestido Bodycon </v>
      </c>
    </row>
    <row r="922" s="2" customFormat="1" ht="55" customHeight="1" spans="1:3">
      <c r="A922" s="5" t="s">
        <v>1839</v>
      </c>
      <c r="B922" s="6"/>
      <c r="C922" s="9" t="str">
        <f>IFERROR(VLOOKUP(VENTAS4[[#This Row],[Code]],STOCK[],5,FALSE),"-")</f>
        <v>Maxi Vestido Bodycon </v>
      </c>
    </row>
    <row r="923" s="2" customFormat="1" ht="55" customHeight="1" spans="1:3">
      <c r="A923" s="5" t="s">
        <v>1841</v>
      </c>
      <c r="B923" s="6"/>
      <c r="C923" s="9" t="str">
        <f>IFERROR(VLOOKUP(VENTAS4[[#This Row],[Code]],STOCK[],5,FALSE),"-")</f>
        <v>Maxi Vestido Bodycon </v>
      </c>
    </row>
    <row r="924" s="2" customFormat="1" ht="55" customHeight="1" spans="1:3">
      <c r="A924" s="5" t="s">
        <v>1843</v>
      </c>
      <c r="B924" s="6"/>
      <c r="C924" s="9" t="str">
        <f>IFERROR(VLOOKUP(VENTAS4[[#This Row],[Code]],STOCK[],5,FALSE),"-")</f>
        <v>Vestido Midi de espalda oblicua</v>
      </c>
    </row>
    <row r="925" s="2" customFormat="1" ht="55" customHeight="1" spans="1:3">
      <c r="A925" s="5" t="s">
        <v>1845</v>
      </c>
      <c r="B925" s="6"/>
      <c r="C925" s="9" t="str">
        <f>IFERROR(VLOOKUP(VENTAS4[[#This Row],[Code]],STOCK[],5,FALSE),"-")</f>
        <v>Crossbody Bag con hebilla</v>
      </c>
    </row>
    <row r="926" s="2" customFormat="1" ht="55" customHeight="1" spans="1:3">
      <c r="A926" s="5" t="s">
        <v>1847</v>
      </c>
      <c r="B926" s="6"/>
      <c r="C926" s="9" t="str">
        <f>IFERROR(VLOOKUP(VENTAS4[[#This Row],[Code]],STOCK[],5,FALSE),"-")</f>
        <v>Crossbody Bag </v>
      </c>
    </row>
    <row r="927" s="2" customFormat="1" ht="55" customHeight="1" spans="1:3">
      <c r="A927" s="5" t="s">
        <v>1849</v>
      </c>
      <c r="B927" s="6"/>
      <c r="C927" s="9" t="str">
        <f>IFERROR(VLOOKUP(VENTAS4[[#This Row],[Code]],STOCK[],5,FALSE),"-")</f>
        <v>Mochila de lana sintética</v>
      </c>
    </row>
    <row r="928" s="2" customFormat="1" ht="55" customHeight="1" spans="1:3">
      <c r="A928" s="5" t="s">
        <v>1851</v>
      </c>
      <c r="B928" s="6"/>
      <c r="C928" s="9" t="str">
        <f>IFERROR(VLOOKUP(VENTAS4[[#This Row],[Code]],STOCK[],5,FALSE),"-")</f>
        <v>Crossbody Bag Negro Lacado</v>
      </c>
    </row>
    <row r="929" s="2" customFormat="1" ht="55" customHeight="1" spans="1:3">
      <c r="A929" s="5" t="s">
        <v>1854</v>
      </c>
      <c r="B929" s="6"/>
      <c r="C929" s="9" t="str">
        <f>IFERROR(VLOOKUP(VENTAS4[[#This Row],[Code]],STOCK[],5,FALSE),"-")</f>
        <v>Crossbody Bag Blanco Lacado</v>
      </c>
    </row>
    <row r="930" s="2" customFormat="1" ht="55" customHeight="1" spans="1:3">
      <c r="A930" s="5" t="s">
        <v>1856</v>
      </c>
      <c r="B930" s="6"/>
      <c r="C930" s="9" t="str">
        <f>IFERROR(VLOOKUP(VENTAS4[[#This Row],[Code]],STOCK[],5,FALSE),"-")</f>
        <v>Crossbody Bag Guateado</v>
      </c>
    </row>
    <row r="931" s="2" customFormat="1" ht="55" customHeight="1" spans="1:3">
      <c r="A931" s="5" t="s">
        <v>1858</v>
      </c>
      <c r="B931" s="6"/>
      <c r="C931" s="9" t="str">
        <f>IFERROR(VLOOKUP(VENTAS4[[#This Row],[Code]],STOCK[],5,FALSE),"-")</f>
        <v>Bolso Baguette Rojo</v>
      </c>
    </row>
    <row r="932" s="2" customFormat="1" ht="55" customHeight="1" spans="1:3">
      <c r="A932" s="5" t="s">
        <v>1860</v>
      </c>
      <c r="B932" s="6"/>
      <c r="C932" s="9" t="str">
        <f>IFERROR(VLOOKUP(VENTAS4[[#This Row],[Code]],STOCK[],5,FALSE),"-")</f>
        <v>Bolso Baguette Negro</v>
      </c>
    </row>
    <row r="933" s="2" customFormat="1" ht="55" customHeight="1" spans="1:3">
      <c r="A933" s="5" t="s">
        <v>1862</v>
      </c>
      <c r="B933" s="6"/>
      <c r="C933" s="9" t="str">
        <f>IFERROR(VLOOKUP(VENTAS4[[#This Row],[Code]],STOCK[],5,FALSE),"-")</f>
        <v>Crossbody bag Denim</v>
      </c>
    </row>
    <row r="934" s="2" customFormat="1" ht="55" customHeight="1" spans="1:3">
      <c r="A934" s="5" t="s">
        <v>1864</v>
      </c>
      <c r="B934" s="6"/>
      <c r="C934" s="9" t="str">
        <f>IFERROR(VLOOKUP(VENTAS4[[#This Row],[Code]],STOCK[],5,FALSE),"-")</f>
        <v>Blazer entallado</v>
      </c>
    </row>
    <row r="935" s="2" customFormat="1" ht="55" customHeight="1" spans="1:3">
      <c r="A935" s="5" t="s">
        <v>1867</v>
      </c>
      <c r="B935" s="6"/>
      <c r="C935" s="9" t="str">
        <f>IFERROR(VLOOKUP(VENTAS4[[#This Row],[Code]],STOCK[],5,FALSE),"-")</f>
        <v>Blazer entallado</v>
      </c>
    </row>
    <row r="936" s="2" customFormat="1" ht="55" customHeight="1" spans="1:3">
      <c r="A936" s="5" t="s">
        <v>1869</v>
      </c>
      <c r="B936" s="6"/>
      <c r="C936" s="9" t="str">
        <f>IFERROR(VLOOKUP(VENTAS4[[#This Row],[Code]],STOCK[],5,FALSE),"-")</f>
        <v>Blazer entallado</v>
      </c>
    </row>
    <row r="937" s="2" customFormat="1" ht="55" customHeight="1" spans="1:3">
      <c r="A937" s="5" t="s">
        <v>1871</v>
      </c>
      <c r="B937" s="6"/>
      <c r="C937" s="9" t="str">
        <f>IFERROR(VLOOKUP(VENTAS4[[#This Row],[Code]],STOCK[],5,FALSE),"-")</f>
        <v>Blazer entallado</v>
      </c>
    </row>
    <row r="938" s="2" customFormat="1" ht="55" customHeight="1" spans="1:3">
      <c r="A938" s="5" t="s">
        <v>1872</v>
      </c>
      <c r="B938" s="6"/>
      <c r="C938" s="9" t="str">
        <f>IFERROR(VLOOKUP(VENTAS4[[#This Row],[Code]],STOCK[],5,FALSE),"-")</f>
        <v>Vestido Chic Primavera</v>
      </c>
    </row>
    <row r="939" s="2" customFormat="1" ht="55" customHeight="1" spans="1:3">
      <c r="A939" s="5" t="s">
        <v>1876</v>
      </c>
      <c r="B939" s="6"/>
      <c r="C939" s="9" t="str">
        <f>IFERROR(VLOOKUP(VENTAS4[[#This Row],[Code]],STOCK[],5,FALSE),"-")</f>
        <v>Vestido Chic Primavera</v>
      </c>
    </row>
    <row r="940" s="2" customFormat="1" ht="55" customHeight="1" spans="1:3">
      <c r="A940" s="5" t="s">
        <v>1877</v>
      </c>
      <c r="B940" s="6"/>
      <c r="C940" s="9" t="str">
        <f>IFERROR(VLOOKUP(VENTAS4[[#This Row],[Code]],STOCK[],5,FALSE),"-")</f>
        <v>Vestido Chic Primavera</v>
      </c>
    </row>
    <row r="941" s="2" customFormat="1" ht="55" customHeight="1" spans="1:3">
      <c r="A941" s="5" t="s">
        <v>1878</v>
      </c>
      <c r="B941" s="6"/>
      <c r="C941" s="9" t="str">
        <f>IFERROR(VLOOKUP(VENTAS4[[#This Row],[Code]],STOCK[],5,FALSE),"-")</f>
        <v>Bolso Vintage Marrón</v>
      </c>
    </row>
    <row r="942" s="2" customFormat="1" ht="55" customHeight="1" spans="1:3">
      <c r="A942" s="5" t="s">
        <v>1882</v>
      </c>
      <c r="B942" s="6"/>
      <c r="C942" s="9" t="str">
        <f>IFERROR(VLOOKUP(VENTAS4[[#This Row],[Code]],STOCK[],5,FALSE),"-")</f>
        <v>Bolso Vintage Negro</v>
      </c>
    </row>
    <row r="943" s="2" customFormat="1" ht="55" customHeight="1" spans="1:3">
      <c r="A943" s="5" t="s">
        <v>1884</v>
      </c>
      <c r="B943" s="6"/>
      <c r="C943" s="9" t="str">
        <f>IFERROR(VLOOKUP(VENTAS4[[#This Row],[Code]],STOCK[],5,FALSE),"-")</f>
        <v>Vestido Camisero de Rayas</v>
      </c>
    </row>
    <row r="944" s="2" customFormat="1" ht="55" customHeight="1" spans="1:3">
      <c r="A944" s="5" t="s">
        <v>1887</v>
      </c>
      <c r="B944" s="6"/>
      <c r="C944" s="9" t="str">
        <f>IFERROR(VLOOKUP(VENTAS4[[#This Row],[Code]],STOCK[],5,FALSE),"-")</f>
        <v>Vestido Camisero de Bolas</v>
      </c>
    </row>
    <row r="945" s="2" customFormat="1" ht="55" customHeight="1" spans="1:3">
      <c r="A945" s="5" t="s">
        <v>1889</v>
      </c>
      <c r="B945" s="6"/>
      <c r="C945" s="9" t="str">
        <f>IFERROR(VLOOKUP(VENTAS4[[#This Row],[Code]],STOCK[],5,FALSE),"-")</f>
        <v>Bolso estampado de Lona</v>
      </c>
    </row>
    <row r="946" s="2" customFormat="1" ht="55" customHeight="1" spans="1:3">
      <c r="A946" s="5" t="s">
        <v>1892</v>
      </c>
      <c r="B946" s="6"/>
      <c r="C946" s="9" t="str">
        <f>IFERROR(VLOOKUP(VENTAS4[[#This Row],[Code]],STOCK[],5,FALSE),"-")</f>
        <v>Set de bolso minimalista negro</v>
      </c>
    </row>
    <row r="947" s="2" customFormat="1" ht="55" customHeight="1" spans="1:3">
      <c r="A947" s="5" t="s">
        <v>1894</v>
      </c>
      <c r="B947" s="6"/>
      <c r="C947" s="9" t="str">
        <f>IFERROR(VLOOKUP(VENTAS4[[#This Row],[Code]],STOCK[],5,FALSE),"-")</f>
        <v>Set de bolso minimalista amarillo</v>
      </c>
    </row>
    <row r="948" s="2" customFormat="1" ht="55" customHeight="1" spans="1:3">
      <c r="A948" s="5" t="s">
        <v>1896</v>
      </c>
      <c r="B948" s="6"/>
      <c r="C948" s="9" t="str">
        <f>IFERROR(VLOOKUP(VENTAS4[[#This Row],[Code]],STOCK[],5,FALSE),"-")</f>
        <v>Bolso mochila estampado</v>
      </c>
    </row>
    <row r="949" s="2" customFormat="1" ht="55" customHeight="1" spans="1:3">
      <c r="A949" s="5" t="s">
        <v>1898</v>
      </c>
      <c r="B949" s="6"/>
      <c r="C949" s="9" t="str">
        <f>IFERROR(VLOOKUP(VENTAS4[[#This Row],[Code]],STOCK[],5,FALSE),"-")</f>
        <v>Bolso mochila Rojo</v>
      </c>
    </row>
    <row r="950" s="2" customFormat="1" ht="55" customHeight="1" spans="1:3">
      <c r="A950" s="5" t="s">
        <v>1900</v>
      </c>
      <c r="B950" s="6"/>
      <c r="C950" s="9" t="str">
        <f>IFERROR(VLOOKUP(VENTAS4[[#This Row],[Code]],STOCK[],5,FALSE),"-")</f>
        <v>Blusa estampada de Lunares</v>
      </c>
    </row>
    <row r="951" s="2" customFormat="1" ht="55" customHeight="1" spans="1:3">
      <c r="A951" s="5" t="s">
        <v>1903</v>
      </c>
      <c r="B951" s="6"/>
      <c r="C951" s="9" t="str">
        <f>IFERROR(VLOOKUP(VENTAS4[[#This Row],[Code]],STOCK[],5,FALSE),"-")</f>
        <v>Blusa estampada de Lunares</v>
      </c>
    </row>
    <row r="952" s="2" customFormat="1" ht="55" customHeight="1" spans="1:3">
      <c r="A952" s="5" t="s">
        <v>1904</v>
      </c>
      <c r="B952" s="6"/>
      <c r="C952" s="9" t="str">
        <f>IFERROR(VLOOKUP(VENTAS4[[#This Row],[Code]],STOCK[],5,FALSE),"-")</f>
        <v>Blusa estampada de Lunares</v>
      </c>
    </row>
    <row r="953" s="2" customFormat="1" ht="55" customHeight="1" spans="1:3">
      <c r="A953" s="5" t="s">
        <v>1905</v>
      </c>
      <c r="B953" s="6"/>
      <c r="C953" s="9" t="str">
        <f>IFERROR(VLOOKUP(VENTAS4[[#This Row],[Code]],STOCK[],5,FALSE),"-")</f>
        <v>Crossbody Cromado</v>
      </c>
    </row>
    <row r="954" s="2" customFormat="1" ht="55" customHeight="1" spans="1:3">
      <c r="A954" s="5" t="s">
        <v>1907</v>
      </c>
      <c r="B954" s="6"/>
      <c r="C954" s="9" t="str">
        <f>IFERROR(VLOOKUP(VENTAS4[[#This Row],[Code]],STOCK[],5,FALSE),"-")</f>
        <v>Gafas de Sol Retro Blanco</v>
      </c>
    </row>
    <row r="955" s="2" customFormat="1" ht="55" customHeight="1" spans="1:3">
      <c r="A955" s="5" t="s">
        <v>1911</v>
      </c>
      <c r="B955" s="6"/>
      <c r="C955" s="9" t="str">
        <f>IFERROR(VLOOKUP(VENTAS4[[#This Row],[Code]],STOCK[],5,FALSE),"-")</f>
        <v>Gafas de Sol Retro Carey</v>
      </c>
    </row>
    <row r="956" s="2" customFormat="1" ht="55" customHeight="1" spans="1:3">
      <c r="A956" s="5" t="s">
        <v>1913</v>
      </c>
      <c r="B956" s="6"/>
      <c r="C956" s="9" t="str">
        <f>IFERROR(VLOOKUP(VENTAS4[[#This Row],[Code]],STOCK[],5,FALSE),"-")</f>
        <v>Gafas de Sol Retro Negro</v>
      </c>
    </row>
    <row r="957" s="2" customFormat="1" ht="55" customHeight="1" spans="1:3">
      <c r="A957" s="5" t="s">
        <v>1915</v>
      </c>
      <c r="B957" s="6"/>
      <c r="C957" s="9" t="str">
        <f>IFERROR(VLOOKUP(VENTAS4[[#This Row],[Code]],STOCK[],5,FALSE),"-")</f>
        <v>Vestido Fresco Verano</v>
      </c>
    </row>
    <row r="958" s="2" customFormat="1" ht="55" customHeight="1" spans="1:3">
      <c r="A958" s="5" t="s">
        <v>1920</v>
      </c>
      <c r="B958" s="6"/>
      <c r="C958" s="9" t="str">
        <f>IFERROR(VLOOKUP(VENTAS4[[#This Row],[Code]],STOCK[],5,FALSE),"-")</f>
        <v>Vestido Fresco Verano</v>
      </c>
    </row>
    <row r="959" s="2" customFormat="1" ht="55" customHeight="1" spans="1:3">
      <c r="A959" s="5" t="s">
        <v>1923</v>
      </c>
      <c r="B959" s="6"/>
      <c r="C959" s="9" t="str">
        <f>IFERROR(VLOOKUP(VENTAS4[[#This Row],[Code]],STOCK[],5,FALSE),"-")</f>
        <v>Vestido Fresco Verano en Bloque de Color</v>
      </c>
    </row>
    <row r="960" s="2" customFormat="1" ht="55" customHeight="1" spans="1:3">
      <c r="A960" s="5" t="s">
        <v>1925</v>
      </c>
      <c r="B960" s="6"/>
      <c r="C960" s="9" t="str">
        <f>IFERROR(VLOOKUP(VENTAS4[[#This Row],[Code]],STOCK[],5,FALSE),"-")</f>
        <v>Sujetador Invisible Suave sin tirantes</v>
      </c>
    </row>
    <row r="961" s="2" customFormat="1" ht="55" customHeight="1" spans="1:3">
      <c r="A961" s="5" t="s">
        <v>1929</v>
      </c>
      <c r="B961" s="6"/>
      <c r="C961" s="9" t="str">
        <f>IFERROR(VLOOKUP(VENTAS4[[#This Row],[Code]],STOCK[],5,FALSE),"-")</f>
        <v>Sujetador Invisible Suave sin tirantes</v>
      </c>
    </row>
    <row r="962" s="2" customFormat="1" ht="55" customHeight="1" spans="1:3">
      <c r="A962" s="5" t="s">
        <v>1931</v>
      </c>
      <c r="B962" s="6"/>
      <c r="C962" s="9" t="str">
        <f>IFERROR(VLOOKUP(VENTAS4[[#This Row],[Code]],STOCK[],5,FALSE),"-")</f>
        <v>Sujetador Invisible Suave sin tirantes</v>
      </c>
    </row>
    <row r="963" s="2" customFormat="1" ht="55" customHeight="1" spans="1:3">
      <c r="A963" s="5" t="s">
        <v>1933</v>
      </c>
      <c r="B963" s="6"/>
      <c r="C963" s="9" t="str">
        <f>IFERROR(VLOOKUP(VENTAS4[[#This Row],[Code]],STOCK[],5,FALSE),"-")</f>
        <v>Sujetador Invisible Suave sin tirantes</v>
      </c>
    </row>
    <row r="964" s="2" customFormat="1" ht="55" customHeight="1" spans="1:3">
      <c r="A964" s="5" t="s">
        <v>1935</v>
      </c>
      <c r="B964" s="6"/>
      <c r="C964" s="9" t="str">
        <f>IFERROR(VLOOKUP(VENTAS4[[#This Row],[Code]],STOCK[],5,FALSE),"-")</f>
        <v>Sujetador suave de encaje y satén Beige</v>
      </c>
    </row>
    <row r="965" s="2" customFormat="1" ht="55" customHeight="1" spans="1:3">
      <c r="A965" s="5" t="s">
        <v>1938</v>
      </c>
      <c r="B965" s="6"/>
      <c r="C965" s="9" t="str">
        <f>IFERROR(VLOOKUP(VENTAS4[[#This Row],[Code]],STOCK[],5,FALSE),"-")</f>
        <v>Sujetador suave de encaje y satén Negro</v>
      </c>
    </row>
    <row r="966" s="2" customFormat="1" ht="55" customHeight="1" spans="1:3">
      <c r="A966" s="5" t="s">
        <v>1940</v>
      </c>
      <c r="B966" s="6"/>
      <c r="C966" s="9" t="str">
        <f>IFERROR(VLOOKUP(VENTAS4[[#This Row],[Code]],STOCK[],5,FALSE),"-")</f>
        <v>Sujetador suave de encaje y satén Negro</v>
      </c>
    </row>
    <row r="967" s="2" customFormat="1" ht="55" customHeight="1" spans="1:3">
      <c r="A967" s="5" t="s">
        <v>1941</v>
      </c>
      <c r="B967" s="6"/>
      <c r="C967" s="9" t="str">
        <f>IFERROR(VLOOKUP(VENTAS4[[#This Row],[Code]],STOCK[],5,FALSE),"-")</f>
        <v>Zapatillas blanco casual</v>
      </c>
    </row>
    <row r="968" s="2" customFormat="1" ht="55" customHeight="1" spans="1:3">
      <c r="A968" s="5" t="s">
        <v>1944</v>
      </c>
      <c r="B968" s="6"/>
      <c r="C968" s="9" t="str">
        <f>IFERROR(VLOOKUP(VENTAS4[[#This Row],[Code]],STOCK[],5,FALSE),"-")</f>
        <v>Vestido a Media Pierna Elegante y Versátil</v>
      </c>
    </row>
    <row r="969" s="2" customFormat="1" ht="55" customHeight="1" spans="1:3">
      <c r="A969" s="5" t="s">
        <v>1946</v>
      </c>
      <c r="B969" s="6"/>
      <c r="C969" s="9" t="str">
        <f>IFERROR(VLOOKUP(VENTAS4[[#This Row],[Code]],STOCK[],5,FALSE),"-")</f>
        <v>Pantalón corto blanco de rayas</v>
      </c>
    </row>
    <row r="970" s="2" customFormat="1" ht="55" customHeight="1" spans="1:3">
      <c r="A970" s="5" t="s">
        <v>1952</v>
      </c>
      <c r="B970" s="6"/>
      <c r="C970" s="9" t="str">
        <f>IFERROR(VLOOKUP(VENTAS4[[#This Row],[Code]],STOCK[],5,FALSE),"-")</f>
        <v>Vestido Chaleco con botones</v>
      </c>
    </row>
    <row r="971" s="2" customFormat="1" ht="55" customHeight="1" spans="1:3">
      <c r="A971" s="5" t="s">
        <v>1955</v>
      </c>
      <c r="B971" s="6"/>
      <c r="C971" s="9" t="str">
        <f>IFERROR(VLOOKUP(VENTAS4[[#This Row],[Code]],STOCK[],5,FALSE),"-")</f>
        <v>Vestido verde Overall (Nuevo)</v>
      </c>
    </row>
    <row r="972" s="2" customFormat="1" ht="55" customHeight="1" spans="1:3">
      <c r="A972" s="5" t="s">
        <v>1958</v>
      </c>
      <c r="B972" s="6"/>
      <c r="C972" s="9" t="str">
        <f>IFERROR(VLOOKUP(VENTAS4[[#This Row],[Code]],STOCK[],5,FALSE),"-")</f>
        <v>Falda con fajín </v>
      </c>
    </row>
    <row r="973" s="2" customFormat="1" ht="55" customHeight="1" spans="1:3">
      <c r="A973" s="5" t="s">
        <v>1962</v>
      </c>
      <c r="B973" s="6"/>
      <c r="C973" s="9" t="str">
        <f>IFERROR(VLOOKUP(VENTAS4[[#This Row],[Code]],STOCK[],5,FALSE),"-")</f>
        <v>Blusa de puntos</v>
      </c>
    </row>
    <row r="974" s="2" customFormat="1" ht="55" customHeight="1" spans="1:3">
      <c r="A974" s="5" t="s">
        <v>1965</v>
      </c>
      <c r="B974" s="6"/>
      <c r="C974" s="9" t="str">
        <f>IFERROR(VLOOKUP(VENTAS4[[#This Row],[Code]],STOCK[],5,FALSE),"-")</f>
        <v>Vestido de una manga en vuelo (Nuevo)</v>
      </c>
    </row>
    <row r="975" s="2" customFormat="1" ht="55" customHeight="1" spans="1:3">
      <c r="A975" s="5" t="s">
        <v>1968</v>
      </c>
      <c r="B975" s="6"/>
      <c r="C975" s="9" t="str">
        <f>IFERROR(VLOOKUP(VENTAS4[[#This Row],[Code]],STOCK[],5,FALSE),"-")</f>
        <v>Vestido chino de satín </v>
      </c>
    </row>
    <row r="976" s="2" customFormat="1" ht="55" customHeight="1" spans="1:3">
      <c r="A976" s="5" t="s">
        <v>1971</v>
      </c>
      <c r="B976" s="6"/>
      <c r="C976" s="9" t="str">
        <f>IFERROR(VLOOKUP(VENTAS4[[#This Row],[Code]],STOCK[],5,FALSE),"-")</f>
        <v>Body strapless (Nuevo)</v>
      </c>
    </row>
    <row r="977" s="2" customFormat="1" ht="55" customHeight="1" spans="1:3">
      <c r="A977" s="5" t="s">
        <v>1973</v>
      </c>
      <c r="B977" s="6"/>
      <c r="C977" s="9" t="str">
        <f>IFERROR(VLOOKUP(VENTAS4[[#This Row],[Code]],STOCK[],5,FALSE),"-")</f>
        <v>Short de talle bajo</v>
      </c>
    </row>
    <row r="978" s="2" customFormat="1" ht="55" customHeight="1" spans="1:3">
      <c r="A978" s="5" t="s">
        <v>1977</v>
      </c>
      <c r="B978" s="6"/>
      <c r="C978" s="9" t="str">
        <f>IFERROR(VLOOKUP(VENTAS4[[#This Row],[Code]],STOCK[],5,FALSE),"-")</f>
        <v>Vestido rojo a media pierna con cinturón</v>
      </c>
    </row>
    <row r="979" s="2" customFormat="1" ht="55" customHeight="1" spans="1:3">
      <c r="A979" s="5" t="s">
        <v>1979</v>
      </c>
      <c r="B979" s="6"/>
      <c r="C979" s="9" t="str">
        <f>IFERROR(VLOOKUP(VENTAS4[[#This Row],[Code]],STOCK[],5,FALSE),"-")</f>
        <v>Bermuda denim curvy</v>
      </c>
    </row>
    <row r="980" s="2" customFormat="1" ht="55" customHeight="1" spans="1:3">
      <c r="A980" s="5" t="s">
        <v>1982</v>
      </c>
      <c r="B980" s="6"/>
      <c r="C980" s="9" t="str">
        <f>IFERROR(VLOOKUP(VENTAS4[[#This Row],[Code]],STOCK[],5,FALSE),"-")</f>
        <v>Solera de manga corta</v>
      </c>
    </row>
    <row r="981" s="2" customFormat="1" ht="55" customHeight="1" spans="1:3">
      <c r="A981" s="5" t="s">
        <v>1985</v>
      </c>
      <c r="B981" s="6"/>
      <c r="C981" s="9" t="str">
        <f>IFERROR(VLOOKUP(VENTAS4[[#This Row],[Code]],STOCK[],5,FALSE),"-")</f>
        <v>Vestido mangas de vuelo</v>
      </c>
    </row>
    <row r="982" s="2" customFormat="1" ht="55" customHeight="1" spans="1:3">
      <c r="A982" s="5" t="s">
        <v>1987</v>
      </c>
      <c r="B982" s="6"/>
      <c r="C982" s="9" t="str">
        <f>IFERROR(VLOOKUP(VENTAS4[[#This Row],[Code]],STOCK[],5,FALSE),"-")</f>
        <v>Mono Camisero de rayas (Nuevo)</v>
      </c>
    </row>
    <row r="983" s="2" customFormat="1" ht="55" customHeight="1" spans="1:3">
      <c r="A983" s="5" t="s">
        <v>1989</v>
      </c>
      <c r="B983" s="6"/>
      <c r="C983" s="9" t="str">
        <f>IFERROR(VLOOKUP(VENTAS4[[#This Row],[Code]],STOCK[],5,FALSE),"-")</f>
        <v>Falda Lentejuelas (Nuevo)</v>
      </c>
    </row>
    <row r="984" s="2" customFormat="1" ht="55" customHeight="1" spans="1:3">
      <c r="A984" s="5" t="s">
        <v>1992</v>
      </c>
      <c r="B984" s="6"/>
      <c r="C984" s="9" t="str">
        <f>IFERROR(VLOOKUP(VENTAS4[[#This Row],[Code]],STOCK[],5,FALSE),"-")</f>
        <v>Bermuda denim SHEIN</v>
      </c>
    </row>
    <row r="985" s="2" customFormat="1" ht="55" customHeight="1" spans="1:3">
      <c r="A985" s="5" t="s">
        <v>1995</v>
      </c>
      <c r="B985" s="6"/>
      <c r="C985" s="9" t="str">
        <f>IFERROR(VLOOKUP(VENTAS4[[#This Row],[Code]],STOCK[],5,FALSE),"-")</f>
        <v>Bermuda denim H&amp;M</v>
      </c>
    </row>
    <row r="986" s="2" customFormat="1" ht="55" customHeight="1" spans="1:3">
      <c r="A986" s="5" t="s">
        <v>1998</v>
      </c>
      <c r="B986" s="6"/>
      <c r="C986" s="9" t="str">
        <f>IFERROR(VLOOKUP(VENTAS4[[#This Row],[Code]],STOCK[],5,FALSE),"-")</f>
        <v>Short estampado</v>
      </c>
    </row>
    <row r="987" s="2" customFormat="1" ht="55" customHeight="1" spans="1:3">
      <c r="A987" s="5" t="s">
        <v>2002</v>
      </c>
      <c r="B987" s="6"/>
      <c r="C987" s="9" t="str">
        <f>IFERROR(VLOOKUP(VENTAS4[[#This Row],[Code]],STOCK[],5,FALSE),"-")</f>
        <v>Blusa de picos (Nuevo)</v>
      </c>
    </row>
    <row r="988" s="2" customFormat="1" ht="55" customHeight="1" spans="1:3">
      <c r="A988" s="5" t="s">
        <v>2004</v>
      </c>
      <c r="B988" s="6"/>
      <c r="C988" s="9" t="str">
        <f>IFERROR(VLOOKUP(VENTAS4[[#This Row],[Code]],STOCK[],5,FALSE),"-")</f>
        <v>Blusa manga 3/4</v>
      </c>
    </row>
    <row r="989" s="2" customFormat="1" ht="55" customHeight="1" spans="1:3">
      <c r="A989" s="5" t="s">
        <v>2007</v>
      </c>
      <c r="B989" s="6"/>
      <c r="C989" s="9" t="str">
        <f>IFERROR(VLOOKUP(VENTAS4[[#This Row],[Code]],STOCK[],5,FALSE),"-")</f>
        <v>Pantalón corto estampado (Nuevo)</v>
      </c>
    </row>
    <row r="990" s="2" customFormat="1" ht="55" customHeight="1" spans="1:3">
      <c r="A990" s="5" t="s">
        <v>2010</v>
      </c>
      <c r="B990" s="6"/>
      <c r="C990" s="9" t="str">
        <f>IFERROR(VLOOKUP(VENTAS4[[#This Row],[Code]],STOCK[],5,FALSE),"-")</f>
        <v>Blusa corta de espalda escotada</v>
      </c>
    </row>
    <row r="991" s="2" customFormat="1" ht="55" customHeight="1" spans="1:3">
      <c r="A991" s="5" t="s">
        <v>2013</v>
      </c>
      <c r="B991" s="6"/>
      <c r="C991" s="9" t="str">
        <f>IFERROR(VLOOKUP(VENTAS4[[#This Row],[Code]],STOCK[],5,FALSE),"-")</f>
        <v>Falda ajustada de zíper</v>
      </c>
    </row>
    <row r="992" s="2" customFormat="1" ht="55" customHeight="1" spans="1:3">
      <c r="A992" s="5" t="s">
        <v>2016</v>
      </c>
      <c r="B992" s="6"/>
      <c r="C992" s="9" t="str">
        <f>IFERROR(VLOOKUP(VENTAS4[[#This Row],[Code]],STOCK[],5,FALSE),"-")</f>
        <v>Jogger afelpado de talle alto (Nuevo)</v>
      </c>
    </row>
    <row r="993" s="2" customFormat="1" ht="55" customHeight="1" spans="1:3">
      <c r="A993" s="5" t="s">
        <v>2019</v>
      </c>
      <c r="B993" s="6"/>
      <c r="C993" s="9" t="str">
        <f>IFERROR(VLOOKUP(VENTAS4[[#This Row],[Code]],STOCK[],5,FALSE),"-")</f>
        <v>Jogger afelpado de talle alto </v>
      </c>
    </row>
    <row r="994" s="2" customFormat="1" ht="55" customHeight="1" spans="1:3">
      <c r="A994" s="5" t="s">
        <v>2022</v>
      </c>
      <c r="B994" s="6"/>
      <c r="C994" s="9" t="str">
        <f>IFERROR(VLOOKUP(VENTAS4[[#This Row],[Code]],STOCK[],5,FALSE),"-")</f>
        <v>Jogger afelpado de talle alto (Nuevo)</v>
      </c>
    </row>
    <row r="995" s="2" customFormat="1" ht="55" customHeight="1" spans="1:3">
      <c r="A995" s="5" t="s">
        <v>2024</v>
      </c>
      <c r="B995" s="6"/>
      <c r="C995" s="9" t="str">
        <f>IFERROR(VLOOKUP(VENTAS4[[#This Row],[Code]],STOCK[],5,FALSE),"-")</f>
        <v>Blusa bajo con bordados</v>
      </c>
    </row>
    <row r="996" s="2" customFormat="1" ht="55" customHeight="1" spans="1:3">
      <c r="A996" s="5" t="s">
        <v>2027</v>
      </c>
      <c r="B996" s="6"/>
      <c r="C996" s="9" t="str">
        <f>IFERROR(VLOOKUP(VENTAS4[[#This Row],[Code]],STOCK[],5,FALSE),"-")</f>
        <v>Blusa de bolas cuello con lazo</v>
      </c>
    </row>
    <row r="997" s="2" customFormat="1" ht="55" customHeight="1" spans="1:3">
      <c r="A997" s="5" t="s">
        <v>2031</v>
      </c>
      <c r="B997" s="6"/>
      <c r="C997" s="9" t="str">
        <f>IFERROR(VLOOKUP(VENTAS4[[#This Row],[Code]],STOCK[],5,FALSE),"-")</f>
        <v>Blusa corta de manga 3/4</v>
      </c>
    </row>
    <row r="998" s="2" customFormat="1" ht="55" customHeight="1" spans="1:3">
      <c r="A998" s="5" t="s">
        <v>2033</v>
      </c>
      <c r="B998" s="6"/>
      <c r="C998" s="9" t="str">
        <f>IFERROR(VLOOKUP(VENTAS4[[#This Row],[Code]],STOCK[],5,FALSE),"-")</f>
        <v>Blusa bordada de cuello healter</v>
      </c>
    </row>
    <row r="999" s="2" customFormat="1" ht="55" customHeight="1" spans="1:3">
      <c r="A999" s="5" t="s">
        <v>2037</v>
      </c>
      <c r="B999" s="6"/>
      <c r="C999" s="9" t="str">
        <f>IFERROR(VLOOKUP(VENTAS4[[#This Row],[Code]],STOCK[],5,FALSE),"-")</f>
        <v>Blusa de manga corta </v>
      </c>
    </row>
    <row r="1000" s="2" customFormat="1" ht="55" customHeight="1" spans="1:3">
      <c r="A1000" s="5" t="s">
        <v>2040</v>
      </c>
      <c r="B1000" s="6"/>
      <c r="C1000" s="9" t="str">
        <f>IFERROR(VLOOKUP(VENTAS4[[#This Row],[Code]],STOCK[],5,FALSE),"-")</f>
        <v>Blusa estampada geométrica</v>
      </c>
    </row>
    <row r="1001" s="2" customFormat="1" ht="55" customHeight="1" spans="1:3">
      <c r="A1001" s="5" t="s">
        <v>2042</v>
      </c>
      <c r="B1001" s="6"/>
      <c r="C1001" s="9" t="str">
        <f>IFERROR(VLOOKUP(VENTAS4[[#This Row],[Code]],STOCK[],5,FALSE),"-")</f>
        <v>Blusa floreada con bajo bordado</v>
      </c>
    </row>
    <row r="1002" s="2" customFormat="1" ht="55" customHeight="1" spans="1:3">
      <c r="A1002" s="5" t="s">
        <v>2044</v>
      </c>
      <c r="B1002" s="6"/>
      <c r="C1002" s="9" t="str">
        <f>IFERROR(VLOOKUP(VENTAS4[[#This Row],[Code]],STOCK[],5,FALSE),"-")</f>
        <v>Blusa naranja abombada</v>
      </c>
    </row>
    <row r="1003" s="2" customFormat="1" ht="55" customHeight="1" spans="1:3">
      <c r="A1003" s="5" t="s">
        <v>2047</v>
      </c>
      <c r="B1003" s="6"/>
      <c r="C1003" s="9" t="str">
        <f>IFERROR(VLOOKUP(VENTAS4[[#This Row],[Code]],STOCK[],5,FALSE),"-")</f>
        <v>Blusa blanca mangas en contraste</v>
      </c>
    </row>
    <row r="1004" s="2" customFormat="1" ht="55" customHeight="1" spans="1:3">
      <c r="A1004" s="5" t="s">
        <v>2050</v>
      </c>
      <c r="B1004" s="6"/>
      <c r="C1004" s="9" t="str">
        <f>IFERROR(VLOOKUP(VENTAS4[[#This Row],[Code]],STOCK[],5,FALSE),"-")</f>
        <v>Blusa negra mangas de vuelo</v>
      </c>
    </row>
    <row r="1005" s="2" customFormat="1" ht="55" customHeight="1" spans="1:3">
      <c r="A1005" s="5" t="s">
        <v>2054</v>
      </c>
      <c r="B1005" s="6"/>
      <c r="C1005" s="9" t="str">
        <f>IFERROR(VLOOKUP(VENTAS4[[#This Row],[Code]],STOCK[],5,FALSE),"-")</f>
        <v>Conjunto Playera y short bikers (devolución)</v>
      </c>
    </row>
    <row r="1006" s="2" customFormat="1" ht="55" customHeight="1" spans="1:3">
      <c r="A1006" s="5" t="s">
        <v>2057</v>
      </c>
      <c r="B1006" s="6"/>
      <c r="C1006" s="9" t="str">
        <f>IFERROR(VLOOKUP(VENTAS4[[#This Row],[Code]],STOCK[],5,FALSE),"-")</f>
        <v>Pantalón Blanco de pierna ancha</v>
      </c>
    </row>
    <row r="1007" s="2" customFormat="1" ht="55" customHeight="1" spans="1:3">
      <c r="A1007" s="5" t="s">
        <v>2059</v>
      </c>
      <c r="B1007" s="6"/>
      <c r="C1007" s="9" t="str">
        <f>IFERROR(VLOOKUP(VENTAS4[[#This Row],[Code]],STOCK[],5,FALSE),"-")</f>
        <v> Short de media pierna</v>
      </c>
    </row>
    <row r="1008" s="2" customFormat="1" ht="55" customHeight="1" spans="1:3">
      <c r="A1008" s="5" t="s">
        <v>2062</v>
      </c>
      <c r="B1008" s="6"/>
      <c r="C1008" s="9" t="str">
        <f>IFERROR(VLOOKUP(VENTAS4[[#This Row],[Code]],STOCK[],5,FALSE),"-")</f>
        <v>Jean Skinny costura en contraste</v>
      </c>
    </row>
    <row r="1009" s="2" customFormat="1" ht="55" customHeight="1" spans="1:3">
      <c r="A1009" s="5" t="s">
        <v>2065</v>
      </c>
      <c r="B1009" s="6"/>
      <c r="C1009" s="9" t="str">
        <f>IFERROR(VLOOKUP(VENTAS4[[#This Row],[Code]],STOCK[],5,FALSE),"-")</f>
        <v>Jean Skinny floreado</v>
      </c>
    </row>
    <row r="1010" s="2" customFormat="1" ht="55" customHeight="1" spans="1:3">
      <c r="A1010" s="5" t="s">
        <v>2069</v>
      </c>
      <c r="B1010" s="6"/>
      <c r="C1010" s="9" t="str">
        <f>IFERROR(VLOOKUP(VENTAS4[[#This Row],[Code]],STOCK[],5,FALSE),"-")</f>
        <v>Jean corte mom de remaches finos</v>
      </c>
    </row>
    <row r="1011" s="2" customFormat="1" ht="55" customHeight="1" spans="1:3">
      <c r="A1011" s="5" t="s">
        <v>2071</v>
      </c>
      <c r="B1011" s="6"/>
      <c r="C1011" s="9" t="str">
        <f>IFERROR(VLOOKUP(VENTAS4[[#This Row],[Code]],STOCK[],5,FALSE),"-")</f>
        <v>Jean con doblez estampado </v>
      </c>
    </row>
    <row r="1012" s="2" customFormat="1" ht="55" customHeight="1" spans="1:3">
      <c r="A1012" s="5" t="s">
        <v>2073</v>
      </c>
      <c r="B1012" s="6"/>
      <c r="C1012" s="9" t="str">
        <f>IFERROR(VLOOKUP(VENTAS4[[#This Row],[Code]],STOCK[],5,FALSE),"-")</f>
        <v>Jean skinny de corte bajo </v>
      </c>
    </row>
    <row r="1013" s="2" customFormat="1" ht="55" customHeight="1" spans="1:3">
      <c r="A1013" s="5" t="s">
        <v>2075</v>
      </c>
      <c r="B1013" s="6"/>
      <c r="C1013" s="9" t="str">
        <f>IFERROR(VLOOKUP(VENTAS4[[#This Row],[Code]],STOCK[],5,FALSE),"-")</f>
        <v>Jean Oscuro desteñido</v>
      </c>
    </row>
    <row r="1014" s="2" customFormat="1" ht="55" customHeight="1" spans="1:3">
      <c r="A1014" s="5" t="s">
        <v>2078</v>
      </c>
      <c r="B1014" s="6"/>
      <c r="C1014" s="9" t="str">
        <f>IFERROR(VLOOKUP(VENTAS4[[#This Row],[Code]],STOCK[],5,FALSE),"-")</f>
        <v>Jean corte ancho de bajo descosido</v>
      </c>
    </row>
    <row r="1015" s="2" customFormat="1" ht="55" customHeight="1" spans="1:3">
      <c r="A1015" s="5" t="s">
        <v>2080</v>
      </c>
      <c r="B1015" s="6"/>
      <c r="C1015" s="9" t="str">
        <f>IFERROR(VLOOKUP(VENTAS4[[#This Row],[Code]],STOCK[],5,FALSE),"-")</f>
        <v>Jean skinny corto </v>
      </c>
    </row>
    <row r="1016" s="2" customFormat="1" ht="55" customHeight="1" spans="1:3">
      <c r="A1016" s="5" t="s">
        <v>2082</v>
      </c>
      <c r="B1016" s="6"/>
      <c r="C1016" s="9" t="str">
        <f>IFERROR(VLOOKUP(VENTAS4[[#This Row],[Code]],STOCK[],5,FALSE),"-")</f>
        <v>Falda de vuelos con zíper</v>
      </c>
    </row>
    <row r="1017" s="2" customFormat="1" ht="55" customHeight="1" spans="1:3">
      <c r="A1017" s="5" t="s">
        <v>2084</v>
      </c>
      <c r="B1017" s="6"/>
      <c r="C1017" s="9" t="str">
        <f>IFERROR(VLOOKUP(VENTAS4[[#This Row],[Code]],STOCK[],5,FALSE),"-")</f>
        <v>Botín de punta cuadrada y zíper</v>
      </c>
    </row>
    <row r="1018" s="2" customFormat="1" ht="55" customHeight="1" spans="1:3">
      <c r="A1018" s="5" t="s">
        <v>2086</v>
      </c>
      <c r="B1018" s="6"/>
      <c r="C1018" s="9" t="str">
        <f>IFERROR(VLOOKUP(VENTAS4[[#This Row],[Code]],STOCK[],5,FALSE),"-")</f>
        <v>Blusa estampada de Lunares</v>
      </c>
    </row>
    <row r="1019" s="2" customFormat="1" ht="55" customHeight="1" spans="1:3">
      <c r="A1019" s="5" t="s">
        <v>2087</v>
      </c>
      <c r="B1019" s="6"/>
      <c r="C1019" s="9" t="str">
        <f>IFERROR(VLOOKUP(VENTAS4[[#This Row],[Code]],STOCK[],5,FALSE),"-")</f>
        <v>Top rosa acanalado</v>
      </c>
    </row>
    <row r="1020" s="2" customFormat="1" ht="55" customHeight="1" spans="1:3">
      <c r="A1020" s="5" t="s">
        <v>2091</v>
      </c>
      <c r="B1020" s="6" t="s">
        <v>2092</v>
      </c>
      <c r="C1020" s="9" t="str">
        <f>IFERROR(VLOOKUP(VENTAS4[[#This Row],[Code]],STOCK[],5,FALSE),"-")</f>
        <v>Body traslúcido floreado</v>
      </c>
    </row>
    <row r="1021" s="2" customFormat="1" ht="55" customHeight="1" spans="1:3">
      <c r="A1021" s="5" t="s">
        <v>2094</v>
      </c>
      <c r="B1021" s="6"/>
      <c r="C1021" s="9" t="str">
        <f>IFERROR(VLOOKUP(VENTAS4[[#This Row],[Code]],STOCK[],5,FALSE),"-")</f>
        <v>Corset negro elegante de encaje</v>
      </c>
    </row>
    <row r="1022" s="2" customFormat="1" ht="55" customHeight="1" spans="1:3">
      <c r="A1022" s="5" t="s">
        <v>2096</v>
      </c>
      <c r="B1022" s="6"/>
      <c r="C1022" s="9" t="str">
        <f>IFERROR(VLOOKUP(VENTAS4[[#This Row],[Code]],STOCK[],5,FALSE),"-")</f>
        <v>Corset negro elegante de encaje</v>
      </c>
    </row>
    <row r="1023" s="2" customFormat="1" ht="55" customHeight="1" spans="1:3">
      <c r="A1023" s="5" t="s">
        <v>2097</v>
      </c>
      <c r="B1023" s="6"/>
      <c r="C1023" s="9" t="str">
        <f>IFERROR(VLOOKUP(VENTAS4[[#This Row],[Code]],STOCK[],5,FALSE),"-")</f>
        <v>Vestido acanalado de manga larga</v>
      </c>
    </row>
    <row r="1024" s="2" customFormat="1" ht="55" customHeight="1" spans="1:3">
      <c r="A1024" s="5" t="s">
        <v>2098</v>
      </c>
      <c r="B1024" s="6" t="s">
        <v>2092</v>
      </c>
      <c r="C1024" s="9" t="str">
        <f>IFERROR(VLOOKUP(VENTAS4[[#This Row],[Code]],STOCK[],5,FALSE),"-")</f>
        <v>Vestido Ajustado estilo pullover</v>
      </c>
    </row>
    <row r="1025" s="2" customFormat="1" ht="55" customHeight="1" spans="1:3">
      <c r="A1025" s="5" t="s">
        <v>3747</v>
      </c>
      <c r="B1025" s="6"/>
      <c r="C1025" s="9" t="str">
        <f>IFERROR(VLOOKUP(VENTAS4[[#This Row],[Code]],STOCK[],5,FALSE),"-")</f>
        <v>-</v>
      </c>
    </row>
    <row r="1026" s="2" customFormat="1" ht="55" customHeight="1" spans="1:3">
      <c r="A1026" s="5" t="s">
        <v>2102</v>
      </c>
      <c r="B1026" s="6"/>
      <c r="C1026" s="9" t="str">
        <f>IFERROR(VLOOKUP(VENTAS4[[#This Row],[Code]],STOCK[],5,FALSE),"-")</f>
        <v>Sandalias de velcro</v>
      </c>
    </row>
    <row r="1027" s="2" customFormat="1" ht="55" customHeight="1" spans="1:3">
      <c r="A1027" s="5" t="s">
        <v>2103</v>
      </c>
      <c r="B1027" s="6"/>
      <c r="C1027" s="9" t="str">
        <f>IFERROR(VLOOKUP(VENTAS4[[#This Row],[Code]],STOCK[],5,FALSE),"-")</f>
        <v>Sandalias flip de plataforma Rosadas Marca F21</v>
      </c>
    </row>
    <row r="1028" s="2" customFormat="1" ht="55" customHeight="1" spans="1:3">
      <c r="A1028" s="5" t="s">
        <v>2104</v>
      </c>
      <c r="B1028" s="6"/>
      <c r="C1028" s="9" t="str">
        <f>IFERROR(VLOOKUP(VENTAS4[[#This Row],[Code]],STOCK[],5,FALSE),"-")</f>
        <v>Fashion TOTE bag tamaño de gran capacidad</v>
      </c>
    </row>
    <row r="1029" s="2" customFormat="1" ht="55" customHeight="1" spans="1:3">
      <c r="A1029" s="5" t="s">
        <v>2108</v>
      </c>
      <c r="B1029" s="6"/>
      <c r="C1029" s="9" t="str">
        <f>IFERROR(VLOOKUP(VENTAS4[[#This Row],[Code]],STOCK[],5,FALSE),"-")</f>
        <v>The Cat TOTE bag tamaño de Gran Capacidad </v>
      </c>
    </row>
    <row r="1030" s="2" customFormat="1" ht="55" customHeight="1" spans="1:3">
      <c r="A1030" s="5" t="s">
        <v>2112</v>
      </c>
      <c r="B1030" s="6"/>
      <c r="C1030" s="9" t="str">
        <f>IFERROR(VLOOKUP(VENTAS4[[#This Row],[Code]],STOCK[],5,FALSE),"-")</f>
        <v>Flor TOTE fashion bag</v>
      </c>
    </row>
    <row r="1031" s="2" customFormat="1" ht="55" customHeight="1" spans="1:3">
      <c r="A1031" s="5" t="s">
        <v>2115</v>
      </c>
      <c r="B1031" s="6"/>
      <c r="C1031" s="9" t="str">
        <f>IFERROR(VLOOKUP(VENTAS4[[#This Row],[Code]],STOCK[],5,FALSE),"-")</f>
        <v>Vestido Estampado floral de moda</v>
      </c>
    </row>
    <row r="1032" s="2" customFormat="1" ht="55" customHeight="1" spans="1:3">
      <c r="A1032" s="5" t="s">
        <v>2119</v>
      </c>
      <c r="B1032" s="6"/>
      <c r="C1032" s="9" t="str">
        <f>IFERROR(VLOOKUP(VENTAS4[[#This Row],[Code]],STOCK[],5,FALSE),"-")</f>
        <v>Vestido Estampado floral de moda</v>
      </c>
    </row>
    <row r="1033" s="2" customFormat="1" ht="55" customHeight="1" spans="1:3">
      <c r="A1033" s="5" t="s">
        <v>2121</v>
      </c>
      <c r="B1033" s="6"/>
      <c r="C1033" s="9" t="str">
        <f>IFERROR(VLOOKUP(VENTAS4[[#This Row],[Code]],STOCK[],5,FALSE),"-")</f>
        <v>Set de traje de baño elegante 2 piezas con adorno en forma de V</v>
      </c>
    </row>
    <row r="1034" s="2" customFormat="1" ht="55" customHeight="1" spans="1:3">
      <c r="A1034" s="5" t="s">
        <v>2124</v>
      </c>
      <c r="B1034" s="6"/>
      <c r="C1034" s="9" t="str">
        <f>IFERROR(VLOOKUP(VENTAS4[[#This Row],[Code]],STOCK[],5,FALSE),"-")</f>
        <v>Set de traje de baño elegante 2 piezas con adorno en forma de V</v>
      </c>
    </row>
    <row r="1035" s="2" customFormat="1" ht="55" customHeight="1" spans="1:3">
      <c r="A1035" s="5" t="s">
        <v>2127</v>
      </c>
      <c r="B1035" s="6"/>
      <c r="C1035" s="9" t="str">
        <f>IFERROR(VLOOKUP(VENTAS4[[#This Row],[Code]],STOCK[],5,FALSE),"-")</f>
        <v>Set de traje de baño 3 piezas Azul metalizado</v>
      </c>
    </row>
    <row r="1036" s="2" customFormat="1" ht="55" customHeight="1" spans="1:3">
      <c r="A1036" s="5" t="s">
        <v>2130</v>
      </c>
      <c r="B1036" s="6"/>
      <c r="C1036" s="9" t="str">
        <f>IFERROR(VLOOKUP(VENTAS4[[#This Row],[Code]],STOCK[],5,FALSE),"-")</f>
        <v>Set Chic de conjunto de 2 piezas </v>
      </c>
    </row>
    <row r="1037" s="2" customFormat="1" ht="55" customHeight="1" spans="1:3">
      <c r="A1037" s="5" t="s">
        <v>2134</v>
      </c>
      <c r="B1037" s="6"/>
      <c r="C1037" s="9" t="str">
        <f>IFERROR(VLOOKUP(VENTAS4[[#This Row],[Code]],STOCK[],5,FALSE),"-")</f>
        <v>Falda Bohemia de mezclilla de cintura alta con detalles de botón</v>
      </c>
    </row>
    <row r="1038" s="2" customFormat="1" ht="55" customHeight="1" spans="1:3">
      <c r="A1038" s="5" t="s">
        <v>2139</v>
      </c>
      <c r="B1038" s="6"/>
      <c r="C1038" s="9" t="str">
        <f>IFERROR(VLOOKUP(VENTAS4[[#This Row],[Code]],STOCK[],5,FALSE),"-")</f>
        <v>Falda Bohemia de mezclilla de cintura alta con detalles de botón</v>
      </c>
    </row>
    <row r="1039" s="2" customFormat="1" ht="55" customHeight="1" spans="1:3">
      <c r="A1039" s="5" t="s">
        <v>2142</v>
      </c>
      <c r="B1039" s="6"/>
      <c r="C1039" s="9" t="str">
        <f>IFERROR(VLOOKUP(VENTAS4[[#This Row],[Code]],STOCK[],5,FALSE),"-")</f>
        <v>Falda Bohemia de mezclilla de cintura alta con detalles de botón</v>
      </c>
    </row>
    <row r="1040" s="2" customFormat="1" ht="55" customHeight="1" spans="1:3">
      <c r="A1040" s="5" t="s">
        <v>2145</v>
      </c>
      <c r="B1040" s="6"/>
      <c r="C1040" s="9" t="str">
        <f>IFERROR(VLOOKUP(VENTAS4[[#This Row],[Code]],STOCK[],5,FALSE),"-")</f>
        <v>Set de 3 piezas de bikini con estampado floral</v>
      </c>
    </row>
    <row r="1041" s="2" customFormat="1" ht="55" customHeight="1" spans="1:3">
      <c r="A1041" s="5" t="s">
        <v>2148</v>
      </c>
      <c r="B1041" s="6"/>
      <c r="C1041" s="9" t="str">
        <f>IFERROR(VLOOKUP(VENTAS4[[#This Row],[Code]],STOCK[],5,FALSE),"-")</f>
        <v>Set de 3 piezas de bikini con estampado floral</v>
      </c>
    </row>
    <row r="1042" s="2" customFormat="1" ht="55" customHeight="1" spans="1:3">
      <c r="A1042" s="5" t="s">
        <v>2150</v>
      </c>
      <c r="B1042" s="6"/>
      <c r="C1042" s="9" t="str">
        <f>IFERROR(VLOOKUP(VENTAS4[[#This Row],[Code]],STOCK[],5,FALSE),"-")</f>
        <v>Set de 3 piezas de bikini con estampado floral</v>
      </c>
    </row>
    <row r="1043" s="2" customFormat="1" ht="55" customHeight="1" spans="1:3">
      <c r="A1043" s="5" t="s">
        <v>2152</v>
      </c>
      <c r="B1043" s="6"/>
      <c r="C1043" s="9" t="str">
        <f>IFERROR(VLOOKUP(VENTAS4[[#This Row],[Code]],STOCK[],5,FALSE),"-")</f>
        <v>Set de bikini 3 piezas estampado navy</v>
      </c>
    </row>
    <row r="1044" s="2" customFormat="1" ht="55" customHeight="1" spans="1:3">
      <c r="A1044" s="5" t="s">
        <v>2155</v>
      </c>
      <c r="B1044" s="6"/>
      <c r="C1044" s="9" t="str">
        <f>IFERROR(VLOOKUP(VENTAS4[[#This Row],[Code]],STOCK[],5,FALSE),"-")</f>
        <v>Set de bikini estampado de flor de 3 piezas de cintura alta</v>
      </c>
    </row>
    <row r="1045" s="2" customFormat="1" ht="55" customHeight="1" spans="1:3">
      <c r="A1045" s="5" t="s">
        <v>2158</v>
      </c>
      <c r="B1045" s="6"/>
      <c r="C1045" s="9" t="str">
        <f>IFERROR(VLOOKUP(VENTAS4[[#This Row],[Code]],STOCK[],5,FALSE),"-")</f>
        <v>Set de bikini estampado de flor de 3 piezas de cintura alta</v>
      </c>
    </row>
    <row r="1046" s="2" customFormat="1" ht="55" customHeight="1" spans="1:3">
      <c r="A1046" s="5" t="s">
        <v>2160</v>
      </c>
      <c r="B1046" s="6"/>
      <c r="C1046" s="9" t="str">
        <f>IFERROR(VLOOKUP(VENTAS4[[#This Row],[Code]],STOCK[],5,FALSE),"-")</f>
        <v>Bañador en color sólido sexy-elegante </v>
      </c>
    </row>
    <row r="1047" s="2" customFormat="1" ht="55" customHeight="1" spans="1:3">
      <c r="A1047" s="5" t="s">
        <v>2163</v>
      </c>
      <c r="B1047" s="6"/>
      <c r="C1047" s="9" t="str">
        <f>IFERROR(VLOOKUP(VENTAS4[[#This Row],[Code]],STOCK[],5,FALSE),"-")</f>
        <v>Bañador en color sólido sexy-elegante </v>
      </c>
    </row>
    <row r="1048" s="2" customFormat="1" ht="55" customHeight="1" spans="1:3">
      <c r="A1048" s="5" t="s">
        <v>2165</v>
      </c>
      <c r="B1048" s="6"/>
      <c r="C1048" s="9" t="str">
        <f>IFERROR(VLOOKUP(VENTAS4[[#This Row],[Code]],STOCK[],5,FALSE),"-")</f>
        <v>Bañador en color sólido sexy-elegante </v>
      </c>
    </row>
    <row r="1049" s="2" customFormat="1" ht="55" customHeight="1" spans="1:3">
      <c r="A1049" s="5" t="s">
        <v>2167</v>
      </c>
      <c r="B1049" s="6"/>
      <c r="C1049" s="9" t="str">
        <f>IFERROR(VLOOKUP(VENTAS4[[#This Row],[Code]],STOCK[],5,FALSE),"-")</f>
        <v>Bañador clásico cuello V</v>
      </c>
    </row>
    <row r="1050" s="2" customFormat="1" ht="55" customHeight="1" spans="1:3">
      <c r="A1050" s="5" t="s">
        <v>2170</v>
      </c>
      <c r="B1050" s="6"/>
      <c r="C1050" s="9" t="str">
        <f>IFERROR(VLOOKUP(VENTAS4[[#This Row],[Code]],STOCK[],5,FALSE),"-")</f>
        <v>Bañador clásico cuello V</v>
      </c>
    </row>
    <row r="1051" s="2" customFormat="1" ht="55" customHeight="1" spans="1:3">
      <c r="A1051" s="5" t="s">
        <v>2172</v>
      </c>
      <c r="B1051" s="6"/>
      <c r="C1051" s="9" t="str">
        <f>IFERROR(VLOOKUP(VENTAS4[[#This Row],[Code]],STOCK[],5,FALSE),"-")</f>
        <v>Bañador clásico cuello V</v>
      </c>
    </row>
    <row r="1052" s="2" customFormat="1" ht="55" customHeight="1" spans="1:3">
      <c r="A1052" s="5" t="s">
        <v>2174</v>
      </c>
      <c r="B1052" s="6"/>
      <c r="C1052" s="9" t="str">
        <f>IFERROR(VLOOKUP(VENTAS4[[#This Row],[Code]],STOCK[],5,FALSE),"-")</f>
        <v>Set de bikini 2 piezas estampado de colores con adorno de aro</v>
      </c>
    </row>
    <row r="1053" s="2" customFormat="1" ht="55" customHeight="1" spans="1:3">
      <c r="A1053" s="5" t="s">
        <v>2177</v>
      </c>
      <c r="B1053" s="6"/>
      <c r="C1053" s="9" t="str">
        <f>IFERROR(VLOOKUP(VENTAS4[[#This Row],[Code]],STOCK[],5,FALSE),"-")</f>
        <v>Bikini sexy de pierna alta en tendencia</v>
      </c>
    </row>
    <row r="1054" s="2" customFormat="1" ht="55" customHeight="1" spans="1:3">
      <c r="A1054" s="5" t="s">
        <v>2180</v>
      </c>
      <c r="B1054" s="6"/>
      <c r="C1054" s="9" t="str">
        <f>IFERROR(VLOOKUP(VENTAS4[[#This Row],[Code]],STOCK[],5,FALSE),"-")</f>
        <v>Bikini sexy de pierna alta en tendencia</v>
      </c>
    </row>
    <row r="1055" s="2" customFormat="1" ht="55" customHeight="1" spans="1:3">
      <c r="A1055" s="5" t="s">
        <v>2182</v>
      </c>
      <c r="B1055" s="6"/>
      <c r="C1055" s="9" t="str">
        <f>IFERROR(VLOOKUP(VENTAS4[[#This Row],[Code]],STOCK[],5,FALSE),"-")</f>
        <v>Bikini sexy de pierna alta en tendencia</v>
      </c>
    </row>
    <row r="1056" s="2" customFormat="1" ht="55" customHeight="1" spans="1:3">
      <c r="A1056" s="5" t="s">
        <v>2184</v>
      </c>
      <c r="B1056" s="6"/>
      <c r="C1056" s="9" t="str">
        <f>IFERROR(VLOOKUP(VENTAS4[[#This Row],[Code]],STOCK[],5,FALSE),"-")</f>
        <v>Bikini sexy de pierna alta en tendencia</v>
      </c>
    </row>
    <row r="1057" s="2" customFormat="1" ht="55" customHeight="1" spans="1:3">
      <c r="A1057" s="5" t="s">
        <v>2186</v>
      </c>
      <c r="B1057" s="6"/>
      <c r="C1057" s="9" t="str">
        <f>IFERROR(VLOOKUP(VENTAS4[[#This Row],[Code]],STOCK[],5,FALSE),"-")</f>
        <v>Conjunto Playero color verde 2 piezas</v>
      </c>
    </row>
    <row r="1058" s="2" customFormat="1" ht="55" customHeight="1" spans="1:3">
      <c r="A1058" s="5" t="s">
        <v>2189</v>
      </c>
      <c r="B1058" s="6"/>
      <c r="C1058" s="9" t="str">
        <f>IFERROR(VLOOKUP(VENTAS4[[#This Row],[Code]],STOCK[],5,FALSE),"-")</f>
        <v>Conjunto Playero color verde 2 piezas</v>
      </c>
    </row>
    <row r="1059" s="2" customFormat="1" ht="55" customHeight="1" spans="1:3">
      <c r="A1059" s="5" t="s">
        <v>2191</v>
      </c>
      <c r="B1059" s="6"/>
      <c r="C1059" s="9" t="str">
        <f>IFERROR(VLOOKUP(VENTAS4[[#This Row],[Code]],STOCK[],5,FALSE),"-")</f>
        <v>Set de traje de baño elegante 2 piezas con adorno en forma de V</v>
      </c>
    </row>
    <row r="1060" s="2" customFormat="1" ht="55" customHeight="1" spans="1:3">
      <c r="A1060" s="5" t="s">
        <v>2193</v>
      </c>
      <c r="B1060" s="6"/>
      <c r="C1060" s="9" t="str">
        <f>IFERROR(VLOOKUP(VENTAS4[[#This Row],[Code]],STOCK[],5,FALSE),"-")</f>
        <v>Set de bikini floral con aro</v>
      </c>
    </row>
    <row r="1061" s="2" customFormat="1" ht="55" customHeight="1" spans="1:3">
      <c r="A1061" s="5" t="s">
        <v>2196</v>
      </c>
      <c r="B1061" s="6"/>
      <c r="C1061" s="9" t="str">
        <f>IFERROR(VLOOKUP(VENTAS4[[#This Row],[Code]],STOCK[],5,FALSE),"-")</f>
        <v>Set de bikini floral con aro</v>
      </c>
    </row>
    <row r="1062" s="2" customFormat="1" ht="55" customHeight="1" spans="1:3">
      <c r="A1062" s="5" t="s">
        <v>2198</v>
      </c>
      <c r="B1062" s="6"/>
      <c r="C1062" s="9" t="str">
        <f>IFERROR(VLOOKUP(VENTAS4[[#This Row],[Code]],STOCK[],5,FALSE),"-")</f>
        <v>Set de bikini floral con aro</v>
      </c>
    </row>
    <row r="1063" s="2" customFormat="1" ht="55" customHeight="1" spans="1:3">
      <c r="A1063" s="5" t="s">
        <v>2200</v>
      </c>
      <c r="B1063" s="6"/>
      <c r="C1063" s="9" t="str">
        <f>IFERROR(VLOOKUP(VENTAS4[[#This Row],[Code]],STOCK[],5,FALSE),"-")</f>
        <v>Vestido Boho de cuello healter</v>
      </c>
    </row>
    <row r="1064" s="2" customFormat="1" ht="55" customHeight="1" spans="1:3">
      <c r="A1064" s="5" t="s">
        <v>2203</v>
      </c>
      <c r="B1064" s="6"/>
      <c r="C1064" s="9" t="str">
        <f>IFERROR(VLOOKUP(VENTAS4[[#This Row],[Code]],STOCK[],5,FALSE),"-")</f>
        <v>Vestido floral verano con abertura</v>
      </c>
    </row>
    <row r="1065" s="2" customFormat="1" ht="55" customHeight="1" spans="1:3">
      <c r="A1065" s="5" t="s">
        <v>2206</v>
      </c>
      <c r="B1065" s="6"/>
      <c r="C1065" s="9" t="str">
        <f>IFERROR(VLOOKUP(VENTAS4[[#This Row],[Code]],STOCK[],5,FALSE),"-")</f>
        <v>Bolso TOTE arcoíris trending </v>
      </c>
    </row>
    <row r="1066" s="2" customFormat="1" ht="55" customHeight="1" spans="1:3">
      <c r="A1066" s="5" t="s">
        <v>2209</v>
      </c>
      <c r="B1066" s="6"/>
      <c r="C1066" s="9" t="str">
        <f>IFERROR(VLOOKUP(VENTAS4[[#This Row],[Code]],STOCK[],5,FALSE),"-")</f>
        <v>Vestido Resorte estampado bohemio</v>
      </c>
    </row>
    <row r="1067" s="2" customFormat="1" ht="55" customHeight="1" spans="1:3">
      <c r="A1067" s="5" t="s">
        <v>2212</v>
      </c>
      <c r="B1067" s="6"/>
      <c r="C1067" s="9" t="str">
        <f>IFERROR(VLOOKUP(VENTAS4[[#This Row],[Code]],STOCK[],5,FALSE),"-")</f>
        <v>Bolso chic estilo verano</v>
      </c>
    </row>
    <row r="1068" s="2" customFormat="1" ht="55" customHeight="1" spans="1:3">
      <c r="A1068" s="5" t="s">
        <v>2216</v>
      </c>
      <c r="B1068" s="6"/>
      <c r="C1068" s="14" t="s">
        <v>3536</v>
      </c>
    </row>
    <row r="1069" s="2" customFormat="1" ht="55" customHeight="1" spans="1:3">
      <c r="A1069" s="5" t="s">
        <v>2219</v>
      </c>
      <c r="B1069" s="6"/>
      <c r="C1069" s="9" t="str">
        <f>IFERROR(VLOOKUP(VENTAS4[[#This Row],[Code]],STOCK[],5,FALSE),"-")</f>
        <v>Set de bikini con cobertor de playa</v>
      </c>
    </row>
    <row r="1070" s="2" customFormat="1" ht="55" customHeight="1" spans="1:3">
      <c r="A1070" s="5" t="s">
        <v>2222</v>
      </c>
      <c r="B1070" s="6"/>
      <c r="C1070" s="9" t="str">
        <f>IFERROR(VLOOKUP(VENTAS4[[#This Row],[Code]],STOCK[],5,FALSE),"-")</f>
        <v>Vestido sexy cruzado de escote profundo</v>
      </c>
    </row>
    <row r="1071" s="2" customFormat="1" ht="55" customHeight="1" spans="1:3">
      <c r="A1071" s="5" t="s">
        <v>2225</v>
      </c>
      <c r="B1071" s="6"/>
      <c r="C1071" s="9" t="str">
        <f>IFERROR(VLOOKUP(VENTAS4[[#This Row],[Code]],STOCK[],5,FALSE),"-")</f>
        <v>Estiloso sombrero de protección solar playero</v>
      </c>
    </row>
    <row r="1072" s="2" customFormat="1" ht="55" customHeight="1" spans="1:3">
      <c r="A1072" s="5" t="s">
        <v>2228</v>
      </c>
      <c r="B1072" s="6"/>
      <c r="C1072" s="9" t="str">
        <f>IFERROR(VLOOKUP(VENTAS4[[#This Row],[Code]],STOCK[],5,FALSE),"-")</f>
        <v>Vestido negro espalda cruzada</v>
      </c>
    </row>
    <row r="1073" s="2" customFormat="1" ht="55" customHeight="1" spans="1:3">
      <c r="A1073" s="5" t="s">
        <v>2231</v>
      </c>
      <c r="B1073" s="6"/>
      <c r="C1073" s="9" t="str">
        <f>IFERROR(VLOOKUP(VENTAS4[[#This Row],[Code]],STOCK[],5,FALSE),"-")</f>
        <v>Vestido blanco espalda cruzada</v>
      </c>
    </row>
    <row r="1074" s="2" customFormat="1" ht="55" customHeight="1" spans="1:3">
      <c r="A1074" s="5" t="s">
        <v>2234</v>
      </c>
      <c r="B1074" s="6"/>
      <c r="C1074" s="9" t="str">
        <f>IFERROR(VLOOKUP(VENTAS4[[#This Row],[Code]],STOCK[],5,FALSE),"-")</f>
        <v>Set de bikini con cobertor de playa</v>
      </c>
    </row>
    <row r="1075" s="2" customFormat="1" ht="55" customHeight="1" spans="1:3">
      <c r="A1075" s="5" t="s">
        <v>2237</v>
      </c>
      <c r="B1075" s="6"/>
      <c r="C1075" s="9" t="str">
        <f>IFERROR(VLOOKUP(VENTAS4[[#This Row],[Code]],STOCK[],5,FALSE),"-")</f>
        <v>Bolso bohemio redondo de gran capacidad</v>
      </c>
    </row>
    <row r="1076" s="2" customFormat="1" ht="55" customHeight="1" spans="1:3">
      <c r="A1076" s="5" t="s">
        <v>2240</v>
      </c>
      <c r="B1076" s="6"/>
      <c r="C1076" s="9" t="str">
        <f>IFERROR(VLOOKUP(VENTAS4[[#This Row],[Code]],STOCK[],5,FALSE),"-")</f>
        <v>Set de traje de baño elegante 2 piezas con adorno en forma de V</v>
      </c>
    </row>
    <row r="1077" s="2" customFormat="1" ht="55" customHeight="1" spans="1:3">
      <c r="A1077" s="5" t="s">
        <v>2242</v>
      </c>
      <c r="B1077" s="6"/>
      <c r="C1077" s="9" t="str">
        <f>IFERROR(VLOOKUP(VENTAS4[[#This Row],[Code]],STOCK[],5,FALSE),"-")</f>
        <v>Set de bikini bandeau color sólido</v>
      </c>
    </row>
    <row r="1078" s="2" customFormat="1" ht="55" customHeight="1" spans="1:3">
      <c r="A1078" s="5" t="s">
        <v>2245</v>
      </c>
      <c r="B1078" s="6"/>
      <c r="C1078" s="9" t="str">
        <f>IFERROR(VLOOKUP(VENTAS4[[#This Row],[Code]],STOCK[],5,FALSE),"-")</f>
        <v>Bikini curvy en bloque de color</v>
      </c>
    </row>
    <row r="1079" s="2" customFormat="1" ht="55" customHeight="1" spans="1:3">
      <c r="A1079" s="5" t="s">
        <v>2248</v>
      </c>
      <c r="B1079" s="6"/>
      <c r="C1079" s="9" t="str">
        <f>IFERROR(VLOOKUP(VENTAS4[[#This Row],[Code]],STOCK[],5,FALSE),"-")</f>
        <v>Bikini de cintura alta estampado clásico</v>
      </c>
    </row>
    <row r="1080" s="2" customFormat="1" ht="55" customHeight="1" spans="1:3">
      <c r="A1080" s="5" t="s">
        <v>2251</v>
      </c>
      <c r="B1080" s="6"/>
      <c r="C1080" s="9" t="str">
        <f>IFERROR(VLOOKUP(VENTAS4[[#This Row],[Code]],STOCK[],5,FALSE),"-")</f>
        <v>Bikini de cintura alta estampado clásico</v>
      </c>
    </row>
    <row r="1081" s="2" customFormat="1" ht="55" customHeight="1" spans="1:3">
      <c r="A1081" s="5" t="s">
        <v>2253</v>
      </c>
      <c r="B1081" s="6"/>
      <c r="C1081" s="9" t="str">
        <f>IFERROR(VLOOKUP(VENTAS4[[#This Row],[Code]],STOCK[],5,FALSE),"-")</f>
        <v>Vestido Resorte estampado bohemio</v>
      </c>
    </row>
    <row r="1082" s="2" customFormat="1" ht="55" customHeight="1" spans="1:3">
      <c r="A1082" s="5" t="s">
        <v>2255</v>
      </c>
      <c r="B1082" s="6"/>
      <c r="C1082" s="9" t="str">
        <f>IFERROR(VLOOKUP(VENTAS4[[#This Row],[Code]],STOCK[],5,FALSE),"-")</f>
        <v>Vestido suelto en bordado inglés</v>
      </c>
    </row>
    <row r="1083" s="2" customFormat="1" ht="55" customHeight="1" spans="1:3">
      <c r="A1083" s="5" t="s">
        <v>2258</v>
      </c>
      <c r="B1083" s="6"/>
      <c r="C1083" s="9" t="str">
        <f>IFERROR(VLOOKUP(VENTAS4[[#This Row],[Code]],STOCK[],5,FALSE),"-")</f>
        <v>Vestido suelto en bordado inglés</v>
      </c>
    </row>
    <row r="1084" s="2" customFormat="1" ht="55" customHeight="1" spans="1:3">
      <c r="A1084" s="5" t="s">
        <v>2260</v>
      </c>
      <c r="B1084" s="6"/>
      <c r="C1084" s="9" t="str">
        <f>IFERROR(VLOOKUP(VENTAS4[[#This Row],[Code]],STOCK[],5,FALSE),"-")</f>
        <v>Pantalones playeros estampados</v>
      </c>
    </row>
    <row r="1085" s="2" customFormat="1" ht="55" customHeight="1" spans="1:3">
      <c r="A1085" s="5" t="s">
        <v>2264</v>
      </c>
      <c r="B1085" s="6"/>
      <c r="C1085" s="9" t="str">
        <f>IFERROR(VLOOKUP(VENTAS4[[#This Row],[Code]],STOCK[],5,FALSE),"-")</f>
        <v>Pantalones playeros estampados</v>
      </c>
    </row>
    <row r="1086" s="2" customFormat="1" ht="55" customHeight="1" spans="1:3">
      <c r="A1086" s="5" t="s">
        <v>2266</v>
      </c>
      <c r="B1086" s="6"/>
      <c r="C1086" s="9" t="str">
        <f>IFERROR(VLOOKUP(VENTAS4[[#This Row],[Code]],STOCK[],5,FALSE),"-")</f>
        <v>Pantalones playeros estampados</v>
      </c>
    </row>
    <row r="1087" s="2" customFormat="1" ht="55" customHeight="1" spans="1:3">
      <c r="A1087" s="5" t="s">
        <v>2268</v>
      </c>
      <c r="B1087" s="6"/>
      <c r="C1087" s="9" t="str">
        <f>IFERROR(VLOOKUP(VENTAS4[[#This Row],[Code]],STOCK[],5,FALSE),"-")</f>
        <v>Pantalones playeros estampados</v>
      </c>
    </row>
    <row r="1088" s="2" customFormat="1" ht="55" customHeight="1" spans="1:3">
      <c r="A1088" s="5" t="s">
        <v>2270</v>
      </c>
      <c r="B1088" s="6"/>
      <c r="C1088" s="9" t="str">
        <f>IFERROR(VLOOKUP(VENTAS4[[#This Row],[Code]],STOCK[],5,FALSE),"-")</f>
        <v>Bolso shopper flores pequeñas coloridas</v>
      </c>
    </row>
    <row r="1089" s="2" customFormat="1" ht="55" customHeight="1" spans="1:3">
      <c r="A1089" s="5" t="s">
        <v>2273</v>
      </c>
      <c r="B1089" s="6"/>
      <c r="C1089" s="9" t="str">
        <f>IFERROR(VLOOKUP(VENTAS4[[#This Row],[Code]],STOCK[],5,FALSE),"-")</f>
        <v>Bolso shopper flores pequeñas rosadas</v>
      </c>
    </row>
    <row r="1090" s="2" customFormat="1" ht="55" customHeight="1" spans="1:3">
      <c r="A1090" s="5" t="s">
        <v>2276</v>
      </c>
      <c r="B1090" s="6"/>
      <c r="C1090" s="9" t="str">
        <f>IFERROR(VLOOKUP(VENTAS4[[#This Row],[Code]],STOCK[],5,FALSE),"-")</f>
        <v>Bolso de mano multipropósito de lona unisex</v>
      </c>
    </row>
    <row r="1091" s="2" customFormat="1" ht="55" customHeight="1" spans="1:3">
      <c r="A1091" s="5" t="s">
        <v>2279</v>
      </c>
      <c r="B1091" s="6"/>
      <c r="C1091" s="9" t="str">
        <f>IFERROR(VLOOKUP(VENTAS4[[#This Row],[Code]],STOCK[],5,FALSE),"-")</f>
        <v>Bolso pequeño estampado de mariposas</v>
      </c>
    </row>
    <row r="1092" s="2" customFormat="1" ht="55" customHeight="1" spans="1:3">
      <c r="A1092" s="5" t="s">
        <v>2282</v>
      </c>
      <c r="B1092" s="6"/>
      <c r="C1092" s="9" t="str">
        <f>IFERROR(VLOOKUP(VENTAS4[[#This Row],[Code]],STOCK[],5,FALSE),"-")</f>
        <v>Bolso de lienzo estampado de corazón</v>
      </c>
    </row>
    <row r="1093" s="2" customFormat="1" ht="55" customHeight="1" spans="1:3">
      <c r="A1093" s="5" t="s">
        <v>2285</v>
      </c>
      <c r="B1093" s="6"/>
      <c r="C1093" s="9" t="str">
        <f>IFERROR(VLOOKUP(VENTAS4[[#This Row],[Code]],STOCK[],5,FALSE),"-")</f>
        <v>Bolso de lona en bloque de color</v>
      </c>
    </row>
    <row r="1094" s="2" customFormat="1" ht="55" customHeight="1" spans="1:3">
      <c r="A1094" s="5" t="s">
        <v>2288</v>
      </c>
      <c r="B1094" s="6"/>
      <c r="C1094" s="9" t="str">
        <f>IFERROR(VLOOKUP(VENTAS4[[#This Row],[Code]],STOCK[],5,FALSE),"-")</f>
        <v>Maxi vestido de cuello healter de Lunares</v>
      </c>
    </row>
    <row r="1095" s="2" customFormat="1" ht="55" customHeight="1" spans="1:3">
      <c r="A1095" s="5" t="s">
        <v>2291</v>
      </c>
      <c r="B1095" s="6"/>
      <c r="C1095" s="9" t="str">
        <f>IFERROR(VLOOKUP(VENTAS4[[#This Row],[Code]],STOCK[],5,FALSE),"-")</f>
        <v>Set de bikini Vacaciones en bloque de color</v>
      </c>
    </row>
    <row r="1096" s="2" customFormat="1" ht="55" customHeight="1" spans="1:3">
      <c r="A1096" s="5" t="s">
        <v>2294</v>
      </c>
      <c r="B1096" s="6"/>
      <c r="C1096" s="9" t="str">
        <f>IFERROR(VLOOKUP(VENTAS4[[#This Row],[Code]],STOCK[],5,FALSE),"-")</f>
        <v>Pantalones sueltos estampado de plantas</v>
      </c>
    </row>
    <row r="1097" s="2" customFormat="1" ht="55" customHeight="1" spans="1:3">
      <c r="A1097" s="5" t="s">
        <v>2297</v>
      </c>
      <c r="B1097" s="6"/>
      <c r="C1097" s="9" t="str">
        <f>IFERROR(VLOOKUP(VENTAS4[[#This Row],[Code]],STOCK[],5,FALSE),"-")</f>
        <v>Vestido estampado con abertura y ajuste en cintura</v>
      </c>
    </row>
    <row r="1098" s="2" customFormat="1" ht="55" customHeight="1" spans="1:3">
      <c r="A1098" s="5" t="s">
        <v>2300</v>
      </c>
      <c r="B1098" s="6"/>
      <c r="C1098" s="9" t="str">
        <f>IFERROR(VLOOKUP(VENTAS4[[#This Row],[Code]],STOCK[],5,FALSE),"-")</f>
        <v>Bikini atado a los lados con estampado de cerezas</v>
      </c>
    </row>
    <row r="1099" s="2" customFormat="1" ht="55" customHeight="1" spans="1:3">
      <c r="A1099" s="5" t="s">
        <v>2303</v>
      </c>
      <c r="B1099" s="6"/>
      <c r="C1099" s="9" t="str">
        <f>IFERROR(VLOOKUP(VENTAS4[[#This Row],[Code]],STOCK[],5,FALSE),"-")</f>
        <v>Bikini atado a los lados con estampado de cerezas</v>
      </c>
    </row>
    <row r="1100" s="2" customFormat="1" ht="55" customHeight="1" spans="1:3">
      <c r="A1100" s="5" t="s">
        <v>2305</v>
      </c>
      <c r="B1100" s="6"/>
      <c r="C1100" s="9" t="str">
        <f>IFERROR(VLOOKUP(VENTAS4[[#This Row],[Code]],STOCK[],5,FALSE),"-")</f>
        <v>Bikini atado a los lados con estampado de cerezas</v>
      </c>
    </row>
    <row r="1101" s="2" customFormat="1" ht="55" customHeight="1" spans="1:3">
      <c r="A1101" s="5" t="s">
        <v>2307</v>
      </c>
      <c r="B1101" s="6"/>
      <c r="C1101" s="9" t="str">
        <f>IFERROR(VLOOKUP(VENTAS4[[#This Row],[Code]],STOCK[],5,FALSE),"-")</f>
        <v>Blusa Vacaciones con lazo delantero</v>
      </c>
    </row>
    <row r="1102" s="2" customFormat="1" ht="55" customHeight="1" spans="1:3">
      <c r="A1102" s="5" t="s">
        <v>2310</v>
      </c>
      <c r="B1102" s="6"/>
      <c r="C1102" s="9" t="str">
        <f>IFERROR(VLOOKUP(VENTAS4[[#This Row],[Code]],STOCK[],5,FALSE),"-")</f>
        <v>Blusa Vacaciones con lazo delantero</v>
      </c>
    </row>
    <row r="1103" s="2" customFormat="1" ht="55" customHeight="1" spans="1:3">
      <c r="A1103" s="5" t="s">
        <v>2312</v>
      </c>
      <c r="B1103" s="6"/>
      <c r="C1103" s="9" t="str">
        <f>IFERROR(VLOOKUP(VENTAS4[[#This Row],[Code]],STOCK[],5,FALSE),"-")</f>
        <v>Blusa Vacaciones con lazo delantero</v>
      </c>
    </row>
    <row r="1104" s="2" customFormat="1" ht="55" customHeight="1" spans="1:3">
      <c r="A1104" s="5" t="s">
        <v>2314</v>
      </c>
      <c r="B1104" s="6"/>
      <c r="C1104" s="9" t="str">
        <f>IFERROR(VLOOKUP(VENTAS4[[#This Row],[Code]],STOCK[],5,FALSE),"-")</f>
        <v>Vestido color block  bohemio</v>
      </c>
    </row>
    <row r="1105" s="2" customFormat="1" ht="55" customHeight="1" spans="1:3">
      <c r="A1105" s="5" t="s">
        <v>2318</v>
      </c>
      <c r="B1105" s="6"/>
      <c r="C1105" s="9" t="str">
        <f>IFERROR(VLOOKUP(VENTAS4[[#This Row],[Code]],STOCK[],5,FALSE),"-")</f>
        <v>Vestido color block de bajo asimétrico</v>
      </c>
    </row>
    <row r="1106" s="2" customFormat="1" ht="55" customHeight="1" spans="1:3">
      <c r="A1106" s="5" t="s">
        <v>2321</v>
      </c>
      <c r="B1106" s="6"/>
      <c r="C1106" s="9" t="str">
        <f>IFERROR(VLOOKUP(VENTAS4[[#This Row],[Code]],STOCK[],5,FALSE),"-")</f>
        <v>Pantalón palazzo estiloso</v>
      </c>
    </row>
    <row r="1107" s="2" customFormat="1" ht="55" customHeight="1" spans="1:3">
      <c r="A1107" s="5" t="s">
        <v>2324</v>
      </c>
      <c r="B1107" s="6"/>
      <c r="C1107" s="9" t="str">
        <f>IFERROR(VLOOKUP(VENTAS4[[#This Row],[Code]],STOCK[],5,FALSE),"-")</f>
        <v>Pantalón palazzo estiloso</v>
      </c>
    </row>
    <row r="1108" s="2" customFormat="1" ht="55" customHeight="1" spans="1:3">
      <c r="A1108" s="5" t="s">
        <v>2326</v>
      </c>
      <c r="B1108" s="6"/>
      <c r="C1108" s="9" t="str">
        <f>IFERROR(VLOOKUP(VENTAS4[[#This Row],[Code]],STOCK[],5,FALSE),"-")</f>
        <v>Pantalón palazzo estiloso</v>
      </c>
    </row>
    <row r="1109" s="2" customFormat="1" ht="55" customHeight="1" spans="1:3">
      <c r="A1109" s="5" t="s">
        <v>2328</v>
      </c>
      <c r="B1109" s="6"/>
      <c r="C1109" s="9" t="str">
        <f>IFERROR(VLOOKUP(VENTAS4[[#This Row],[Code]],STOCK[],5,FALSE),"-")</f>
        <v>Pantalón palazzo estiloso</v>
      </c>
    </row>
    <row r="1110" s="2" customFormat="1" ht="55" customHeight="1" spans="1:3">
      <c r="A1110" s="5" t="s">
        <v>2330</v>
      </c>
      <c r="B1110" s="6"/>
      <c r="C1110" s="9" t="str">
        <f>IFERROR(VLOOKUP(VENTAS4[[#This Row],[Code]],STOCK[],5,FALSE),"-")</f>
        <v>Set de 3 piezas bikini con estampado floral</v>
      </c>
    </row>
    <row r="1111" s="2" customFormat="1" ht="55" customHeight="1" spans="1:3">
      <c r="A1111" s="5" t="s">
        <v>2334</v>
      </c>
      <c r="B1111" s="6"/>
      <c r="C1111" s="9" t="str">
        <f>IFERROR(VLOOKUP(VENTAS4[[#This Row],[Code]],STOCK[],5,FALSE),"-")</f>
        <v>Bikini bandeau de estilo floral</v>
      </c>
    </row>
    <row r="1112" s="2" customFormat="1" ht="55" customHeight="1" spans="1:3">
      <c r="A1112" s="5" t="s">
        <v>2337</v>
      </c>
      <c r="B1112" s="6"/>
      <c r="C1112" s="9" t="str">
        <f>IFERROR(VLOOKUP(VENTAS4[[#This Row],[Code]],STOCK[],5,FALSE),"-")</f>
        <v>Bikini bandeau de estilo floral</v>
      </c>
    </row>
    <row r="1113" s="2" customFormat="1" ht="55" customHeight="1" spans="1:3">
      <c r="A1113" s="5" t="s">
        <v>2339</v>
      </c>
      <c r="B1113" s="6"/>
      <c r="C1113" s="9" t="str">
        <f>IFERROR(VLOOKUP(VENTAS4[[#This Row],[Code]],STOCK[],5,FALSE),"-")</f>
        <v>Bikini bandeau de estilo floral</v>
      </c>
    </row>
    <row r="1114" s="2" customFormat="1" ht="55" customHeight="1" spans="1:3">
      <c r="A1114" s="5" t="s">
        <v>2341</v>
      </c>
      <c r="B1114" s="6"/>
      <c r="C1114" s="9" t="str">
        <f>IFERROR(VLOOKUP(VENTAS4[[#This Row],[Code]],STOCK[],5,FALSE),"-")</f>
        <v>Set de 3 piezas bikini de moda estampado de hoja</v>
      </c>
    </row>
    <row r="1115" s="2" customFormat="1" ht="55" customHeight="1" spans="1:3">
      <c r="A1115" s="5" t="s">
        <v>2344</v>
      </c>
      <c r="B1115" s="6"/>
      <c r="C1115" s="9" t="str">
        <f>IFERROR(VLOOKUP(VENTAS4[[#This Row],[Code]],STOCK[],5,FALSE),"-")</f>
        <v>Set de 3 piezas bikini de moda estampado de hoja</v>
      </c>
    </row>
    <row r="1116" s="2" customFormat="1" ht="55" customHeight="1" spans="1:3">
      <c r="A1116" s="5" t="s">
        <v>2346</v>
      </c>
      <c r="B1116" s="6"/>
      <c r="C1116" s="9" t="str">
        <f>IFERROR(VLOOKUP(VENTAS4[[#This Row],[Code]],STOCK[],5,FALSE),"-")</f>
        <v>Set de 3 piezas bikini de moda estampado de hoja</v>
      </c>
    </row>
    <row r="1117" s="2" customFormat="1" ht="55" customHeight="1" spans="1:3">
      <c r="A1117" s="5" t="s">
        <v>2348</v>
      </c>
      <c r="B1117" s="6"/>
      <c r="C1117" s="9" t="str">
        <f>IFERROR(VLOOKUP(VENTAS4[[#This Row],[Code]],STOCK[],5,FALSE),"-")</f>
        <v>Set de 3 piezas bikini de moda estampado de hoja</v>
      </c>
    </row>
    <row r="1118" s="2" customFormat="1" ht="55" customHeight="1" spans="1:3">
      <c r="A1118" s="5" t="s">
        <v>2350</v>
      </c>
      <c r="B1118" s="6"/>
      <c r="C1118" s="9" t="str">
        <f>IFERROR(VLOOKUP(VENTAS4[[#This Row],[Code]],STOCK[],5,FALSE),"-")</f>
        <v>Espejuelos rectangulares unisex adorno de carey</v>
      </c>
    </row>
    <row r="1119" s="2" customFormat="1" ht="55" customHeight="1" spans="1:3">
      <c r="A1119" s="5" t="s">
        <v>2353</v>
      </c>
      <c r="B1119" s="6"/>
      <c r="C1119" s="9" t="str">
        <f>IFERROR(VLOOKUP(VENTAS4[[#This Row],[Code]],STOCK[],5,FALSE),"-")</f>
        <v>Espejuelos rectangulares unisex de color sólido</v>
      </c>
    </row>
    <row r="1120" s="2" customFormat="1" ht="55" customHeight="1" spans="1:3">
      <c r="A1120" s="5" t="s">
        <v>2356</v>
      </c>
      <c r="B1120" s="6"/>
      <c r="C1120" s="9" t="str">
        <f>IFERROR(VLOOKUP(VENTAS4[[#This Row],[Code]],STOCK[],5,FALSE),"-")</f>
        <v>Espejuelos rectangulares unisex</v>
      </c>
    </row>
    <row r="1121" s="2" customFormat="1" ht="55" customHeight="1" spans="1:3">
      <c r="A1121" s="5" t="s">
        <v>2359</v>
      </c>
      <c r="B1121" s="6"/>
      <c r="C1121" s="9" t="str">
        <f>IFERROR(VLOOKUP(VENTAS4[[#This Row],[Code]],STOCK[],5,FALSE),"-")</f>
        <v>Espejuelos estilo cat eye</v>
      </c>
    </row>
    <row r="1122" s="2" customFormat="1" ht="55" customHeight="1" spans="1:3">
      <c r="A1122" s="5" t="s">
        <v>2362</v>
      </c>
      <c r="B1122" s="6"/>
      <c r="C1122" s="9" t="str">
        <f>IFERROR(VLOOKUP(VENTAS4[[#This Row],[Code]],STOCK[],5,FALSE),"-")</f>
        <v>2 piezas bikini push up accesorio</v>
      </c>
    </row>
    <row r="1123" s="2" customFormat="1" ht="55" customHeight="1" spans="1:3">
      <c r="A1123" s="5" t="s">
        <v>2365</v>
      </c>
      <c r="B1123" s="6"/>
      <c r="C1123" s="9" t="str">
        <f>IFERROR(VLOOKUP(VENTAS4[[#This Row],[Code]],STOCK[],5,FALSE),"-")</f>
        <v>Sombrero de protección Verano fashionista</v>
      </c>
    </row>
    <row r="1124" s="2" customFormat="1" ht="55" customHeight="1" spans="1:3">
      <c r="A1124" s="5" t="s">
        <v>2368</v>
      </c>
      <c r="B1124" s="6"/>
      <c r="C1124" s="9" t="str">
        <f>IFERROR(VLOOKUP(VENTAS4[[#This Row],[Code]],STOCK[],5,FALSE),"-")</f>
        <v>Blusa atada al frente de estilo casual</v>
      </c>
    </row>
    <row r="1125" s="2" customFormat="1" ht="55" customHeight="1" spans="1:3">
      <c r="A1125" s="5" t="s">
        <v>2372</v>
      </c>
      <c r="B1125" s="6"/>
      <c r="C1125" s="9" t="str">
        <f>IFERROR(VLOOKUP(VENTAS4[[#This Row],[Code]],STOCK[],5,FALSE),"-")</f>
        <v>Blusa atada al frente de estilo casual</v>
      </c>
    </row>
    <row r="1126" s="2" customFormat="1" ht="55" customHeight="1" spans="1:3">
      <c r="A1126" s="5" t="s">
        <v>2374</v>
      </c>
      <c r="B1126" s="6"/>
      <c r="C1126" s="9" t="str">
        <f>IFERROR(VLOOKUP(VENTAS4[[#This Row],[Code]],STOCK[],5,FALSE),"-")</f>
        <v>Vestido elegante de botones en color sólido</v>
      </c>
    </row>
    <row r="1127" s="2" customFormat="1" ht="55" customHeight="1" spans="1:3">
      <c r="A1127" s="5" t="s">
        <v>2378</v>
      </c>
      <c r="B1127" s="6"/>
      <c r="C1127" s="9" t="str">
        <f>IFERROR(VLOOKUP(VENTAS4[[#This Row],[Code]],STOCK[],5,FALSE),"-")</f>
        <v>Vestido elegante de botones en color sólido</v>
      </c>
    </row>
    <row r="1128" s="2" customFormat="1" ht="55" customHeight="1" spans="1:3">
      <c r="A1128" s="5" t="s">
        <v>2380</v>
      </c>
      <c r="B1128" s="6"/>
      <c r="C1128" s="9" t="str">
        <f>IFERROR(VLOOKUP(VENTAS4[[#This Row],[Code]],STOCK[],5,FALSE),"-")</f>
        <v>Vestido elegante de botones en color sólido</v>
      </c>
    </row>
    <row r="1129" s="2" customFormat="1" ht="55" customHeight="1" spans="1:3">
      <c r="A1129" s="5" t="s">
        <v>2382</v>
      </c>
      <c r="B1129" s="6"/>
      <c r="C1129" s="9" t="str">
        <f>IFERROR(VLOOKUP(VENTAS4[[#This Row],[Code]],STOCK[],5,FALSE),"-")</f>
        <v>Espejuelos de sol vintage clásicas aviador</v>
      </c>
    </row>
    <row r="1130" s="2" customFormat="1" ht="55" customHeight="1" spans="1:3">
      <c r="A1130" s="5" t="s">
        <v>2385</v>
      </c>
      <c r="B1130" s="6"/>
      <c r="C1130" s="9" t="str">
        <f>IFERROR(VLOOKUP(VENTAS4[[#This Row],[Code]],STOCK[],5,FALSE),"-")</f>
        <v>Sandalias cruzadas de plataforma F21</v>
      </c>
    </row>
    <row r="1131" s="2" customFormat="1" ht="55" customHeight="1" spans="1:3">
      <c r="A1131" s="15" t="s">
        <v>2387</v>
      </c>
      <c r="B1131" s="13"/>
      <c r="C1131" s="9" t="str">
        <f>IFERROR(VLOOKUP(VENTAS4[[#This Row],[Code]],STOCK[],5,FALSE),"-")</f>
        <v>Pullover Dazy cuello redondo Blanco</v>
      </c>
    </row>
    <row r="1132" s="2" customFormat="1" ht="55" customHeight="1" spans="1:3">
      <c r="A1132" s="15" t="s">
        <v>2388</v>
      </c>
      <c r="B1132" s="6"/>
      <c r="C1132" s="9" t="str">
        <f>IFERROR(VLOOKUP(VENTAS4[[#This Row],[Code]],STOCK[],5,FALSE),"-")</f>
        <v>Pullover Dazy cuello redondo Negro</v>
      </c>
    </row>
    <row r="1133" s="2" customFormat="1" ht="55" customHeight="1" spans="1:3">
      <c r="A1133" s="15" t="s">
        <v>2389</v>
      </c>
      <c r="B1133" s="6"/>
      <c r="C1133" s="9" t="str">
        <f>IFERROR(VLOOKUP(VENTAS4[[#This Row],[Code]],STOCK[],5,FALSE),"-")</f>
        <v>Sandalias de tiras con tacón cuadrado Marca H&amp;M</v>
      </c>
    </row>
    <row r="1134" s="2" customFormat="1" ht="55" customHeight="1" spans="1:3">
      <c r="A1134" s="15" t="s">
        <v>2394</v>
      </c>
      <c r="B1134" s="6"/>
      <c r="C1134" s="9" t="str">
        <f>IFERROR(VLOOKUP(VENTAS4[[#This Row],[Code]],STOCK[],5,FALSE),"-")</f>
        <v>Sandalias de tiras con tacón cuadrado</v>
      </c>
    </row>
    <row r="1135" s="2" customFormat="1" ht="55" customHeight="1" spans="1:3">
      <c r="A1135" s="15" t="s">
        <v>2397</v>
      </c>
      <c r="B1135" s="6"/>
      <c r="C1135" s="9" t="str">
        <f>IFERROR(VLOOKUP(VENTAS4[[#This Row],[Code]],STOCK[],5,FALSE),"-")</f>
        <v>Sandalias de tiras con tacón cuadrado</v>
      </c>
    </row>
    <row r="1136" s="2" customFormat="1" ht="55" customHeight="1" spans="1:3">
      <c r="A1136" s="15" t="s">
        <v>2399</v>
      </c>
      <c r="B1136" s="6"/>
      <c r="C1136" s="9" t="str">
        <f>IFERROR(VLOOKUP(VENTAS4[[#This Row],[Code]],STOCK[],5,FALSE),"-")</f>
        <v>Sandalias de tiras con tacón cuadrado</v>
      </c>
    </row>
    <row r="1137" s="2" customFormat="1" ht="55" customHeight="1" spans="1:3">
      <c r="A1137" s="15" t="s">
        <v>2401</v>
      </c>
      <c r="B1137" s="6"/>
      <c r="C1137" s="9" t="str">
        <f>IFERROR(VLOOKUP(VENTAS4[[#This Row],[Code]],STOCK[],5,FALSE),"-")</f>
        <v>Sandalias de tiras con tacón cuadrado</v>
      </c>
    </row>
    <row r="1138" s="2" customFormat="1" ht="55" customHeight="1" spans="1:3">
      <c r="A1138" s="15" t="s">
        <v>2403</v>
      </c>
      <c r="B1138" s="6"/>
      <c r="C1138" s="9" t="str">
        <f>IFERROR(VLOOKUP(VENTAS4[[#This Row],[Code]],STOCK[],5,FALSE),"-")</f>
        <v>Pantalón de vestir de viscosa y lino (beige claro)</v>
      </c>
    </row>
    <row r="1139" s="2" customFormat="1" ht="55" customHeight="1" spans="1:3">
      <c r="A1139" s="15" t="s">
        <v>2406</v>
      </c>
      <c r="B1139" s="6"/>
      <c r="C1139" s="9" t="str">
        <f>IFERROR(VLOOKUP(VENTAS4[[#This Row],[Code]],STOCK[],5,FALSE),"-")</f>
        <v>Pantalón de vestir de viscosa y lino (beige claro)</v>
      </c>
    </row>
    <row r="1140" s="2" customFormat="1" ht="55" customHeight="1" spans="1:3">
      <c r="A1140" s="15" t="s">
        <v>2408</v>
      </c>
      <c r="B1140" s="6"/>
      <c r="C1140" s="9" t="str">
        <f>IFERROR(VLOOKUP(VENTAS4[[#This Row],[Code]],STOCK[],5,FALSE),"-")</f>
        <v>Pantalón de vestir de viscosa y lino (beige claro)</v>
      </c>
    </row>
    <row r="1141" s="2" customFormat="1" ht="55" customHeight="1" spans="1:3">
      <c r="A1141" s="15" t="s">
        <v>2410</v>
      </c>
      <c r="B1141" s="6"/>
      <c r="C1141" s="9" t="str">
        <f>IFERROR(VLOOKUP(VENTAS4[[#This Row],[Code]],STOCK[],5,FALSE),"-")</f>
        <v>Pantalón de vestir de viscosa y lino (beige claro)</v>
      </c>
    </row>
    <row r="1142" s="2" customFormat="1" ht="55" customHeight="1" spans="1:3">
      <c r="A1142" s="15" t="s">
        <v>2412</v>
      </c>
      <c r="B1142" s="6"/>
      <c r="C1142" s="9" t="str">
        <f>IFERROR(VLOOKUP(VENTAS4[[#This Row],[Code]],STOCK[],5,FALSE),"-")</f>
        <v>Pantalón de vestir de viscosa y lino (beige claro)</v>
      </c>
    </row>
    <row r="1143" s="2" customFormat="1" ht="55" customHeight="1" spans="1:3">
      <c r="A1143" s="15" t="s">
        <v>2415</v>
      </c>
      <c r="B1143" s="6"/>
      <c r="C1143" s="9" t="str">
        <f>IFERROR(VLOOKUP(VENTAS4[[#This Row],[Code]],STOCK[],5,FALSE),"-")</f>
        <v>Camisa blanca en mezcla de algodón</v>
      </c>
    </row>
    <row r="1144" s="2" customFormat="1" ht="55" customHeight="1" spans="1:3">
      <c r="A1144" s="15" t="s">
        <v>2418</v>
      </c>
      <c r="B1144" s="6"/>
      <c r="C1144" s="9" t="str">
        <f>IFERROR(VLOOKUP(VENTAS4[[#This Row],[Code]],STOCK[],5,FALSE),"-")</f>
        <v>Camisa blanca en mezcla de algodón</v>
      </c>
    </row>
    <row r="1145" s="2" customFormat="1" ht="55" customHeight="1" spans="1:3">
      <c r="A1145" s="15" t="s">
        <v>2420</v>
      </c>
      <c r="B1145" s="6"/>
      <c r="C1145" s="9" t="str">
        <f>IFERROR(VLOOKUP(VENTAS4[[#This Row],[Code]],STOCK[],5,FALSE),"-")</f>
        <v>Camisa blanca en mezcla de algodón</v>
      </c>
    </row>
    <row r="1146" s="2" customFormat="1" ht="55" customHeight="1" spans="1:3">
      <c r="A1146" s="15" t="s">
        <v>2422</v>
      </c>
      <c r="B1146" s="6"/>
      <c r="C1146" s="9" t="str">
        <f>IFERROR(VLOOKUP(VENTAS4[[#This Row],[Code]],STOCK[],5,FALSE),"-")</f>
        <v>Pantalón ancho con cordón ajustable</v>
      </c>
    </row>
    <row r="1147" s="2" customFormat="1" ht="55" customHeight="1" spans="1:3">
      <c r="A1147" s="15" t="s">
        <v>2425</v>
      </c>
      <c r="B1147" s="6"/>
      <c r="C1147" s="9" t="str">
        <f>IFERROR(VLOOKUP(VENTAS4[[#This Row],[Code]],STOCK[],5,FALSE),"-")</f>
        <v>Pantalón ancho con cordón ajustable</v>
      </c>
    </row>
    <row r="1148" s="2" customFormat="1" ht="55" customHeight="1" spans="1:3">
      <c r="A1148" s="15" t="s">
        <v>2427</v>
      </c>
      <c r="B1148" s="6"/>
      <c r="C1148" s="9" t="str">
        <f>IFERROR(VLOOKUP(VENTAS4[[#This Row],[Code]],STOCK[],5,FALSE),"-")</f>
        <v>Pantalón ancho con cordón ajustable</v>
      </c>
    </row>
    <row r="1149" s="2" customFormat="1" ht="55" customHeight="1" spans="1:3">
      <c r="A1149" s="15" t="s">
        <v>2429</v>
      </c>
      <c r="B1149" s="6"/>
      <c r="C1149" s="9" t="str">
        <f>IFERROR(VLOOKUP(VENTAS4[[#This Row],[Code]],STOCK[],5,FALSE),"-")</f>
        <v>Pantalón ancho con cordón ajustable</v>
      </c>
    </row>
    <row r="1150" s="2" customFormat="1" ht="55" customHeight="1" spans="1:3">
      <c r="A1150" s="15" t="s">
        <v>2431</v>
      </c>
      <c r="B1150" s="6"/>
      <c r="C1150" s="9" t="str">
        <f>IFERROR(VLOOKUP(VENTAS4[[#This Row],[Code]],STOCK[],5,FALSE),"-")</f>
        <v>Pantalón ancho con cordón ajustable</v>
      </c>
    </row>
    <row r="1151" s="2" customFormat="1" ht="55" customHeight="1" spans="1:3">
      <c r="A1151" s="15" t="s">
        <v>2433</v>
      </c>
      <c r="B1151" s="6"/>
      <c r="C1151" s="9" t="str">
        <f>IFERROR(VLOOKUP(VENTAS4[[#This Row],[Code]],STOCK[],5,FALSE),"-")</f>
        <v>Pantalón cigarrette ajustado elegante</v>
      </c>
    </row>
    <row r="1152" s="2" customFormat="1" ht="55" customHeight="1" spans="1:3">
      <c r="A1152" s="15" t="s">
        <v>2436</v>
      </c>
      <c r="B1152" s="6"/>
      <c r="C1152" s="9" t="str">
        <f>IFERROR(VLOOKUP(VENTAS4[[#This Row],[Code]],STOCK[],5,FALSE),"-")</f>
        <v>Pantalón cigarrette ajustado elegante</v>
      </c>
    </row>
    <row r="1153" s="2" customFormat="1" ht="55" customHeight="1" spans="1:3">
      <c r="A1153" s="15" t="s">
        <v>2438</v>
      </c>
      <c r="B1153" s="6"/>
      <c r="C1153" s="9" t="str">
        <f>IFERROR(VLOOKUP(VENTAS4[[#This Row],[Code]],STOCK[],5,FALSE),"-")</f>
        <v>Pantalón de vestir de viscosa y lino negro</v>
      </c>
    </row>
    <row r="1154" s="2" customFormat="1" ht="55" customHeight="1" spans="1:3">
      <c r="A1154" s="15" t="s">
        <v>2441</v>
      </c>
      <c r="B1154" s="6"/>
      <c r="C1154" s="9" t="str">
        <f>IFERROR(VLOOKUP(VENTAS4[[#This Row],[Code]],STOCK[],5,FALSE),"-")</f>
        <v>Pantalón de vestir de viscosa y lino negro</v>
      </c>
    </row>
    <row r="1155" s="2" customFormat="1" ht="55" customHeight="1" spans="1:3">
      <c r="A1155" s="15" t="s">
        <v>2443</v>
      </c>
      <c r="B1155" s="6"/>
      <c r="C1155" s="9" t="str">
        <f>IFERROR(VLOOKUP(VENTAS4[[#This Row],[Code]],STOCK[],5,FALSE),"-")</f>
        <v>Pantalón de vestir de viscosa y lino negro</v>
      </c>
    </row>
    <row r="1156" s="2" customFormat="1" ht="55" customHeight="1" spans="1:3">
      <c r="A1156" s="15" t="s">
        <v>3748</v>
      </c>
      <c r="B1156" s="6"/>
      <c r="C1156" s="9" t="str">
        <f>IFERROR(VLOOKUP(VENTAS4[[#This Row],[Code]],STOCK[],5,FALSE),"-")</f>
        <v>-</v>
      </c>
    </row>
    <row r="1157" s="2" customFormat="1" ht="55" customHeight="1" spans="1:3">
      <c r="A1157" s="15" t="s">
        <v>2445</v>
      </c>
      <c r="B1157" s="6"/>
      <c r="C1157" s="9" t="str">
        <f>IFERROR(VLOOKUP(VENTAS4[[#This Row],[Code]],STOCK[],5,FALSE),"-")</f>
        <v>Sandalias carmelitas de moda con correa de velcro</v>
      </c>
    </row>
    <row r="1158" s="2" customFormat="1" ht="55" customHeight="1" spans="1:3">
      <c r="A1158" s="15" t="s">
        <v>2450</v>
      </c>
      <c r="B1158" s="6"/>
      <c r="C1158" s="9" t="str">
        <f>IFERROR(VLOOKUP(VENTAS4[[#This Row],[Code]],STOCK[],5,FALSE),"-")</f>
        <v>Sandalias carmelitas de moda con correa de velcro</v>
      </c>
    </row>
    <row r="1159" s="2" customFormat="1" ht="55" customHeight="1" spans="1:3">
      <c r="A1159" s="15" t="s">
        <v>2454</v>
      </c>
      <c r="B1159" s="6"/>
      <c r="C1159" s="9" t="str">
        <f>IFERROR(VLOOKUP(VENTAS4[[#This Row],[Code]],STOCK[],5,FALSE),"-")</f>
        <v>Sandalias prácticas Chunky Negras</v>
      </c>
    </row>
    <row r="1160" s="2" customFormat="1" ht="55" customHeight="1" spans="1:3">
      <c r="A1160" s="15" t="s">
        <v>2455</v>
      </c>
      <c r="B1160" s="6"/>
      <c r="C1160" s="9" t="str">
        <f>IFERROR(VLOOKUP(VENTAS4[[#This Row],[Code]],STOCK[],5,FALSE),"-")</f>
        <v>Sandalias prácticas Chunky Negras</v>
      </c>
    </row>
    <row r="1161" s="2" customFormat="1" ht="55" customHeight="1" spans="1:3">
      <c r="A1161" s="15" t="s">
        <v>2456</v>
      </c>
      <c r="B1161" s="6"/>
      <c r="C1161" s="9" t="str">
        <f>IFERROR(VLOOKUP(VENTAS4[[#This Row],[Code]],STOCK[],5,FALSE),"-")</f>
        <v>Sandalias prácticas Chunky Negras</v>
      </c>
    </row>
    <row r="1162" s="2" customFormat="1" ht="55" customHeight="1" spans="1:3">
      <c r="A1162" s="15" t="s">
        <v>3749</v>
      </c>
      <c r="B1162" s="6"/>
      <c r="C1162" s="9" t="str">
        <f>IFERROR(VLOOKUP(VENTAS4[[#This Row],[Code]],STOCK[],5,FALSE),"-")</f>
        <v>-</v>
      </c>
    </row>
    <row r="1163" s="2" customFormat="1" ht="55" customHeight="1" spans="1:3">
      <c r="A1163" s="15" t="s">
        <v>3550</v>
      </c>
      <c r="B1163" s="6"/>
      <c r="C1163" s="9" t="str">
        <f>IFERROR(VLOOKUP(VENTAS4[[#This Row],[Code]],STOCK[],5,FALSE),"-")</f>
        <v>-</v>
      </c>
    </row>
    <row r="1164" s="2" customFormat="1" ht="55" customHeight="1" spans="1:3">
      <c r="A1164" s="15" t="s">
        <v>3750</v>
      </c>
      <c r="B1164" s="6"/>
      <c r="C1164" s="9" t="str">
        <f>IFERROR(VLOOKUP(VENTAS4[[#This Row],[Code]],STOCK[],5,FALSE),"-")</f>
        <v>-</v>
      </c>
    </row>
    <row r="1165" s="2" customFormat="1" ht="55" customHeight="1" spans="1:3">
      <c r="A1165" s="15" t="s">
        <v>2457</v>
      </c>
      <c r="B1165" s="6"/>
      <c r="C1165" s="9" t="str">
        <f>IFERROR(VLOOKUP(VENTAS4[[#This Row],[Code]],STOCK[],5,FALSE),"-")</f>
        <v>Sneakers chunky blancos</v>
      </c>
    </row>
    <row r="1166" s="2" customFormat="1" ht="55" customHeight="1" spans="1:3">
      <c r="A1166" s="15" t="s">
        <v>2459</v>
      </c>
      <c r="B1166" s="6"/>
      <c r="C1166" s="9" t="str">
        <f>IFERROR(VLOOKUP(VENTAS4[[#This Row],[Code]],STOCK[],5,FALSE),"-")</f>
        <v>Sneakers chunky blancos</v>
      </c>
    </row>
    <row r="1167" s="2" customFormat="1" ht="55" customHeight="1" spans="1:3">
      <c r="A1167" s="15" t="s">
        <v>2460</v>
      </c>
      <c r="B1167" s="6"/>
      <c r="C1167" s="9" t="str">
        <f>IFERROR(VLOOKUP(VENTAS4[[#This Row],[Code]],STOCK[],5,FALSE),"-")</f>
        <v>Sandalias de plataforma en bloque de color</v>
      </c>
    </row>
    <row r="1168" s="2" customFormat="1" ht="55" customHeight="1" spans="1:3">
      <c r="A1168" s="15" t="s">
        <v>2462</v>
      </c>
      <c r="B1168" s="6"/>
      <c r="C1168" s="9" t="str">
        <f>IFERROR(VLOOKUP(VENTAS4[[#This Row],[Code]],STOCK[],5,FALSE),"-")</f>
        <v>Sandalias de plataforma en bloque de color</v>
      </c>
    </row>
    <row r="1169" s="2" customFormat="1" ht="55" customHeight="1" spans="1:3">
      <c r="A1169" s="15" t="s">
        <v>2463</v>
      </c>
      <c r="B1169" s="6"/>
      <c r="C1169" s="9" t="str">
        <f>IFERROR(VLOOKUP(VENTAS4[[#This Row],[Code]],STOCK[],5,FALSE),"-")</f>
        <v>Sandalias de plataforma en bloque de color</v>
      </c>
    </row>
    <row r="1170" s="2" customFormat="1" ht="55" customHeight="1" spans="1:3">
      <c r="A1170" s="15" t="s">
        <v>2464</v>
      </c>
      <c r="B1170" s="6"/>
      <c r="C1170" s="9" t="str">
        <f>IFERROR(VLOOKUP(VENTAS4[[#This Row],[Code]],STOCK[],5,FALSE),"-")</f>
        <v>Sandalias de plataforma en bloque de color</v>
      </c>
    </row>
    <row r="1171" s="2" customFormat="1" ht="55" customHeight="1" spans="1:3">
      <c r="A1171" s="15" t="s">
        <v>2465</v>
      </c>
      <c r="B1171" s="6"/>
      <c r="C1171" s="9" t="str">
        <f>IFERROR(VLOOKUP(VENTAS4[[#This Row],[Code]],STOCK[],5,FALSE),"-")</f>
        <v>Sandalias de tacón de punta fina con diseño crochet</v>
      </c>
    </row>
    <row r="1172" s="2" customFormat="1" ht="55" customHeight="1" spans="1:3">
      <c r="A1172" s="15" t="s">
        <v>2467</v>
      </c>
      <c r="B1172" s="6"/>
      <c r="C1172" s="9" t="str">
        <f>IFERROR(VLOOKUP(VENTAS4[[#This Row],[Code]],STOCK[],5,FALSE),"-")</f>
        <v>Sandalias strappy de plataforma color beige</v>
      </c>
    </row>
    <row r="1173" s="2" customFormat="1" ht="55" customHeight="1" spans="1:3">
      <c r="A1173" s="15" t="s">
        <v>2469</v>
      </c>
      <c r="B1173" s="6"/>
      <c r="C1173" s="9" t="str">
        <f>IFERROR(VLOOKUP(VENTAS4[[#This Row],[Code]],STOCK[],5,FALSE),"-")</f>
        <v>Sandalias strappy de plataforma color beige</v>
      </c>
    </row>
    <row r="1174" s="2" customFormat="1" ht="55" customHeight="1" spans="1:3">
      <c r="A1174" s="15" t="s">
        <v>2470</v>
      </c>
      <c r="B1174" s="6"/>
      <c r="C1174" s="9" t="str">
        <f>IFERROR(VLOOKUP(VENTAS4[[#This Row],[Code]],STOCK[],5,FALSE),"-")</f>
        <v>Sandalias de plataforma de tacón grueso</v>
      </c>
    </row>
    <row r="1175" s="2" customFormat="1" ht="55" customHeight="1" spans="1:3">
      <c r="A1175" s="15" t="s">
        <v>2472</v>
      </c>
      <c r="B1175" s="6"/>
      <c r="C1175" s="9" t="str">
        <f>IFERROR(VLOOKUP(VENTAS4[[#This Row],[Code]],STOCK[],5,FALSE),"-")</f>
        <v>Sandalias espadriles nude</v>
      </c>
    </row>
    <row r="1176" s="2" customFormat="1" ht="55" customHeight="1" spans="1:3">
      <c r="A1176" s="15" t="s">
        <v>2474</v>
      </c>
      <c r="B1176" s="6"/>
      <c r="C1176" s="9" t="str">
        <f>IFERROR(VLOOKUP(VENTAS4[[#This Row],[Code]],STOCK[],5,FALSE),"-")</f>
        <v>Sandalias espadriles nude</v>
      </c>
    </row>
    <row r="1177" s="2" customFormat="1" ht="55" customHeight="1" spans="1:3">
      <c r="A1177" s="15" t="s">
        <v>2475</v>
      </c>
      <c r="B1177" s="6"/>
      <c r="C1177" s="9" t="str">
        <f>IFERROR(VLOOKUP(VENTAS4[[#This Row],[Code]],STOCK[],5,FALSE),"-")</f>
        <v>Tacones de punta fina con flor de piedras</v>
      </c>
    </row>
    <row r="1178" s="2" customFormat="1" ht="55" customHeight="1" spans="1:3">
      <c r="A1178" s="15" t="s">
        <v>2477</v>
      </c>
      <c r="B1178" s="6"/>
      <c r="C1178" s="9" t="str">
        <f>IFERROR(VLOOKUP(VENTAS4[[#This Row],[Code]],STOCK[],5,FALSE),"-")</f>
        <v>Sandalias finas strappy rojas de tacón</v>
      </c>
    </row>
    <row r="1179" s="2" customFormat="1" ht="55" customHeight="1" spans="1:3">
      <c r="A1179" s="15" t="s">
        <v>2479</v>
      </c>
      <c r="B1179" s="6"/>
      <c r="C1179" s="9" t="str">
        <f>IFERROR(VLOOKUP(VENTAS4[[#This Row],[Code]],STOCK[],5,FALSE),"-")</f>
        <v>Sandalias finas strappy rojas de tacón</v>
      </c>
    </row>
    <row r="1180" s="2" customFormat="1" ht="55" customHeight="1" spans="1:3">
      <c r="A1180" s="15" t="s">
        <v>2480</v>
      </c>
      <c r="B1180" s="6"/>
      <c r="C1180" s="9" t="str">
        <f>IFERROR(VLOOKUP(VENTAS4[[#This Row],[Code]],STOCK[],5,FALSE),"-")</f>
        <v>Sandalias de tacón de punta fina con correa al tobillo</v>
      </c>
    </row>
    <row r="1181" s="2" customFormat="1" ht="55" customHeight="1" spans="1:3">
      <c r="A1181" s="15" t="s">
        <v>2482</v>
      </c>
      <c r="B1181" s="6"/>
      <c r="C1181" s="9" t="str">
        <f>IFERROR(VLOOKUP(VENTAS4[[#This Row],[Code]],STOCK[],5,FALSE),"-")</f>
        <v>Zapatos elegantes de punta fina negros</v>
      </c>
    </row>
    <row r="1182" s="2" customFormat="1" ht="55" customHeight="1" spans="1:3">
      <c r="A1182" s="15" t="s">
        <v>2484</v>
      </c>
      <c r="B1182" s="6"/>
      <c r="C1182" s="9" t="str">
        <f>IFERROR(VLOOKUP(VENTAS4[[#This Row],[Code]],STOCK[],5,FALSE),"-")</f>
        <v>Sandalias prácticas chunky blanco crema</v>
      </c>
    </row>
    <row r="1183" s="2" customFormat="1" ht="55" customHeight="1" spans="1:3">
      <c r="A1183" s="15" t="s">
        <v>2486</v>
      </c>
      <c r="B1183" s="6"/>
      <c r="C1183" s="9" t="str">
        <f>IFERROR(VLOOKUP(VENTAS4[[#This Row],[Code]],STOCK[],5,FALSE),"-")</f>
        <v>Sandalias prácticas chunky blanco crema</v>
      </c>
    </row>
    <row r="1184" s="2" customFormat="1" ht="55" customHeight="1" spans="1:3">
      <c r="A1184" s="15" t="s">
        <v>2487</v>
      </c>
      <c r="B1184" s="6"/>
      <c r="C1184" s="9" t="str">
        <f>IFERROR(VLOOKUP(VENTAS4[[#This Row],[Code]],STOCK[],5,FALSE),"-")</f>
        <v>Sandalias prácticas chunky blanco crema</v>
      </c>
    </row>
    <row r="1185" s="2" customFormat="1" ht="55" customHeight="1" spans="1:3">
      <c r="A1185" s="15" t="s">
        <v>2488</v>
      </c>
      <c r="B1185" s="6"/>
      <c r="C1185" s="9" t="str">
        <f>IFERROR(VLOOKUP(VENTAS4[[#This Row],[Code]],STOCK[],5,FALSE),"-")</f>
        <v>Sandalias prácticas chunky blanco crema</v>
      </c>
    </row>
    <row r="1186" s="2" customFormat="1" ht="55" customHeight="1" spans="1:3">
      <c r="A1186" s="15" t="s">
        <v>2489</v>
      </c>
      <c r="B1186" s="6"/>
      <c r="C1186" s="9" t="str">
        <f>IFERROR(VLOOKUP(VENTAS4[[#This Row],[Code]],STOCK[],5,FALSE),"-")</f>
        <v>Blusa blanca de lazos y manga abullonada</v>
      </c>
    </row>
    <row r="1187" s="2" customFormat="1" ht="55" customHeight="1" spans="1:3">
      <c r="A1187" s="15" t="s">
        <v>2491</v>
      </c>
      <c r="B1187" s="6"/>
      <c r="C1187" s="9" t="str">
        <f>IFERROR(VLOOKUP(VENTAS4[[#This Row],[Code]],STOCK[],5,FALSE),"-")</f>
        <v>Blusa blanca de lazos y manga abullonada</v>
      </c>
    </row>
    <row r="1188" s="2" customFormat="1" ht="55" customHeight="1" spans="1:3">
      <c r="A1188" s="15" t="s">
        <v>2492</v>
      </c>
      <c r="B1188" s="6"/>
      <c r="C1188" s="9" t="str">
        <f>IFERROR(VLOOKUP(VENTAS4[[#This Row],[Code]],STOCK[],5,FALSE),"-")</f>
        <v>Blusa blanca de lazos y manga abullonada</v>
      </c>
    </row>
    <row r="1189" s="2" customFormat="1" ht="55" customHeight="1" spans="1:3">
      <c r="A1189" s="15" t="s">
        <v>2493</v>
      </c>
      <c r="B1189" s="6"/>
      <c r="C1189" s="9" t="str">
        <f>IFERROR(VLOOKUP(VENTAS4[[#This Row],[Code]],STOCK[],5,FALSE),"-")</f>
        <v>Bolso bandolera de rafia rígido de tamaño pequeño</v>
      </c>
    </row>
    <row r="1190" s="2" customFormat="1" ht="55" customHeight="1" spans="1:3">
      <c r="A1190" s="15" t="s">
        <v>2496</v>
      </c>
      <c r="B1190" s="6"/>
      <c r="C1190" s="9" t="str">
        <f>IFERROR(VLOOKUP(VENTAS4[[#This Row],[Code]],STOCK[],5,FALSE),"-")</f>
        <v>Bolso tejido redondo de gran capidad </v>
      </c>
    </row>
    <row r="1191" s="2" customFormat="1" ht="55" customHeight="1" spans="1:3">
      <c r="A1191" s="15" t="s">
        <v>2498</v>
      </c>
      <c r="B1191" s="6"/>
      <c r="C1191" s="9" t="str">
        <f>IFERROR(VLOOKUP(VENTAS4[[#This Row],[Code]],STOCK[],5,FALSE),"-")</f>
        <v>Bolso de playa con diseño de rayas tamaño mediano</v>
      </c>
    </row>
    <row r="1192" s="2" customFormat="1" ht="55" customHeight="1" spans="1:3">
      <c r="A1192" s="15" t="s">
        <v>2500</v>
      </c>
      <c r="B1192" s="6"/>
      <c r="C1192" s="9" t="str">
        <f>IFERROR(VLOOKUP(VENTAS4[[#This Row],[Code]],STOCK[],5,FALSE),"-")</f>
        <v>Camisa elegante con lazo grande</v>
      </c>
    </row>
    <row r="1193" s="2" customFormat="1" ht="55" customHeight="1" spans="1:3">
      <c r="A1193" s="15" t="s">
        <v>2502</v>
      </c>
      <c r="B1193" s="6"/>
      <c r="C1193" s="9" t="str">
        <f>IFERROR(VLOOKUP(VENTAS4[[#This Row],[Code]],STOCK[],5,FALSE),"-")</f>
        <v>Camisa elegante con lazo grande</v>
      </c>
    </row>
    <row r="1194" s="2" customFormat="1" ht="55" customHeight="1" spans="1:3">
      <c r="A1194" s="15" t="s">
        <v>2503</v>
      </c>
      <c r="B1194" s="6"/>
      <c r="C1194" s="9" t="str">
        <f>IFERROR(VLOOKUP(VENTAS4[[#This Row],[Code]],STOCK[],5,FALSE),"-")</f>
        <v>Camisa elegante con lazo grande</v>
      </c>
    </row>
    <row r="1195" s="2" customFormat="1" ht="55" customHeight="1" spans="1:3">
      <c r="A1195" s="15" t="s">
        <v>2504</v>
      </c>
      <c r="B1195" s="6"/>
      <c r="C1195" s="9" t="str">
        <f>IFERROR(VLOOKUP(VENTAS4[[#This Row],[Code]],STOCK[],5,FALSE),"-")</f>
        <v>Falda Pantalón de mezclilla</v>
      </c>
    </row>
    <row r="1196" s="2" customFormat="1" ht="55" customHeight="1" spans="1:3">
      <c r="A1196" s="15" t="s">
        <v>2506</v>
      </c>
      <c r="B1196" s="6"/>
      <c r="C1196" s="9" t="str">
        <f>IFERROR(VLOOKUP(VENTAS4[[#This Row],[Code]],STOCK[],5,FALSE),"-")</f>
        <v>Falda Pantalón de mezclilla</v>
      </c>
    </row>
    <row r="1197" s="2" customFormat="1" ht="55" customHeight="1" spans="1:3">
      <c r="A1197" s="15" t="s">
        <v>2507</v>
      </c>
      <c r="B1197" s="6"/>
      <c r="C1197" s="9" t="str">
        <f>IFERROR(VLOOKUP(VENTAS4[[#This Row],[Code]],STOCK[],5,FALSE),"-")</f>
        <v>Falda Pantalón de mezclilla</v>
      </c>
    </row>
    <row r="1198" s="2" customFormat="1" ht="55" customHeight="1" spans="1:3">
      <c r="A1198" s="15" t="s">
        <v>2508</v>
      </c>
      <c r="B1198" s="6"/>
      <c r="C1198" s="9" t="str">
        <f>IFERROR(VLOOKUP(VENTAS4[[#This Row],[Code]],STOCK[],5,FALSE),"-")</f>
        <v>Camisa elegante de listas</v>
      </c>
    </row>
    <row r="1199" s="2" customFormat="1" ht="55" customHeight="1" spans="1:3">
      <c r="A1199" s="15" t="s">
        <v>2510</v>
      </c>
      <c r="B1199" s="6"/>
      <c r="C1199" s="9" t="str">
        <f>IFERROR(VLOOKUP(VENTAS4[[#This Row],[Code]],STOCK[],5,FALSE),"-")</f>
        <v>Camisa elegante de listas</v>
      </c>
    </row>
    <row r="1200" s="2" customFormat="1" ht="55" customHeight="1" spans="1:3">
      <c r="A1200" s="15" t="s">
        <v>2511</v>
      </c>
      <c r="B1200" s="6"/>
      <c r="C1200" s="9" t="str">
        <f>IFERROR(VLOOKUP(VENTAS4[[#This Row],[Code]],STOCK[],5,FALSE),"-")</f>
        <v>Camisa elegante de listas</v>
      </c>
    </row>
    <row r="1201" s="2" customFormat="1" ht="55" customHeight="1" spans="1:3">
      <c r="A1201" s="15" t="s">
        <v>2512</v>
      </c>
      <c r="B1201" s="6"/>
      <c r="C1201" s="9" t="str">
        <f>IFERROR(VLOOKUP(VENTAS4[[#This Row],[Code]],STOCK[],5,FALSE),"-")</f>
        <v>Bolso pequeño estilo old money</v>
      </c>
    </row>
    <row r="1202" s="2" customFormat="1" ht="55" customHeight="1" spans="1:3">
      <c r="A1202" s="15" t="s">
        <v>2514</v>
      </c>
      <c r="B1202" s="6"/>
      <c r="C1202" s="9" t="str">
        <f>IFERROR(VLOOKUP(VENTAS4[[#This Row],[Code]],STOCK[],5,FALSE),"-")</f>
        <v>Bolso media luna de rafia de tamaño medio</v>
      </c>
    </row>
    <row r="1203" s="2" customFormat="1" ht="55" customHeight="1" spans="1:3">
      <c r="A1203" s="15" t="s">
        <v>2516</v>
      </c>
      <c r="B1203" s="6"/>
      <c r="C1203" s="9" t="str">
        <f>IFERROR(VLOOKUP(VENTAS4[[#This Row],[Code]],STOCK[],5,FALSE),"-")</f>
        <v>Pantalones cortos de mezclilla de moda</v>
      </c>
    </row>
    <row r="1204" s="2" customFormat="1" ht="55" customHeight="1" spans="1:3">
      <c r="A1204" s="15" t="s">
        <v>2518</v>
      </c>
      <c r="B1204" s="6"/>
      <c r="C1204" s="9" t="str">
        <f>IFERROR(VLOOKUP(VENTAS4[[#This Row],[Code]],STOCK[],5,FALSE),"-")</f>
        <v>Pantalones cortos de mezclilla de moda</v>
      </c>
    </row>
    <row r="1205" s="2" customFormat="1" ht="55" customHeight="1" spans="1:3">
      <c r="A1205" s="15" t="s">
        <v>2519</v>
      </c>
      <c r="B1205" s="6"/>
      <c r="C1205" s="9" t="str">
        <f>IFERROR(VLOOKUP(VENTAS4[[#This Row],[Code]],STOCK[],5,FALSE),"-")</f>
        <v>Pantalones cortos de mezclilla de moda</v>
      </c>
    </row>
    <row r="1206" s="2" customFormat="1" ht="55" customHeight="1" spans="1:3">
      <c r="A1206" s="15" t="s">
        <v>2520</v>
      </c>
      <c r="B1206" s="6"/>
      <c r="C1206" s="9" t="str">
        <f>IFERROR(VLOOKUP(VENTAS4[[#This Row],[Code]],STOCK[],5,FALSE),"-")</f>
        <v>Cinturón fino de hebilla de estilo elegante negro</v>
      </c>
    </row>
    <row r="1207" s="2" customFormat="1" ht="55" customHeight="1" spans="1:3">
      <c r="A1207" s="15" t="s">
        <v>2522</v>
      </c>
      <c r="B1207" s="6"/>
      <c r="C1207" s="9" t="str">
        <f>IFERROR(VLOOKUP(VENTAS4[[#This Row],[Code]],STOCK[],5,FALSE),"-")</f>
        <v>Cinturón fino de hebilla de estilo elegante carmelita</v>
      </c>
    </row>
    <row r="1208" s="2" customFormat="1" ht="55" customHeight="1" spans="1:3">
      <c r="A1208" s="15" t="s">
        <v>2524</v>
      </c>
      <c r="B1208" s="6"/>
      <c r="C1208" s="9" t="str">
        <f>IFERROR(VLOOKUP(VENTAS4[[#This Row],[Code]],STOCK[],5,FALSE),"-")</f>
        <v>Blusa de lazos color negro</v>
      </c>
    </row>
    <row r="1209" s="2" customFormat="1" ht="55" customHeight="1" spans="1:3">
      <c r="A1209" s="15" t="s">
        <v>2526</v>
      </c>
      <c r="B1209" s="6"/>
      <c r="C1209" s="9" t="str">
        <f>IFERROR(VLOOKUP(VENTAS4[[#This Row],[Code]],STOCK[],5,FALSE),"-")</f>
        <v>Blusa de lazos color negro</v>
      </c>
    </row>
    <row r="1210" s="2" customFormat="1" ht="55" customHeight="1" spans="1:3">
      <c r="A1210" s="15" t="s">
        <v>2527</v>
      </c>
      <c r="B1210" s="6"/>
      <c r="C1210" s="9" t="str">
        <f>IFERROR(VLOOKUP(VENTAS4[[#This Row],[Code]],STOCK[],5,FALSE),"-")</f>
        <v>Blusa de lazos color negro</v>
      </c>
    </row>
    <row r="1211" s="2" customFormat="1" ht="55" customHeight="1" spans="1:3">
      <c r="A1211" s="15" t="s">
        <v>2528</v>
      </c>
      <c r="B1211" s="6"/>
      <c r="C1211" s="9" t="str">
        <f>IFERROR(VLOOKUP(VENTAS4[[#This Row],[Code]],STOCK[],5,FALSE),"-")</f>
        <v>Pullover corto unicolor carmelita</v>
      </c>
    </row>
    <row r="1212" s="2" customFormat="1" ht="55" customHeight="1" spans="1:3">
      <c r="A1212" s="15" t="s">
        <v>2530</v>
      </c>
      <c r="B1212" s="6"/>
      <c r="C1212" s="9" t="str">
        <f>IFERROR(VLOOKUP(VENTAS4[[#This Row],[Code]],STOCK[],5,FALSE),"-")</f>
        <v>Pullover corto unicolor carmelita</v>
      </c>
    </row>
    <row r="1213" s="2" customFormat="1" ht="55" customHeight="1" spans="1:3">
      <c r="A1213" s="15" t="s">
        <v>2531</v>
      </c>
      <c r="B1213" s="6"/>
      <c r="C1213" s="9" t="str">
        <f>IFERROR(VLOOKUP(VENTAS4[[#This Row],[Code]],STOCK[],5,FALSE),"-")</f>
        <v>Pullover corto unicolor carmelita</v>
      </c>
    </row>
    <row r="1214" s="2" customFormat="1" ht="55" customHeight="1" spans="1:3">
      <c r="A1214" s="15" t="s">
        <v>2532</v>
      </c>
      <c r="B1214" s="6"/>
      <c r="C1214" s="9" t="str">
        <f>IFERROR(VLOOKUP(VENTAS4[[#This Row],[Code]],STOCK[],5,FALSE),"-")</f>
        <v>Pullover corto unicolor blanco</v>
      </c>
    </row>
    <row r="1215" s="2" customFormat="1" ht="55" customHeight="1" spans="1:3">
      <c r="A1215" s="15" t="s">
        <v>2534</v>
      </c>
      <c r="B1215" s="6"/>
      <c r="C1215" s="9" t="str">
        <f>IFERROR(VLOOKUP(VENTAS4[[#This Row],[Code]],STOCK[],5,FALSE),"-")</f>
        <v>Pullover corto unicolor blanco</v>
      </c>
    </row>
    <row r="1216" s="2" customFormat="1" ht="55" customHeight="1" spans="1:3">
      <c r="A1216" s="15" t="s">
        <v>2535</v>
      </c>
      <c r="B1216" s="6"/>
      <c r="C1216" s="9" t="str">
        <f>IFERROR(VLOOKUP(VENTAS4[[#This Row],[Code]],STOCK[],5,FALSE),"-")</f>
        <v>Pullover corto unicolor blanco</v>
      </c>
    </row>
    <row r="1217" s="2" customFormat="1" ht="55" customHeight="1" spans="1:3">
      <c r="A1217" s="15" t="s">
        <v>2536</v>
      </c>
      <c r="B1217" s="6"/>
      <c r="C1217" s="9" t="str">
        <f>IFERROR(VLOOKUP(VENTAS4[[#This Row],[Code]],STOCK[],5,FALSE),"-")</f>
        <v>Pullover corto unicolor beige</v>
      </c>
    </row>
    <row r="1218" s="2" customFormat="1" ht="55" customHeight="1" spans="1:3">
      <c r="A1218" s="15" t="s">
        <v>2539</v>
      </c>
      <c r="B1218" s="6"/>
      <c r="C1218" s="9" t="str">
        <f>IFERROR(VLOOKUP(VENTAS4[[#This Row],[Code]],STOCK[],5,FALSE),"-")</f>
        <v>Pullover corto unicolor beige</v>
      </c>
    </row>
    <row r="1219" s="2" customFormat="1" ht="55" customHeight="1" spans="1:3">
      <c r="A1219" s="15" t="s">
        <v>2540</v>
      </c>
      <c r="B1219" s="6"/>
      <c r="C1219" s="9" t="str">
        <f>IFERROR(VLOOKUP(VENTAS4[[#This Row],[Code]],STOCK[],5,FALSE),"-")</f>
        <v>Pullover largo unicolor tela traslúcida negro</v>
      </c>
    </row>
    <row r="1220" s="2" customFormat="1" ht="55" customHeight="1" spans="1:3">
      <c r="A1220" s="15" t="s">
        <v>2542</v>
      </c>
      <c r="B1220" s="6"/>
      <c r="C1220" s="9" t="str">
        <f>IFERROR(VLOOKUP(VENTAS4[[#This Row],[Code]],STOCK[],5,FALSE),"-")</f>
        <v>Pullover largo unicolor tela traslúcida negro</v>
      </c>
    </row>
    <row r="1221" s="2" customFormat="1" ht="55" customHeight="1" spans="1:3">
      <c r="A1221" s="15" t="s">
        <v>2543</v>
      </c>
      <c r="B1221" s="6"/>
      <c r="C1221" s="9" t="str">
        <f>IFERROR(VLOOKUP(VENTAS4[[#This Row],[Code]],STOCK[],5,FALSE),"-")</f>
        <v>Pullover largo unicolor tela traslúcida negro</v>
      </c>
    </row>
    <row r="1222" s="2" customFormat="1" ht="55" customHeight="1" spans="1:3">
      <c r="A1222" s="15" t="s">
        <v>2555</v>
      </c>
      <c r="B1222" s="6"/>
      <c r="C1222" s="9" t="str">
        <f>IFERROR(VLOOKUP(VENTAS4[[#This Row],[Code]],STOCK[],5,FALSE),"-")</f>
        <v>Pullover largo unicolor tela traslúcida beige</v>
      </c>
    </row>
    <row r="1223" s="2" customFormat="1" ht="55" customHeight="1" spans="1:3">
      <c r="A1223" s="15" t="s">
        <v>2556</v>
      </c>
      <c r="B1223" s="6"/>
      <c r="C1223" s="9" t="str">
        <f>IFERROR(VLOOKUP(VENTAS4[[#This Row],[Code]],STOCK[],5,FALSE),"-")</f>
        <v>Maxi vestido de algodón cruzado con estampado floral vibrante</v>
      </c>
    </row>
    <row r="1224" s="2" customFormat="1" ht="55" customHeight="1" spans="1:3">
      <c r="A1224" s="15" t="s">
        <v>2558</v>
      </c>
      <c r="B1224" s="6"/>
      <c r="C1224" s="9" t="str">
        <f>IFERROR(VLOOKUP(VENTAS4[[#This Row],[Code]],STOCK[],5,FALSE),"-")</f>
        <v>Sombrero Visera de Verano</v>
      </c>
    </row>
    <row r="1225" s="2" customFormat="1" ht="55" customHeight="1" spans="1:3">
      <c r="A1225" s="15" t="s">
        <v>2561</v>
      </c>
      <c r="B1225" s="6"/>
      <c r="C1225" s="9" t="str">
        <f>IFERROR(VLOOKUP(VENTAS4[[#This Row],[Code]],STOCK[],5,FALSE),"-")</f>
        <v>Top corto de lazo delantero </v>
      </c>
    </row>
    <row r="1226" s="2" customFormat="1" ht="55" customHeight="1" spans="1:3">
      <c r="A1226" s="15" t="s">
        <v>2563</v>
      </c>
      <c r="B1226" s="6"/>
      <c r="C1226" s="9" t="str">
        <f>IFERROR(VLOOKUP(VENTAS4[[#This Row],[Code]],STOCK[],5,FALSE),"-")</f>
        <v>Top corto de lazo delantero </v>
      </c>
    </row>
    <row r="1227" s="2" customFormat="1" ht="55" customHeight="1" spans="1:3">
      <c r="A1227" s="15" t="s">
        <v>2564</v>
      </c>
      <c r="B1227" s="6"/>
      <c r="C1227" s="9" t="str">
        <f>IFERROR(VLOOKUP(VENTAS4[[#This Row],[Code]],STOCK[],5,FALSE),"-")</f>
        <v>Top corto de lazo delantero </v>
      </c>
    </row>
    <row r="1228" s="2" customFormat="1" ht="55" customHeight="1" spans="1:3">
      <c r="A1228" s="15" t="s">
        <v>2565</v>
      </c>
      <c r="B1228" s="6"/>
      <c r="C1228" s="9" t="str">
        <f>IFERROR(VLOOKUP(VENTAS4[[#This Row],[Code]],STOCK[],5,FALSE),"-")</f>
        <v>Vestido de espagueti con frente recortado y abertura</v>
      </c>
    </row>
    <row r="1229" s="2" customFormat="1" ht="55" customHeight="1" spans="1:3">
      <c r="A1229" s="15" t="s">
        <v>2568</v>
      </c>
      <c r="B1229" s="6"/>
      <c r="C1229" s="9" t="str">
        <f>IFERROR(VLOOKUP(VENTAS4[[#This Row],[Code]],STOCK[],5,FALSE),"-")</f>
        <v>Vestido de espagueti con frente recortado y abertura</v>
      </c>
    </row>
    <row r="1230" s="2" customFormat="1" ht="55" customHeight="1" spans="1:3">
      <c r="A1230" s="15" t="s">
        <v>2569</v>
      </c>
      <c r="B1230" s="6"/>
      <c r="C1230" s="9" t="str">
        <f>IFERROR(VLOOKUP(VENTAS4[[#This Row],[Code]],STOCK[],5,FALSE),"-")</f>
        <v>Camisetas sin mangas de diseño crochet</v>
      </c>
    </row>
    <row r="1231" s="2" customFormat="1" ht="55" customHeight="1" spans="1:3">
      <c r="A1231" s="15" t="s">
        <v>2571</v>
      </c>
      <c r="B1231" s="6"/>
      <c r="C1231" s="9" t="str">
        <f>IFERROR(VLOOKUP(VENTAS4[[#This Row],[Code]],STOCK[],5,FALSE),"-")</f>
        <v>Vestido Largo con cinturón fruncido</v>
      </c>
    </row>
    <row r="1232" s="2" customFormat="1" ht="55" customHeight="1" spans="1:3">
      <c r="A1232" s="15" t="s">
        <v>2573</v>
      </c>
      <c r="B1232" s="6"/>
      <c r="C1232" s="9" t="str">
        <f>IFERROR(VLOOKUP(VENTAS4[[#This Row],[Code]],STOCK[],5,FALSE),"-")</f>
        <v>Vestido Largo con cinturón fruncido</v>
      </c>
    </row>
    <row r="1233" s="2" customFormat="1" ht="55" customHeight="1" spans="1:3">
      <c r="A1233" s="15" t="s">
        <v>2574</v>
      </c>
      <c r="B1233" s="6"/>
      <c r="C1233" s="9" t="str">
        <f>IFERROR(VLOOKUP(VENTAS4[[#This Row],[Code]],STOCK[],5,FALSE),"-")</f>
        <v>Vestido Largo con cinturón fruncido</v>
      </c>
    </row>
    <row r="1234" s="2" customFormat="1" ht="55" customHeight="1" spans="1:3">
      <c r="A1234" s="15" t="s">
        <v>2575</v>
      </c>
      <c r="B1234" s="6"/>
      <c r="C1234" s="9" t="str">
        <f>IFERROR(VLOOKUP(VENTAS4[[#This Row],[Code]],STOCK[],5,FALSE),"-")</f>
        <v>Vestido Largo con cinturón fruncido</v>
      </c>
    </row>
    <row r="1235" s="2" customFormat="1" ht="55" customHeight="1" spans="1:3">
      <c r="A1235" s="15" t="s">
        <v>2576</v>
      </c>
      <c r="B1235" s="6"/>
      <c r="C1235" s="9" t="str">
        <f>IFERROR(VLOOKUP(VENTAS4[[#This Row],[Code]],STOCK[],5,FALSE),"-")</f>
        <v>Vestido Camisola con estampado de flores y tirantes cruzados</v>
      </c>
    </row>
    <row r="1236" s="2" customFormat="1" ht="55" customHeight="1" spans="1:3">
      <c r="A1236" s="15" t="s">
        <v>2578</v>
      </c>
      <c r="B1236" s="6"/>
      <c r="C1236" s="9" t="str">
        <f>IFERROR(VLOOKUP(VENTAS4[[#This Row],[Code]],STOCK[],5,FALSE),"-")</f>
        <v>Vestido Camisola con estampado de flores y tirantes cruzados</v>
      </c>
    </row>
    <row r="1237" s="2" customFormat="1" ht="55" customHeight="1" spans="1:3">
      <c r="A1237" s="15" t="s">
        <v>2579</v>
      </c>
      <c r="B1237" s="6"/>
      <c r="C1237" s="9" t="str">
        <f>IFERROR(VLOOKUP(VENTAS4[[#This Row],[Code]],STOCK[],5,FALSE),"-")</f>
        <v>Vestido Camisola con estampado de flores y tirantes cruzados</v>
      </c>
    </row>
    <row r="1238" s="2" customFormat="1" ht="55" customHeight="1" spans="1:3">
      <c r="A1238" s="15" t="s">
        <v>2580</v>
      </c>
      <c r="B1238" s="6"/>
      <c r="C1238" s="9" t="str">
        <f>IFERROR(VLOOKUP(VENTAS4[[#This Row],[Code]],STOCK[],5,FALSE),"-")</f>
        <v>Vestido largo con cuello Healter</v>
      </c>
    </row>
    <row r="1239" s="2" customFormat="1" ht="55" customHeight="1" spans="1:3">
      <c r="A1239" s="15" t="s">
        <v>2582</v>
      </c>
      <c r="B1239" s="6"/>
      <c r="C1239" s="9" t="str">
        <f>IFERROR(VLOOKUP(VENTAS4[[#This Row],[Code]],STOCK[],5,FALSE),"-")</f>
        <v>Vestido negro espalda cruzada</v>
      </c>
    </row>
    <row r="1240" s="2" customFormat="1" ht="55" customHeight="1" spans="1:3">
      <c r="A1240" s="15" t="s">
        <v>2583</v>
      </c>
      <c r="B1240" s="6"/>
      <c r="C1240" s="9" t="str">
        <f>IFERROR(VLOOKUP(VENTAS4[[#This Row],[Code]],STOCK[],5,FALSE),"-")</f>
        <v>Vestido negro espalda cruzada</v>
      </c>
    </row>
    <row r="1241" s="2" customFormat="1" ht="55" customHeight="1" spans="1:3">
      <c r="A1241" s="15" t="s">
        <v>2584</v>
      </c>
      <c r="B1241" s="6"/>
      <c r="C1241" s="9" t="str">
        <f>IFERROR(VLOOKUP(VENTAS4[[#This Row],[Code]],STOCK[],5,FALSE),"-")</f>
        <v>Vestido blanco espalda cruzada</v>
      </c>
    </row>
    <row r="1242" s="2" customFormat="1" ht="55" customHeight="1" spans="1:3">
      <c r="A1242" s="15" t="s">
        <v>2585</v>
      </c>
      <c r="B1242" s="6"/>
      <c r="C1242" s="9" t="str">
        <f>IFERROR(VLOOKUP(VENTAS4[[#This Row],[Code]],STOCK[],5,FALSE),"-")</f>
        <v>Vestido blanco espalda cruzada</v>
      </c>
    </row>
    <row r="1243" s="2" customFormat="1" ht="55" customHeight="1" spans="1:3">
      <c r="A1243" s="15" t="s">
        <v>2586</v>
      </c>
      <c r="B1243" s="6"/>
      <c r="C1243" s="9" t="str">
        <f>IFERROR(VLOOKUP(VENTAS4[[#This Row],[Code]],STOCK[],5,FALSE),"-")</f>
        <v>Vestido crochet Playero espalda descubierta</v>
      </c>
    </row>
    <row r="1244" s="2" customFormat="1" ht="55" customHeight="1" spans="1:3">
      <c r="A1244" s="15" t="s">
        <v>2588</v>
      </c>
      <c r="B1244" s="6"/>
      <c r="C1244" s="9" t="str">
        <f>IFERROR(VLOOKUP(VENTAS4[[#This Row],[Code]],STOCK[],5,FALSE),"-")</f>
        <v>Vestido crochet Playero espalda descubierta</v>
      </c>
    </row>
    <row r="1245" s="2" customFormat="1" ht="55" customHeight="1" spans="1:3">
      <c r="A1245" s="15" t="s">
        <v>2589</v>
      </c>
      <c r="B1245" s="6"/>
      <c r="C1245" s="9" t="str">
        <f>IFERROR(VLOOKUP(VENTAS4[[#This Row],[Code]],STOCK[],5,FALSE),"-")</f>
        <v>Vestido crochet Playero espalda descubierta</v>
      </c>
    </row>
    <row r="1246" s="2" customFormat="1" ht="55" customHeight="1" spans="1:3">
      <c r="A1246" s="15" t="s">
        <v>2590</v>
      </c>
      <c r="B1246" s="6"/>
      <c r="C1246" s="9" t="str">
        <f>IFERROR(VLOOKUP(VENTAS4[[#This Row],[Code]],STOCK[],5,FALSE),"-")</f>
        <v>Vestido crochet playero de tirantes</v>
      </c>
    </row>
    <row r="1247" s="2" customFormat="1" ht="55" customHeight="1" spans="1:3">
      <c r="A1247" s="15" t="s">
        <v>2592</v>
      </c>
      <c r="B1247" s="6"/>
      <c r="C1247" s="9" t="str">
        <f>IFERROR(VLOOKUP(VENTAS4[[#This Row],[Code]],STOCK[],5,FALSE),"-")</f>
        <v>Falda larga de visillo con maxi estampado de flor</v>
      </c>
    </row>
    <row r="1248" s="2" customFormat="1" ht="55" customHeight="1" spans="1:3">
      <c r="A1248" s="15" t="s">
        <v>2594</v>
      </c>
      <c r="B1248" s="6"/>
      <c r="C1248" s="9" t="str">
        <f>IFERROR(VLOOKUP(VENTAS4[[#This Row],[Code]],STOCK[],5,FALSE),"-")</f>
        <v>Falda maxi blanca de moda</v>
      </c>
    </row>
    <row r="1249" s="2" customFormat="1" ht="55" customHeight="1" spans="1:3">
      <c r="A1249" s="15" t="s">
        <v>2596</v>
      </c>
      <c r="B1249" s="6"/>
      <c r="C1249" s="9" t="str">
        <f>IFERROR(VLOOKUP(VENTAS4[[#This Row],[Code]],STOCK[],5,FALSE),"-")</f>
        <v>Vestido corte A de bolsillos</v>
      </c>
    </row>
    <row r="1250" s="2" customFormat="1" ht="55" customHeight="1" spans="1:3">
      <c r="A1250" s="15" t="s">
        <v>2598</v>
      </c>
      <c r="B1250" s="6"/>
      <c r="C1250" s="9" t="str">
        <f>IFERROR(VLOOKUP(VENTAS4[[#This Row],[Code]],STOCK[],5,FALSE),"-")</f>
        <v>Bolso verano de rafia en bloque de color</v>
      </c>
    </row>
    <row r="1251" s="2" customFormat="1" ht="55" customHeight="1" spans="1:3">
      <c r="A1251" s="15" t="s">
        <v>2600</v>
      </c>
      <c r="B1251" s="6"/>
      <c r="C1251" s="9" t="str">
        <f>IFERROR(VLOOKUP(VENTAS4[[#This Row],[Code]],STOCK[],5,FALSE),"-")</f>
        <v>Conjunto falda y top</v>
      </c>
    </row>
    <row r="1252" s="2" customFormat="1" ht="55" customHeight="1" spans="1:3">
      <c r="A1252" s="15" t="s">
        <v>2602</v>
      </c>
      <c r="B1252" s="6"/>
      <c r="C1252" s="9" t="str">
        <f>IFERROR(VLOOKUP(VENTAS4[[#This Row],[Code]],STOCK[],5,FALSE),"-")</f>
        <v>Vestido crema ajustado de hombro torcido</v>
      </c>
    </row>
    <row r="1253" s="2" customFormat="1" ht="55" customHeight="1" spans="1:3">
      <c r="A1253" s="15" t="s">
        <v>2604</v>
      </c>
      <c r="B1253" s="6"/>
      <c r="C1253" s="9" t="str">
        <f>IFERROR(VLOOKUP(VENTAS4[[#This Row],[Code]],STOCK[],5,FALSE),"-")</f>
        <v>Vestido crema ajustado de hombro torcido</v>
      </c>
    </row>
    <row r="1254" s="2" customFormat="1" ht="55" customHeight="1" spans="1:3">
      <c r="A1254" s="15" t="s">
        <v>2605</v>
      </c>
      <c r="B1254" s="6"/>
      <c r="C1254" s="9" t="str">
        <f>IFERROR(VLOOKUP(VENTAS4[[#This Row],[Code]],STOCK[],5,FALSE),"-")</f>
        <v>Vestido crema ajustado de hombro torcido</v>
      </c>
    </row>
    <row r="1255" s="2" customFormat="1" ht="55" customHeight="1" spans="1:3">
      <c r="A1255" s="15" t="s">
        <v>2606</v>
      </c>
      <c r="B1255" s="6"/>
      <c r="C1255" s="9" t="str">
        <f>IFERROR(VLOOKUP(VENTAS4[[#This Row],[Code]],STOCK[],5,FALSE),"-")</f>
        <v>Vestido crema ajustado de hombro torcido</v>
      </c>
    </row>
    <row r="1256" s="2" customFormat="1" ht="55" customHeight="1" spans="1:3">
      <c r="A1256" s="15" t="s">
        <v>2607</v>
      </c>
      <c r="B1256" s="6"/>
      <c r="C1256" s="9" t="str">
        <f>IFERROR(VLOOKUP(VENTAS4[[#This Row],[Code]],STOCK[],5,FALSE),"-")</f>
        <v>Falda Maxi plisada favorecedora</v>
      </c>
    </row>
    <row r="1257" s="2" customFormat="1" ht="55" customHeight="1" spans="1:3">
      <c r="A1257" s="15" t="s">
        <v>2609</v>
      </c>
      <c r="B1257" s="6"/>
      <c r="C1257" s="9" t="str">
        <f>IFERROR(VLOOKUP(VENTAS4[[#This Row],[Code]],STOCK[],5,FALSE),"-")</f>
        <v>Falda Midi Elegante Ajustada</v>
      </c>
    </row>
    <row r="1258" s="2" customFormat="1" ht="55" customHeight="1" spans="1:3">
      <c r="A1258" s="15" t="s">
        <v>2611</v>
      </c>
      <c r="B1258" s="6"/>
      <c r="C1258" s="9" t="str">
        <f>IFERROR(VLOOKUP(VENTAS4[[#This Row],[Code]],STOCK[],5,FALSE),"-")</f>
        <v>Vestido Maxi Negro Ajustado Elegante de hombro atado</v>
      </c>
    </row>
    <row r="1259" s="2" customFormat="1" ht="55" customHeight="1" spans="1:3">
      <c r="A1259" s="15" t="s">
        <v>2613</v>
      </c>
      <c r="B1259" s="6"/>
      <c r="C1259" s="9" t="str">
        <f>IFERROR(VLOOKUP(VENTAS4[[#This Row],[Code]],STOCK[],5,FALSE),"-")</f>
        <v>Vestido Blanco en Bordado Inglés</v>
      </c>
    </row>
    <row r="1260" s="2" customFormat="1" ht="55" customHeight="1" spans="1:3">
      <c r="A1260" s="15" t="s">
        <v>2615</v>
      </c>
      <c r="B1260" s="6"/>
      <c r="C1260" s="9" t="str">
        <f>IFERROR(VLOOKUP(VENTAS4[[#This Row],[Code]],STOCK[],5,FALSE),"-")</f>
        <v>Vestido Blanco en Bordado Inglés</v>
      </c>
    </row>
    <row r="1261" s="2" customFormat="1" ht="55" customHeight="1" spans="1:3">
      <c r="A1261" s="15" t="s">
        <v>2616</v>
      </c>
      <c r="B1261" s="6"/>
      <c r="C1261" s="9" t="str">
        <f>IFERROR(VLOOKUP(VENTAS4[[#This Row],[Code]],STOCK[],5,FALSE),"-")</f>
        <v>Vestido de tirantes atados y espalda corrida</v>
      </c>
    </row>
    <row r="1262" s="2" customFormat="1" ht="55" customHeight="1" spans="1:3">
      <c r="A1262" s="15" t="s">
        <v>2618</v>
      </c>
      <c r="B1262" s="6"/>
      <c r="C1262" s="9" t="str">
        <f>IFERROR(VLOOKUP(VENTAS4[[#This Row],[Code]],STOCK[],5,FALSE),"-")</f>
        <v>Vestido lila cruzado H&amp;M</v>
      </c>
    </row>
    <row r="1263" s="2" customFormat="1" ht="55" customHeight="1" spans="1:3">
      <c r="A1263" s="15" t="s">
        <v>2621</v>
      </c>
      <c r="B1263" s="6"/>
      <c r="C1263" s="9" t="str">
        <f>IFERROR(VLOOKUP(VENTAS4[[#This Row],[Code]],STOCK[],5,FALSE),"-")</f>
        <v>Vestido lila cruzado H&amp;M</v>
      </c>
    </row>
    <row r="1264" s="2" customFormat="1" ht="55" customHeight="1" spans="1:3">
      <c r="A1264" s="15" t="s">
        <v>2623</v>
      </c>
      <c r="B1264" s="6"/>
      <c r="C1264" s="9" t="str">
        <f>IFERROR(VLOOKUP(VENTAS4[[#This Row],[Code]],STOCK[],5,FALSE),"-")</f>
        <v>Vestido verde cruzado H&amp;M</v>
      </c>
    </row>
    <row r="1265" s="2" customFormat="1" ht="55" customHeight="1" spans="1:3">
      <c r="A1265" s="15" t="s">
        <v>2625</v>
      </c>
      <c r="B1265" s="6"/>
      <c r="C1265" s="9" t="str">
        <f>IFERROR(VLOOKUP(VENTAS4[[#This Row],[Code]],STOCK[],5,FALSE),"-")</f>
        <v>Vestido verde cruzado H&amp;M</v>
      </c>
    </row>
    <row r="1266" s="2" customFormat="1" ht="55" customHeight="1" spans="1:3">
      <c r="A1266" s="15" t="s">
        <v>2627</v>
      </c>
      <c r="B1266" s="6"/>
      <c r="C1266" s="9" t="str">
        <f>IFERROR(VLOOKUP(VENTAS4[[#This Row],[Code]],STOCK[],5,FALSE),"-")</f>
        <v>Pantalón fuccia ajustado de tela H&amp;M</v>
      </c>
    </row>
    <row r="1267" s="2" customFormat="1" ht="55" customHeight="1" spans="1:3">
      <c r="A1267" s="15" t="s">
        <v>2630</v>
      </c>
      <c r="B1267" s="6"/>
      <c r="C1267" s="9" t="str">
        <f>IFERROR(VLOOKUP(VENTAS4[[#This Row],[Code]],STOCK[],5,FALSE),"-")</f>
        <v>Pantalón Caqui de Pierna Ancha De Talle Alto y Bolsillos H&amp;M</v>
      </c>
    </row>
    <row r="1268" s="2" customFormat="1" ht="55" customHeight="1" spans="1:3">
      <c r="A1268" s="15" t="s">
        <v>2632</v>
      </c>
      <c r="B1268" s="6"/>
      <c r="C1268" s="9" t="str">
        <f>IFERROR(VLOOKUP(VENTAS4[[#This Row],[Code]],STOCK[],5,FALSE),"-")</f>
        <v>Jean de talle regular de bajo descosido y pierna ancha H&amp;M</v>
      </c>
    </row>
    <row r="1269" s="2" customFormat="1" ht="55" customHeight="1" spans="1:3">
      <c r="A1269" s="15" t="s">
        <v>2635</v>
      </c>
      <c r="B1269" s="6"/>
      <c r="C1269" s="9" t="str">
        <f>IFERROR(VLOOKUP(VENTAS4[[#This Row],[Code]],STOCK[],5,FALSE),"-")</f>
        <v>Top de punto y cuello elegante negro H&amp;M</v>
      </c>
    </row>
    <row r="1270" s="2" customFormat="1" ht="55" customHeight="1" spans="1:3">
      <c r="A1270" s="15" t="s">
        <v>2638</v>
      </c>
      <c r="B1270" s="6"/>
      <c r="C1270" s="9" t="str">
        <f>IFERROR(VLOOKUP(VENTAS4[[#This Row],[Code]],STOCK[],5,FALSE),"-")</f>
        <v>Top de punto y cuello elegante negro H&amp;M</v>
      </c>
    </row>
    <row r="1271" s="2" customFormat="1" ht="55" customHeight="1" spans="1:3">
      <c r="A1271" s="15" t="s">
        <v>2639</v>
      </c>
      <c r="B1271" s="6"/>
      <c r="C1271" s="9" t="str">
        <f>IFERROR(VLOOKUP(VENTAS4[[#This Row],[Code]],STOCK[],5,FALSE),"-")</f>
        <v>Top de punto y cuello elegante negro H&amp;M</v>
      </c>
    </row>
    <row r="1272" s="2" customFormat="1" ht="55" customHeight="1" spans="1:3">
      <c r="A1272" s="15" t="s">
        <v>2640</v>
      </c>
      <c r="B1272" s="6"/>
      <c r="C1272" s="9" t="str">
        <f>IFERROR(VLOOKUP(VENTAS4[[#This Row],[Code]],STOCK[],5,FALSE),"-")</f>
        <v>Top de punto y cuello elegante blanco H&amp;M</v>
      </c>
    </row>
    <row r="1273" s="2" customFormat="1" ht="55" customHeight="1" spans="1:3">
      <c r="A1273" s="15" t="s">
        <v>2642</v>
      </c>
      <c r="B1273" s="6"/>
      <c r="C1273" s="9" t="str">
        <f>IFERROR(VLOOKUP(VENTAS4[[#This Row],[Code]],STOCK[],5,FALSE),"-")</f>
        <v>Top de punto y cuello elegante blanco H&amp;M</v>
      </c>
    </row>
    <row r="1274" s="2" customFormat="1" ht="55" customHeight="1" spans="1:3">
      <c r="A1274" s="15" t="s">
        <v>2643</v>
      </c>
      <c r="B1274" s="6"/>
      <c r="C1274" s="9" t="str">
        <f>IFERROR(VLOOKUP(VENTAS4[[#This Row],[Code]],STOCK[],5,FALSE),"-")</f>
        <v>Camisa Oversize en mezcla de lino H&amp;M</v>
      </c>
    </row>
    <row r="1275" s="2" customFormat="1" ht="55" customHeight="1" spans="1:3">
      <c r="A1275" s="15" t="s">
        <v>2645</v>
      </c>
      <c r="B1275" s="6"/>
      <c r="C1275" s="9" t="str">
        <f>IFERROR(VLOOKUP(VENTAS4[[#This Row],[Code]],STOCK[],5,FALSE),"-")</f>
        <v>Camisa Oversize blanca en mezcla de lino H&amp;M (encargo mónica)</v>
      </c>
    </row>
    <row r="1276" s="2" customFormat="1" ht="55" customHeight="1" spans="1:3">
      <c r="A1276" s="15" t="s">
        <v>2647</v>
      </c>
      <c r="B1276" s="6"/>
      <c r="C1276" s="9" t="str">
        <f>IFERROR(VLOOKUP(VENTAS4[[#This Row],[Code]],STOCK[],5,FALSE),"-")</f>
        <v>Camisa beige en mezcla de lino</v>
      </c>
    </row>
    <row r="1277" s="2" customFormat="1" ht="55" customHeight="1" spans="1:3">
      <c r="A1277" s="15" t="s">
        <v>2649</v>
      </c>
      <c r="B1277" s="6"/>
      <c r="C1277" s="9" t="str">
        <f>IFERROR(VLOOKUP(VENTAS4[[#This Row],[Code]],STOCK[],5,FALSE),"-")</f>
        <v>Cinto de piel (encargo mónica)</v>
      </c>
    </row>
    <row r="1278" s="2" customFormat="1" ht="55" customHeight="1" spans="1:3">
      <c r="A1278" s="15" t="s">
        <v>2651</v>
      </c>
      <c r="B1278" s="6"/>
      <c r="C1278" s="9" t="str">
        <f>IFERROR(VLOOKUP(VENTAS4[[#This Row],[Code]],STOCK[],5,FALSE),"-")</f>
        <v>Pantalón de pierna ancha con estampado de moda H&amp;M</v>
      </c>
    </row>
    <row r="1279" s="2" customFormat="1" ht="55" customHeight="1" spans="1:3">
      <c r="A1279" s="15" t="s">
        <v>2653</v>
      </c>
      <c r="B1279" s="6"/>
      <c r="C1279" s="9" t="str">
        <f>IFERROR(VLOOKUP(VENTAS4[[#This Row],[Code]],STOCK[],5,FALSE),"-")</f>
        <v>Sandalias Pull&amp;Bear (encargo mónica)</v>
      </c>
    </row>
    <row r="1280" s="2" customFormat="1" ht="55" customHeight="1" spans="1:3">
      <c r="A1280" s="15" t="s">
        <v>2655</v>
      </c>
      <c r="B1280" s="6"/>
      <c r="C1280" s="9" t="str">
        <f>IFERROR(VLOOKUP(VENTAS4[[#This Row],[Code]],STOCK[],5,FALSE),"-")</f>
        <v>Sandalias de hebilla Pull&amp;Bear</v>
      </c>
    </row>
    <row r="1281" s="2" customFormat="1" ht="55" customHeight="1" spans="1:3">
      <c r="A1281" s="15" t="s">
        <v>2657</v>
      </c>
      <c r="B1281" s="6"/>
      <c r="C1281" s="9" t="str">
        <f>IFERROR(VLOOKUP(VENTAS4[[#This Row],[Code]],STOCK[],5,FALSE),"-")</f>
        <v>Pullover blanco de algodón PRIMARK</v>
      </c>
    </row>
    <row r="1282" s="2" customFormat="1" ht="55" customHeight="1" spans="1:3">
      <c r="A1282" s="15" t="s">
        <v>2659</v>
      </c>
      <c r="B1282" s="6"/>
      <c r="C1282" s="9" t="str">
        <f>IFERROR(VLOOKUP(VENTAS4[[#This Row],[Code]],STOCK[],5,FALSE),"-")</f>
        <v>Pullover blanco de algodón PRIMARK</v>
      </c>
    </row>
    <row r="1283" s="2" customFormat="1" ht="55" customHeight="1" spans="1:3">
      <c r="A1283" s="15" t="s">
        <v>2660</v>
      </c>
      <c r="B1283" s="6"/>
      <c r="C1283" s="9" t="str">
        <f>IFERROR(VLOOKUP(VENTAS4[[#This Row],[Code]],STOCK[],5,FALSE),"-")</f>
        <v>Pullover negro acanalado de algodón PRIMARK</v>
      </c>
    </row>
    <row r="1284" s="2" customFormat="1" ht="55" customHeight="1" spans="1:3">
      <c r="A1284" s="15" t="s">
        <v>2662</v>
      </c>
      <c r="B1284" s="6"/>
      <c r="C1284" s="9" t="str">
        <f>IFERROR(VLOOKUP(VENTAS4[[#This Row],[Code]],STOCK[],5,FALSE),"-")</f>
        <v>Pullover mariposa multicolor algodón PRIMARK</v>
      </c>
    </row>
    <row r="1285" s="2" customFormat="1" ht="55" customHeight="1" spans="1:3">
      <c r="A1285" s="15" t="s">
        <v>2664</v>
      </c>
      <c r="B1285" s="6"/>
      <c r="C1285" s="9" t="str">
        <f>IFERROR(VLOOKUP(VENTAS4[[#This Row],[Code]],STOCK[],5,FALSE),"-")</f>
        <v>Pullover carmelita letrero de mariposa algodón PRIMARK</v>
      </c>
    </row>
    <row r="1286" s="2" customFormat="1" ht="55" customHeight="1" spans="1:3">
      <c r="A1286" s="15" t="s">
        <v>2666</v>
      </c>
      <c r="B1286" s="6"/>
      <c r="C1286" s="9" t="str">
        <f>IFERROR(VLOOKUP(VENTAS4[[#This Row],[Code]],STOCK[],5,FALSE),"-")</f>
        <v>Pullover morado catrina algodón</v>
      </c>
    </row>
    <row r="1287" s="2" customFormat="1" ht="55" customHeight="1" spans="1:3">
      <c r="A1287" s="15" t="s">
        <v>2668</v>
      </c>
      <c r="B1287" s="6"/>
      <c r="C1287" s="9" t="str">
        <f>IFERROR(VLOOKUP(VENTAS4[[#This Row],[Code]],STOCK[],5,FALSE),"-")</f>
        <v>Pullover Celeste algodón PRIMARK</v>
      </c>
    </row>
    <row r="1288" s="2" customFormat="1" ht="55" customHeight="1" spans="1:3">
      <c r="A1288" s="15" t="s">
        <v>2670</v>
      </c>
      <c r="B1288" s="6"/>
      <c r="C1288" s="9" t="str">
        <f>IFERROR(VLOOKUP(VENTAS4[[#This Row],[Code]],STOCK[],5,FALSE),"-")</f>
        <v>Pullover Love floreado algodón</v>
      </c>
    </row>
    <row r="1289" s="2" customFormat="1" ht="55" customHeight="1" spans="1:3">
      <c r="A1289" s="5" t="s">
        <v>2672</v>
      </c>
      <c r="B1289" s="6"/>
      <c r="C1289" s="9" t="str">
        <f>IFERROR(VLOOKUP(VENTAS4[[#This Row],[Code]],STOCK[],5,FALSE),"-")</f>
        <v>Traje de baño clásico en bloque de color de talle alto</v>
      </c>
    </row>
    <row r="1290" s="2" customFormat="1" ht="55" customHeight="1" spans="1:3">
      <c r="A1290" s="5" t="s">
        <v>2674</v>
      </c>
      <c r="B1290" s="6"/>
      <c r="C1290" s="9" t="str">
        <f>IFERROR(VLOOKUP(VENTAS4[[#This Row],[Code]],STOCK[],5,FALSE),"-")</f>
        <v>Traje de baño clásico en bloque de color de talle alto</v>
      </c>
    </row>
    <row r="1291" s="2" customFormat="1" ht="55" customHeight="1" spans="1:3">
      <c r="A1291" s="5" t="s">
        <v>2675</v>
      </c>
      <c r="B1291" s="6"/>
      <c r="C1291" s="9" t="str">
        <f>IFERROR(VLOOKUP(VENTAS4[[#This Row],[Code]],STOCK[],5,FALSE),"-")</f>
        <v>Traje de baño clásico en bloque de color de talle alto</v>
      </c>
    </row>
    <row r="1292" s="2" customFormat="1" ht="55" customHeight="1" spans="1:3">
      <c r="A1292" s="5" t="s">
        <v>2676</v>
      </c>
      <c r="B1292" s="6"/>
      <c r="C1292" s="9" t="str">
        <f>IFERROR(VLOOKUP(VENTAS4[[#This Row],[Code]],STOCK[],5,FALSE),"-")</f>
        <v>Traje de baño clásico en bloque de color de talle alto</v>
      </c>
    </row>
    <row r="1293" s="2" customFormat="1" ht="55" customHeight="1" spans="1:3">
      <c r="A1293" s="5" t="s">
        <v>2677</v>
      </c>
      <c r="B1293" s="6"/>
      <c r="C1293" s="9" t="str">
        <f>IFERROR(VLOOKUP(VENTAS4[[#This Row],[Code]],STOCK[],5,FALSE),"-")</f>
        <v>Camisa verde oversize (encargo)</v>
      </c>
    </row>
    <row r="1294" s="2" customFormat="1" ht="55" customHeight="1" spans="1:3">
      <c r="A1294" s="5" t="s">
        <v>2679</v>
      </c>
      <c r="B1294" s="6"/>
      <c r="C1294" s="9" t="str">
        <f>IFERROR(VLOOKUP(VENTAS4[[#This Row],[Code]],STOCK[],5,FALSE),"-")</f>
        <v>Top corto verde de tirantes (encargo)</v>
      </c>
    </row>
    <row r="1295" s="2" customFormat="1" ht="55" customHeight="1" spans="1:3">
      <c r="A1295" s="5" t="s">
        <v>2681</v>
      </c>
      <c r="B1295" s="6"/>
      <c r="C1295" s="9" t="str">
        <f>IFERROR(VLOOKUP(VENTAS4[[#This Row],[Code]],STOCK[],5,FALSE),"-")</f>
        <v>Top corto verde sin tirantes</v>
      </c>
    </row>
    <row r="1296" s="2" customFormat="1" ht="55" customHeight="1" spans="1:3">
      <c r="A1296" s="5" t="s">
        <v>2683</v>
      </c>
      <c r="B1296" s="6"/>
      <c r="C1296" s="9" t="str">
        <f>IFERROR(VLOOKUP(VENTAS4[[#This Row],[Code]],STOCK[],5,FALSE),"-")</f>
        <v>Camisa verde oversize</v>
      </c>
    </row>
    <row r="1297" s="2" customFormat="1" ht="55" customHeight="1" spans="1:3">
      <c r="A1297" s="5" t="s">
        <v>2685</v>
      </c>
      <c r="B1297" s="6"/>
      <c r="C1297" s="9" t="str">
        <f>IFERROR(VLOOKUP(VENTAS4[[#This Row],[Code]],STOCK[],5,FALSE),"-")</f>
        <v>Short blanco elegante de talle alto</v>
      </c>
    </row>
    <row r="1298" s="2" customFormat="1" ht="55" customHeight="1" spans="1:3">
      <c r="A1298" s="5" t="s">
        <v>2687</v>
      </c>
      <c r="B1298" s="6"/>
      <c r="C1298" s="9" t="str">
        <f>IFERROR(VLOOKUP(VENTAS4[[#This Row],[Code]],STOCK[],5,FALSE),"-")</f>
        <v>Short blanco de talle alto (encargo)</v>
      </c>
    </row>
    <row r="1299" s="2" customFormat="1" ht="55" customHeight="1" spans="1:3">
      <c r="A1299" s="5" t="s">
        <v>2689</v>
      </c>
      <c r="B1299" s="6"/>
      <c r="C1299" s="9" t="str">
        <f>IFERROR(VLOOKUP(VENTAS4[[#This Row],[Code]],STOCK[],5,FALSE),"-")</f>
        <v>Traje de baño clásico en bloque de color de talle alto (encargo)</v>
      </c>
    </row>
    <row r="1300" s="2" customFormat="1" ht="55" customHeight="1" spans="1:3">
      <c r="A1300" s="5" t="s">
        <v>2691</v>
      </c>
      <c r="B1300" s="6"/>
      <c r="C1300" s="9" t="str">
        <f>IFERROR(VLOOKUP(VENTAS4[[#This Row],[Code]],STOCK[],5,FALSE),"-")</f>
        <v>Set de Splash y crema de Victoria Secret (Original) Bare Vainilla</v>
      </c>
    </row>
    <row r="1301" s="2" customFormat="1" ht="55" customHeight="1" spans="1:3">
      <c r="A1301" s="16" t="s">
        <v>2693</v>
      </c>
      <c r="B1301" s="6"/>
      <c r="C1301" s="17" t="str">
        <f>IFERROR(VLOOKUP(VENTAS4[[#This Row],[Code]],STOCK[],5,FALSE),"-")</f>
        <v>Set de Splash y crema de Victoria Secret (Original) Aqua Kiss</v>
      </c>
    </row>
    <row r="1302" s="2" customFormat="1" ht="55" customHeight="1" spans="1:3">
      <c r="A1302" s="16"/>
      <c r="B1302" s="6"/>
      <c r="C1302" s="17"/>
    </row>
    <row r="1303" s="3" customFormat="1" ht="60" customHeight="1" spans="1:3">
      <c r="A1303" s="18"/>
      <c r="B1303" s="19"/>
      <c r="C1303" s="20" t="s">
        <v>3751</v>
      </c>
    </row>
  </sheetData>
  <dataValidations count="1">
    <dataValidation type="list" allowBlank="1" showInputMessage="1" showErrorMessage="1" sqref="A2:B164 A229:B238 A166:B227">
      <formula1>STOCK!$A$2:$A$1001056</formula1>
    </dataValidation>
  </dataValidations>
  <pageMargins left="0.7" right="0.7" top="0.75" bottom="0.75" header="0.3" footer="0.3"/>
  <headerFooter/>
  <drawing r:id="rId1"/>
  <tableParts count="1">
    <tablePart r:id="rId2"/>
  </tablePar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zoomScale="25" zoomScaleNormal="25" workbookViewId="0">
      <selection activeCell="A1" sqref="A1"/>
    </sheetView>
  </sheetViews>
  <sheetFormatPr defaultColWidth="11" defaultRowHeight="2.4"/>
  <sheetData/>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Macintosh Excel</Application>
  <HeadingPairs>
    <vt:vector size="2" baseType="variant">
      <vt:variant>
        <vt:lpstr>工作表</vt:lpstr>
      </vt:variant>
      <vt:variant>
        <vt:i4>4</vt:i4>
      </vt:variant>
    </vt:vector>
  </HeadingPairs>
  <TitlesOfParts>
    <vt:vector size="4" baseType="lpstr">
      <vt:lpstr>STOCK</vt:lpstr>
      <vt:lpstr>VENTAS</vt:lpstr>
      <vt:lpstr>FOTOS</vt: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leticiaaragon</cp:lastModifiedBy>
  <dcterms:created xsi:type="dcterms:W3CDTF">2023-10-01T19:59:00Z</dcterms:created>
  <dcterms:modified xsi:type="dcterms:W3CDTF">2024-10-24T18:11:02Z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1033-5.7.3.8096</vt:lpwstr>
  </property>
</Properties>
</file>